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830" activeTab="2"/>
  </bookViews>
  <sheets>
    <sheet name="31" sheetId="36" r:id="rId1"/>
    <sheet name="30" sheetId="27" r:id="rId2"/>
    <sheet name="29" sheetId="26" r:id="rId3"/>
    <sheet name="28" sheetId="25" r:id="rId4"/>
    <sheet name="27" sheetId="33" r:id="rId5"/>
    <sheet name="26" sheetId="32" r:id="rId6"/>
    <sheet name="25" sheetId="24" r:id="rId7"/>
    <sheet name="24" sheetId="23" r:id="rId8"/>
    <sheet name="23" sheetId="22" r:id="rId9"/>
    <sheet name="22" sheetId="21" r:id="rId10"/>
    <sheet name="21" sheetId="20" r:id="rId11"/>
    <sheet name="20" sheetId="31" r:id="rId12"/>
    <sheet name="19" sheetId="19" r:id="rId13"/>
    <sheet name="18" sheetId="18" r:id="rId14"/>
    <sheet name="17" sheetId="17" r:id="rId15"/>
    <sheet name="16" sheetId="16" r:id="rId16"/>
    <sheet name="15" sheetId="15" r:id="rId17"/>
    <sheet name="Sum" sheetId="11" r:id="rId18"/>
    <sheet name="14" sheetId="14" r:id="rId19"/>
    <sheet name="13" sheetId="30" r:id="rId20"/>
    <sheet name="12" sheetId="13" r:id="rId21"/>
    <sheet name="11" sheetId="10" r:id="rId22"/>
    <sheet name="10" sheetId="35" r:id="rId23"/>
    <sheet name="09" sheetId="8" r:id="rId24"/>
    <sheet name="08" sheetId="7" r:id="rId25"/>
    <sheet name="07" sheetId="5" r:id="rId26"/>
    <sheet name="06" sheetId="29" r:id="rId27"/>
    <sheet name="05" sheetId="4" r:id="rId28"/>
    <sheet name="04" sheetId="3" r:id="rId29"/>
    <sheet name="03" sheetId="34" r:id="rId30"/>
    <sheet name="02" sheetId="1" r:id="rId31"/>
    <sheet name="01" sheetId="12" r:id="rId32"/>
  </sheets>
  <calcPr calcId="124519"/>
</workbook>
</file>

<file path=xl/calcChain.xml><?xml version="1.0" encoding="utf-8"?>
<calcChain xmlns="http://schemas.openxmlformats.org/spreadsheetml/2006/main">
  <c r="B11" i="11"/>
  <c r="B9"/>
  <c r="C7"/>
  <c r="G170" i="26"/>
  <c r="K149"/>
  <c r="F149"/>
  <c r="F148"/>
  <c r="K147"/>
  <c r="K146"/>
  <c r="K145"/>
  <c r="F145"/>
  <c r="K143"/>
  <c r="K142"/>
  <c r="F142"/>
  <c r="K140"/>
  <c r="K139"/>
  <c r="K138"/>
  <c r="F138"/>
  <c r="I136"/>
  <c r="K136" s="1"/>
  <c r="F136"/>
  <c r="F135"/>
  <c r="K135"/>
  <c r="F134"/>
  <c r="I130"/>
  <c r="I131"/>
  <c r="K131" s="1"/>
  <c r="I132"/>
  <c r="K132" s="1"/>
  <c r="F133"/>
  <c r="K130"/>
  <c r="F130"/>
  <c r="F123"/>
  <c r="F119"/>
  <c r="F115"/>
  <c r="F111"/>
  <c r="G193"/>
  <c r="G192"/>
  <c r="K66"/>
  <c r="F66"/>
  <c r="F68" s="1"/>
  <c r="F60"/>
  <c r="F54"/>
  <c r="F57"/>
  <c r="F51"/>
  <c r="F48"/>
  <c r="K42"/>
  <c r="I41"/>
  <c r="K41" s="1"/>
  <c r="I39"/>
  <c r="F39"/>
  <c r="F44" s="1"/>
  <c r="K43"/>
  <c r="K40"/>
  <c r="K39"/>
  <c r="I36"/>
  <c r="I33"/>
  <c r="F33"/>
  <c r="F38" s="1"/>
  <c r="F45" s="1"/>
  <c r="F26"/>
  <c r="F22"/>
  <c r="F18"/>
  <c r="K16"/>
  <c r="K15"/>
  <c r="K14"/>
  <c r="F14"/>
  <c r="F10"/>
  <c r="F6"/>
  <c r="K164"/>
  <c r="K163"/>
  <c r="K162"/>
  <c r="K161"/>
  <c r="K160"/>
  <c r="K159"/>
  <c r="F159"/>
  <c r="K157"/>
  <c r="K156"/>
  <c r="K155"/>
  <c r="K153"/>
  <c r="K154"/>
  <c r="K152"/>
  <c r="F152"/>
  <c r="G233" i="25"/>
  <c r="F78"/>
  <c r="K81"/>
  <c r="K80"/>
  <c r="K176" i="26"/>
  <c r="M176" s="1"/>
  <c r="K175"/>
  <c r="M175" s="1"/>
  <c r="I115" i="25"/>
  <c r="M178" i="26"/>
  <c r="M177"/>
  <c r="I80"/>
  <c r="I79"/>
  <c r="I78"/>
  <c r="K106"/>
  <c r="K105"/>
  <c r="K148" l="1"/>
  <c r="K133"/>
  <c r="K44"/>
  <c r="L44" s="1"/>
  <c r="F102" l="1"/>
  <c r="K98"/>
  <c r="K97"/>
  <c r="K100"/>
  <c r="K99"/>
  <c r="K96"/>
  <c r="F96"/>
  <c r="K94"/>
  <c r="K93"/>
  <c r="K92"/>
  <c r="K91"/>
  <c r="K90"/>
  <c r="F90"/>
  <c r="I86"/>
  <c r="K86" s="1"/>
  <c r="I85"/>
  <c r="K85" s="1"/>
  <c r="I84"/>
  <c r="K84" s="1"/>
  <c r="F84"/>
  <c r="K88"/>
  <c r="K87"/>
  <c r="I82"/>
  <c r="K82" s="1"/>
  <c r="I81"/>
  <c r="K81" s="1"/>
  <c r="K80"/>
  <c r="K79"/>
  <c r="K78"/>
  <c r="K83" s="1"/>
  <c r="F78"/>
  <c r="F83" s="1"/>
  <c r="I76"/>
  <c r="K76" s="1"/>
  <c r="I75"/>
  <c r="K75" s="1"/>
  <c r="I74"/>
  <c r="K74" s="1"/>
  <c r="I73"/>
  <c r="K73" s="1"/>
  <c r="I72"/>
  <c r="K72" s="1"/>
  <c r="F72"/>
  <c r="F77" s="1"/>
  <c r="K77" l="1"/>
  <c r="L77" l="1"/>
  <c r="F248" i="25"/>
  <c r="F169"/>
  <c r="K167"/>
  <c r="K166"/>
  <c r="K165"/>
  <c r="K164"/>
  <c r="K163"/>
  <c r="F163"/>
  <c r="K161"/>
  <c r="K160"/>
  <c r="K159"/>
  <c r="F160"/>
  <c r="F159"/>
  <c r="F138"/>
  <c r="F156"/>
  <c r="F153"/>
  <c r="F155" s="1"/>
  <c r="I131"/>
  <c r="F146"/>
  <c r="F142"/>
  <c r="I130"/>
  <c r="F134"/>
  <c r="F130"/>
  <c r="I75" i="18"/>
  <c r="I52"/>
  <c r="I56"/>
  <c r="M243" i="25"/>
  <c r="K242"/>
  <c r="I125"/>
  <c r="K125" s="1"/>
  <c r="I124"/>
  <c r="K124" s="1"/>
  <c r="I123"/>
  <c r="K123" s="1"/>
  <c r="I122"/>
  <c r="K122" s="1"/>
  <c r="K121"/>
  <c r="F121"/>
  <c r="F126" s="1"/>
  <c r="K116"/>
  <c r="K117"/>
  <c r="K119"/>
  <c r="K118"/>
  <c r="K115"/>
  <c r="F115"/>
  <c r="F120" s="1"/>
  <c r="I111"/>
  <c r="I110"/>
  <c r="K110" s="1"/>
  <c r="K113"/>
  <c r="K112"/>
  <c r="F109"/>
  <c r="I95"/>
  <c r="I94"/>
  <c r="I93"/>
  <c r="I92"/>
  <c r="I91"/>
  <c r="K107"/>
  <c r="K106"/>
  <c r="K105"/>
  <c r="K104"/>
  <c r="K103"/>
  <c r="F103"/>
  <c r="F162" l="1"/>
  <c r="K168"/>
  <c r="K120"/>
  <c r="L120" s="1"/>
  <c r="K162"/>
  <c r="K126"/>
  <c r="L162" l="1"/>
  <c r="L126"/>
  <c r="K99" l="1"/>
  <c r="K101"/>
  <c r="K100"/>
  <c r="K98"/>
  <c r="K97"/>
  <c r="F97"/>
  <c r="K95"/>
  <c r="K94"/>
  <c r="K93"/>
  <c r="K92"/>
  <c r="K91"/>
  <c r="F91"/>
  <c r="I89"/>
  <c r="K89" s="1"/>
  <c r="I88"/>
  <c r="K88" s="1"/>
  <c r="I87"/>
  <c r="K87" s="1"/>
  <c r="I86"/>
  <c r="K86" s="1"/>
  <c r="I85"/>
  <c r="K85" s="1"/>
  <c r="F85"/>
  <c r="F77"/>
  <c r="K83"/>
  <c r="K82"/>
  <c r="K78"/>
  <c r="K79"/>
  <c r="K77"/>
  <c r="F258"/>
  <c r="G257"/>
  <c r="G256"/>
  <c r="G255"/>
  <c r="G254"/>
  <c r="G253"/>
  <c r="G252"/>
  <c r="G251"/>
  <c r="G250"/>
  <c r="G249"/>
  <c r="G248"/>
  <c r="G247"/>
  <c r="F246"/>
  <c r="G245"/>
  <c r="G244"/>
  <c r="F195" i="26"/>
  <c r="G194"/>
  <c r="G191"/>
  <c r="G190"/>
  <c r="G189"/>
  <c r="G188"/>
  <c r="G187"/>
  <c r="G186"/>
  <c r="G185"/>
  <c r="G184"/>
  <c r="F183"/>
  <c r="G182"/>
  <c r="G181"/>
  <c r="F290" i="27"/>
  <c r="G289"/>
  <c r="G288"/>
  <c r="G287"/>
  <c r="G286"/>
  <c r="G285"/>
  <c r="G284"/>
  <c r="G283"/>
  <c r="G282"/>
  <c r="G281"/>
  <c r="G280"/>
  <c r="G279"/>
  <c r="G290" s="1"/>
  <c r="F270" s="1"/>
  <c r="F278"/>
  <c r="F291" s="1"/>
  <c r="G277"/>
  <c r="F271" s="1"/>
  <c r="G276"/>
  <c r="G278" s="1"/>
  <c r="G244" i="36"/>
  <c r="F245"/>
  <c r="G243"/>
  <c r="G242"/>
  <c r="G241"/>
  <c r="G240"/>
  <c r="G239"/>
  <c r="G238"/>
  <c r="G237"/>
  <c r="G236"/>
  <c r="G235"/>
  <c r="G234"/>
  <c r="F233"/>
  <c r="G232"/>
  <c r="G231"/>
  <c r="G233" s="1"/>
  <c r="F186" i="33"/>
  <c r="G186" s="1"/>
  <c r="G185"/>
  <c r="G184"/>
  <c r="G183"/>
  <c r="G182"/>
  <c r="G181"/>
  <c r="G180"/>
  <c r="G179"/>
  <c r="G178"/>
  <c r="G187" s="1"/>
  <c r="F169" s="1"/>
  <c r="K120"/>
  <c r="K119"/>
  <c r="F120"/>
  <c r="F119"/>
  <c r="K117"/>
  <c r="K115"/>
  <c r="F115"/>
  <c r="F111"/>
  <c r="K113"/>
  <c r="K112"/>
  <c r="K111"/>
  <c r="F108"/>
  <c r="F110" s="1"/>
  <c r="K109"/>
  <c r="K108"/>
  <c r="K110" s="1"/>
  <c r="K106"/>
  <c r="K105"/>
  <c r="K104"/>
  <c r="K103"/>
  <c r="F103"/>
  <c r="F107" s="1"/>
  <c r="F96"/>
  <c r="F92"/>
  <c r="F88"/>
  <c r="G197" i="19"/>
  <c r="G170" i="31"/>
  <c r="K173" i="33"/>
  <c r="K171"/>
  <c r="M171" s="1"/>
  <c r="K170"/>
  <c r="M170" s="1"/>
  <c r="K169"/>
  <c r="M169" s="1"/>
  <c r="M174"/>
  <c r="M172"/>
  <c r="K101" i="19"/>
  <c r="F101"/>
  <c r="I66"/>
  <c r="I96"/>
  <c r="I95"/>
  <c r="I94"/>
  <c r="I54"/>
  <c r="I53"/>
  <c r="I52"/>
  <c r="I48"/>
  <c r="I80" i="33"/>
  <c r="K80" s="1"/>
  <c r="I79"/>
  <c r="K79" s="1"/>
  <c r="K83"/>
  <c r="K82"/>
  <c r="K81"/>
  <c r="F79"/>
  <c r="F58" i="19"/>
  <c r="I58"/>
  <c r="I59"/>
  <c r="K77" i="33"/>
  <c r="K76"/>
  <c r="K75"/>
  <c r="K74"/>
  <c r="K73"/>
  <c r="F73"/>
  <c r="K71"/>
  <c r="K70"/>
  <c r="K69"/>
  <c r="K68"/>
  <c r="K67"/>
  <c r="F67"/>
  <c r="I90" i="31"/>
  <c r="I89"/>
  <c r="I88"/>
  <c r="I87"/>
  <c r="I86"/>
  <c r="F86"/>
  <c r="K65" i="33"/>
  <c r="K64"/>
  <c r="K63"/>
  <c r="K61"/>
  <c r="K62"/>
  <c r="F61"/>
  <c r="F55"/>
  <c r="K59"/>
  <c r="K58"/>
  <c r="K57"/>
  <c r="K56"/>
  <c r="K55"/>
  <c r="K53"/>
  <c r="K52"/>
  <c r="K49"/>
  <c r="F49"/>
  <c r="I47"/>
  <c r="K47" s="1"/>
  <c r="I46"/>
  <c r="K46" s="1"/>
  <c r="I45"/>
  <c r="K45" s="1"/>
  <c r="I44"/>
  <c r="K44" s="1"/>
  <c r="I43"/>
  <c r="K43" s="1"/>
  <c r="F43"/>
  <c r="F71" i="31"/>
  <c r="F66" i="25"/>
  <c r="K55"/>
  <c r="F53"/>
  <c r="F58" s="1"/>
  <c r="K57"/>
  <c r="K56"/>
  <c r="K54"/>
  <c r="K53"/>
  <c r="I29"/>
  <c r="F29"/>
  <c r="K45"/>
  <c r="K44"/>
  <c r="K43"/>
  <c r="K42"/>
  <c r="K41"/>
  <c r="F41"/>
  <c r="F46" s="1"/>
  <c r="K50"/>
  <c r="K47"/>
  <c r="F65"/>
  <c r="F62"/>
  <c r="F47"/>
  <c r="F48"/>
  <c r="K51"/>
  <c r="K49"/>
  <c r="K48"/>
  <c r="N44"/>
  <c r="F35"/>
  <c r="F15"/>
  <c r="K24"/>
  <c r="K23"/>
  <c r="K22"/>
  <c r="F22"/>
  <c r="F25" s="1"/>
  <c r="F18"/>
  <c r="F21" s="1"/>
  <c r="K20"/>
  <c r="K19"/>
  <c r="K18"/>
  <c r="K16"/>
  <c r="K15"/>
  <c r="K14"/>
  <c r="F14"/>
  <c r="F10"/>
  <c r="F13" s="1"/>
  <c r="F6"/>
  <c r="K33" i="33"/>
  <c r="K32"/>
  <c r="F32"/>
  <c r="F34" s="1"/>
  <c r="F29"/>
  <c r="K30"/>
  <c r="K29"/>
  <c r="K27"/>
  <c r="K26"/>
  <c r="F26"/>
  <c r="F28" s="1"/>
  <c r="G195" i="26" l="1"/>
  <c r="F175" s="1"/>
  <c r="F177" s="1"/>
  <c r="F196"/>
  <c r="G183"/>
  <c r="L110" i="33"/>
  <c r="F187"/>
  <c r="G246" i="25"/>
  <c r="F239"/>
  <c r="F259"/>
  <c r="K52"/>
  <c r="F52"/>
  <c r="G258"/>
  <c r="F238" s="1"/>
  <c r="F240" s="1"/>
  <c r="F176" i="26"/>
  <c r="G291" i="27"/>
  <c r="F273"/>
  <c r="F272"/>
  <c r="G245" i="36"/>
  <c r="F225" s="1"/>
  <c r="F246"/>
  <c r="F226"/>
  <c r="G246"/>
  <c r="F227"/>
  <c r="F228"/>
  <c r="K107" i="33"/>
  <c r="K58" i="25"/>
  <c r="K25"/>
  <c r="K17"/>
  <c r="K21"/>
  <c r="L21" s="1"/>
  <c r="F17"/>
  <c r="K34" i="33"/>
  <c r="L34" s="1"/>
  <c r="F31"/>
  <c r="F35" s="1"/>
  <c r="K31"/>
  <c r="K28"/>
  <c r="G196" i="26" l="1"/>
  <c r="L52" i="25"/>
  <c r="G259"/>
  <c r="K35" i="33"/>
  <c r="L17" i="25"/>
  <c r="L31" i="33"/>
  <c r="L28"/>
  <c r="K224" i="25" l="1"/>
  <c r="K223"/>
  <c r="K221"/>
  <c r="F219"/>
  <c r="F228" s="1"/>
  <c r="K227"/>
  <c r="K226"/>
  <c r="K225"/>
  <c r="K222"/>
  <c r="K220"/>
  <c r="K219"/>
  <c r="K217"/>
  <c r="K216"/>
  <c r="K215"/>
  <c r="K214"/>
  <c r="K213"/>
  <c r="K212"/>
  <c r="F212"/>
  <c r="F218" s="1"/>
  <c r="F204"/>
  <c r="F211" s="1"/>
  <c r="K210"/>
  <c r="K209"/>
  <c r="K208"/>
  <c r="K207"/>
  <c r="K206"/>
  <c r="K205"/>
  <c r="K204"/>
  <c r="K199"/>
  <c r="K198"/>
  <c r="F197"/>
  <c r="F203" s="1"/>
  <c r="K202"/>
  <c r="K201"/>
  <c r="K200"/>
  <c r="K197"/>
  <c r="F189"/>
  <c r="F196" s="1"/>
  <c r="K195"/>
  <c r="K194"/>
  <c r="K193"/>
  <c r="K192"/>
  <c r="K191"/>
  <c r="K190"/>
  <c r="K189"/>
  <c r="K187"/>
  <c r="K179"/>
  <c r="K178"/>
  <c r="K186"/>
  <c r="K185"/>
  <c r="K184"/>
  <c r="K183"/>
  <c r="K182"/>
  <c r="K181"/>
  <c r="K180"/>
  <c r="K177"/>
  <c r="K176"/>
  <c r="F176"/>
  <c r="F188" s="1"/>
  <c r="F152" i="33"/>
  <c r="F159" s="1"/>
  <c r="K158"/>
  <c r="K157"/>
  <c r="K156"/>
  <c r="K155"/>
  <c r="K154"/>
  <c r="K153"/>
  <c r="K152"/>
  <c r="F144"/>
  <c r="F151" s="1"/>
  <c r="K150"/>
  <c r="K149"/>
  <c r="K148"/>
  <c r="K147"/>
  <c r="K146"/>
  <c r="K145"/>
  <c r="K144"/>
  <c r="K142"/>
  <c r="K141"/>
  <c r="K140"/>
  <c r="K139"/>
  <c r="K135"/>
  <c r="F229" i="25" l="1"/>
  <c r="K228"/>
  <c r="K218"/>
  <c r="L218" s="1"/>
  <c r="K211"/>
  <c r="L211" s="1"/>
  <c r="K196"/>
  <c r="K203"/>
  <c r="L203" s="1"/>
  <c r="K188"/>
  <c r="K159" i="33"/>
  <c r="L159" s="1"/>
  <c r="K151"/>
  <c r="L151" s="1"/>
  <c r="K229" i="25" l="1"/>
  <c r="K137" i="33"/>
  <c r="K136"/>
  <c r="K134"/>
  <c r="F134"/>
  <c r="F143" s="1"/>
  <c r="K132"/>
  <c r="K130"/>
  <c r="K129"/>
  <c r="K128"/>
  <c r="K127"/>
  <c r="K126"/>
  <c r="K125"/>
  <c r="F125"/>
  <c r="F133" s="1"/>
  <c r="F160" s="1"/>
  <c r="F40"/>
  <c r="F10"/>
  <c r="F6"/>
  <c r="I35" i="31" l="1"/>
  <c r="F47"/>
  <c r="I72"/>
  <c r="I71"/>
  <c r="F195"/>
  <c r="M187"/>
  <c r="M188"/>
  <c r="M189"/>
  <c r="M190"/>
  <c r="M191"/>
  <c r="M192"/>
  <c r="M193"/>
  <c r="M194"/>
  <c r="G189"/>
  <c r="G190"/>
  <c r="G191"/>
  <c r="G192"/>
  <c r="G193"/>
  <c r="F222" i="19"/>
  <c r="G220"/>
  <c r="G219"/>
  <c r="G218"/>
  <c r="G216"/>
  <c r="F217"/>
  <c r="G217" s="1"/>
  <c r="G221"/>
  <c r="F55" i="13"/>
  <c r="F13" i="19"/>
  <c r="G194" i="31"/>
  <c r="G195" s="1"/>
  <c r="F177" s="1"/>
  <c r="K150"/>
  <c r="K153"/>
  <c r="K152"/>
  <c r="K151"/>
  <c r="F150"/>
  <c r="F154" s="1"/>
  <c r="K148"/>
  <c r="K147"/>
  <c r="F147"/>
  <c r="K145"/>
  <c r="K144"/>
  <c r="K143"/>
  <c r="F143"/>
  <c r="F146" s="1"/>
  <c r="K140"/>
  <c r="F140"/>
  <c r="F142" s="1"/>
  <c r="K138"/>
  <c r="K137"/>
  <c r="I136"/>
  <c r="F138"/>
  <c r="F137"/>
  <c r="F136"/>
  <c r="K131"/>
  <c r="K130"/>
  <c r="F130"/>
  <c r="F126"/>
  <c r="F122"/>
  <c r="F118"/>
  <c r="F114"/>
  <c r="I42" i="19"/>
  <c r="K42" s="1"/>
  <c r="K41"/>
  <c r="I83"/>
  <c r="I82"/>
  <c r="K58" i="18"/>
  <c r="K57"/>
  <c r="K56"/>
  <c r="K55"/>
  <c r="K54"/>
  <c r="I51"/>
  <c r="G195" i="17"/>
  <c r="M180" i="31"/>
  <c r="M179"/>
  <c r="K178"/>
  <c r="M178" s="1"/>
  <c r="K177"/>
  <c r="M177" s="1"/>
  <c r="K181"/>
  <c r="K176"/>
  <c r="K175"/>
  <c r="M175" s="1"/>
  <c r="M186"/>
  <c r="M185"/>
  <c r="M184"/>
  <c r="M183"/>
  <c r="M182"/>
  <c r="M181"/>
  <c r="K109"/>
  <c r="K108"/>
  <c r="K107"/>
  <c r="K106"/>
  <c r="K105"/>
  <c r="F105"/>
  <c r="K103"/>
  <c r="K102"/>
  <c r="K101"/>
  <c r="K100"/>
  <c r="K99"/>
  <c r="F99"/>
  <c r="F92"/>
  <c r="F98" s="1"/>
  <c r="I97"/>
  <c r="K97" s="1"/>
  <c r="I96"/>
  <c r="K96" s="1"/>
  <c r="I95"/>
  <c r="K95" s="1"/>
  <c r="I94"/>
  <c r="K94" s="1"/>
  <c r="I93"/>
  <c r="I92"/>
  <c r="K92" s="1"/>
  <c r="K93"/>
  <c r="K90"/>
  <c r="K89"/>
  <c r="K88"/>
  <c r="K87"/>
  <c r="K86"/>
  <c r="F23"/>
  <c r="F75"/>
  <c r="F74"/>
  <c r="F68"/>
  <c r="F60"/>
  <c r="K63"/>
  <c r="K62"/>
  <c r="K61"/>
  <c r="K60"/>
  <c r="K59"/>
  <c r="F59"/>
  <c r="F53"/>
  <c r="F58" s="1"/>
  <c r="F41"/>
  <c r="F35"/>
  <c r="F29"/>
  <c r="F22"/>
  <c r="F18"/>
  <c r="K20"/>
  <c r="K19"/>
  <c r="K18"/>
  <c r="F14"/>
  <c r="F10"/>
  <c r="F6"/>
  <c r="K8"/>
  <c r="K7"/>
  <c r="K6"/>
  <c r="E194" i="20"/>
  <c r="E149" i="21"/>
  <c r="G212" i="23"/>
  <c r="E212"/>
  <c r="G229" i="24"/>
  <c r="G228"/>
  <c r="E228"/>
  <c r="G227" i="32"/>
  <c r="G226"/>
  <c r="E226"/>
  <c r="F139" i="31" l="1"/>
  <c r="K146"/>
  <c r="K154"/>
  <c r="K195"/>
  <c r="M176"/>
  <c r="M195" s="1"/>
  <c r="K98"/>
  <c r="L98" s="1"/>
  <c r="F64"/>
  <c r="K64"/>
  <c r="J170" l="1"/>
  <c r="M196"/>
  <c r="K166" i="19" l="1"/>
  <c r="I163"/>
  <c r="K163" s="1"/>
  <c r="F163"/>
  <c r="F170" s="1"/>
  <c r="K169"/>
  <c r="K168"/>
  <c r="K167"/>
  <c r="K165"/>
  <c r="K164"/>
  <c r="I135" i="15"/>
  <c r="I134"/>
  <c r="I133"/>
  <c r="F129" i="19"/>
  <c r="F132" s="1"/>
  <c r="K131"/>
  <c r="K130"/>
  <c r="K129"/>
  <c r="K127"/>
  <c r="K126"/>
  <c r="K125"/>
  <c r="F125"/>
  <c r="F128" s="1"/>
  <c r="F121"/>
  <c r="F124" s="1"/>
  <c r="I110"/>
  <c r="I109"/>
  <c r="I108"/>
  <c r="I119"/>
  <c r="I118"/>
  <c r="I117"/>
  <c r="F117"/>
  <c r="I131" i="16"/>
  <c r="I130"/>
  <c r="I129"/>
  <c r="F113" i="19"/>
  <c r="K111"/>
  <c r="F108"/>
  <c r="F104"/>
  <c r="F32"/>
  <c r="F34" s="1"/>
  <c r="K32"/>
  <c r="K158"/>
  <c r="K157"/>
  <c r="F157"/>
  <c r="F159" s="1"/>
  <c r="K154"/>
  <c r="K155"/>
  <c r="K156" s="1"/>
  <c r="F154"/>
  <c r="F156" s="1"/>
  <c r="K151"/>
  <c r="K152"/>
  <c r="F151"/>
  <c r="F153" s="1"/>
  <c r="K149"/>
  <c r="K148"/>
  <c r="K147"/>
  <c r="F147"/>
  <c r="F150" s="1"/>
  <c r="K145"/>
  <c r="K144"/>
  <c r="F143"/>
  <c r="K140"/>
  <c r="F140"/>
  <c r="K137"/>
  <c r="K136"/>
  <c r="K138"/>
  <c r="F136"/>
  <c r="F139" s="1"/>
  <c r="K216"/>
  <c r="K215"/>
  <c r="K213"/>
  <c r="I70" i="14"/>
  <c r="I69"/>
  <c r="I68"/>
  <c r="I59" i="16"/>
  <c r="K67"/>
  <c r="I64"/>
  <c r="I89"/>
  <c r="I88"/>
  <c r="I87"/>
  <c r="K98" i="19"/>
  <c r="K97"/>
  <c r="K96"/>
  <c r="K95"/>
  <c r="K94"/>
  <c r="F94"/>
  <c r="I92"/>
  <c r="K92" s="1"/>
  <c r="I91"/>
  <c r="K91" s="1"/>
  <c r="I90"/>
  <c r="K90" s="1"/>
  <c r="I89"/>
  <c r="K89" s="1"/>
  <c r="I88"/>
  <c r="K88" s="1"/>
  <c r="F88"/>
  <c r="F82"/>
  <c r="K86"/>
  <c r="K85"/>
  <c r="K84"/>
  <c r="K83"/>
  <c r="K82"/>
  <c r="I78"/>
  <c r="K78" s="1"/>
  <c r="I77"/>
  <c r="K77" s="1"/>
  <c r="I76"/>
  <c r="K76" s="1"/>
  <c r="K80"/>
  <c r="K79"/>
  <c r="F76"/>
  <c r="I72"/>
  <c r="K72" s="1"/>
  <c r="I70"/>
  <c r="K70" s="1"/>
  <c r="F70"/>
  <c r="K74"/>
  <c r="K73"/>
  <c r="K71"/>
  <c r="I53" i="18"/>
  <c r="K68" i="19"/>
  <c r="K67"/>
  <c r="K66"/>
  <c r="K65"/>
  <c r="K64"/>
  <c r="F64"/>
  <c r="I62"/>
  <c r="K62" s="1"/>
  <c r="I61"/>
  <c r="K61" s="1"/>
  <c r="I60"/>
  <c r="K60" s="1"/>
  <c r="K59"/>
  <c r="K58"/>
  <c r="I56"/>
  <c r="K56" s="1"/>
  <c r="I55"/>
  <c r="K55" s="1"/>
  <c r="K54"/>
  <c r="K53"/>
  <c r="K52"/>
  <c r="F52"/>
  <c r="I44"/>
  <c r="K44" s="1"/>
  <c r="I43"/>
  <c r="F46"/>
  <c r="F68" i="18"/>
  <c r="K50" i="19"/>
  <c r="K49"/>
  <c r="K48"/>
  <c r="K47"/>
  <c r="K46"/>
  <c r="K43"/>
  <c r="I40"/>
  <c r="K40" s="1"/>
  <c r="I39"/>
  <c r="K39" s="1"/>
  <c r="I38"/>
  <c r="K38" s="1"/>
  <c r="F38"/>
  <c r="K191"/>
  <c r="K190"/>
  <c r="K189"/>
  <c r="K188"/>
  <c r="K187"/>
  <c r="F187"/>
  <c r="F192" s="1"/>
  <c r="K182"/>
  <c r="F179"/>
  <c r="F186" s="1"/>
  <c r="K174"/>
  <c r="K177"/>
  <c r="K176"/>
  <c r="K175"/>
  <c r="K173"/>
  <c r="K172"/>
  <c r="K171"/>
  <c r="F171"/>
  <c r="F178" s="1"/>
  <c r="M212"/>
  <c r="M213"/>
  <c r="M211"/>
  <c r="M210"/>
  <c r="F193" l="1"/>
  <c r="K170"/>
  <c r="K159"/>
  <c r="L159" s="1"/>
  <c r="K132"/>
  <c r="L132" s="1"/>
  <c r="K128"/>
  <c r="L128" s="1"/>
  <c r="K153"/>
  <c r="L153" s="1"/>
  <c r="L156"/>
  <c r="K223"/>
  <c r="K150"/>
  <c r="L150" s="1"/>
  <c r="K139"/>
  <c r="K192"/>
  <c r="K178"/>
  <c r="L170" l="1"/>
  <c r="F177" i="33"/>
  <c r="G176"/>
  <c r="G175"/>
  <c r="F252" i="32"/>
  <c r="G245"/>
  <c r="G244"/>
  <c r="G243"/>
  <c r="G242"/>
  <c r="G241"/>
  <c r="F240"/>
  <c r="G239"/>
  <c r="G238"/>
  <c r="F254" i="24"/>
  <c r="G247"/>
  <c r="G246"/>
  <c r="G245"/>
  <c r="G244"/>
  <c r="G243"/>
  <c r="F242"/>
  <c r="G241"/>
  <c r="G240"/>
  <c r="F238" i="23"/>
  <c r="G231"/>
  <c r="G230"/>
  <c r="G229"/>
  <c r="G228"/>
  <c r="G227"/>
  <c r="F226"/>
  <c r="G225"/>
  <c r="G224"/>
  <c r="F278" i="22"/>
  <c r="G271"/>
  <c r="G270"/>
  <c r="G269"/>
  <c r="G268"/>
  <c r="G267"/>
  <c r="G278" s="1"/>
  <c r="F266"/>
  <c r="G265"/>
  <c r="G264"/>
  <c r="F175" i="21"/>
  <c r="G168"/>
  <c r="G167"/>
  <c r="G166"/>
  <c r="G165"/>
  <c r="G164"/>
  <c r="F163"/>
  <c r="G162"/>
  <c r="G161"/>
  <c r="F220" i="20"/>
  <c r="G213"/>
  <c r="G212"/>
  <c r="G211"/>
  <c r="G210"/>
  <c r="G209"/>
  <c r="F208"/>
  <c r="F221" s="1"/>
  <c r="G207"/>
  <c r="G206"/>
  <c r="G188" i="31"/>
  <c r="G187"/>
  <c r="G186"/>
  <c r="G185"/>
  <c r="G184"/>
  <c r="F183"/>
  <c r="G182"/>
  <c r="G181"/>
  <c r="G212" i="19"/>
  <c r="G213"/>
  <c r="G177" i="33" l="1"/>
  <c r="G188" s="1"/>
  <c r="F188"/>
  <c r="G183" i="31"/>
  <c r="F196"/>
  <c r="G226" i="23"/>
  <c r="F239"/>
  <c r="G238"/>
  <c r="G266" i="22"/>
  <c r="G279" s="1"/>
  <c r="F279"/>
  <c r="G163" i="21"/>
  <c r="F176"/>
  <c r="G175"/>
  <c r="G176" s="1"/>
  <c r="G220" i="20"/>
  <c r="G208"/>
  <c r="G254" i="24"/>
  <c r="G242"/>
  <c r="F255"/>
  <c r="G240" i="32"/>
  <c r="F253"/>
  <c r="G252"/>
  <c r="G196" i="31" l="1"/>
  <c r="F175" s="1"/>
  <c r="G253" i="32"/>
  <c r="G255" i="24"/>
  <c r="G239" i="23"/>
  <c r="G221" i="20"/>
  <c r="G215" i="19"/>
  <c r="G214"/>
  <c r="G211"/>
  <c r="F210"/>
  <c r="G209"/>
  <c r="G208"/>
  <c r="F200" i="20"/>
  <c r="F201"/>
  <c r="F155" i="21"/>
  <c r="F156"/>
  <c r="F258" i="22"/>
  <c r="F259"/>
  <c r="F218" i="23"/>
  <c r="F219"/>
  <c r="F170" i="33"/>
  <c r="F233" i="32"/>
  <c r="F235" i="24"/>
  <c r="F248" i="18"/>
  <c r="G247"/>
  <c r="G246"/>
  <c r="I162"/>
  <c r="K183"/>
  <c r="K184"/>
  <c r="K182"/>
  <c r="K181"/>
  <c r="F181"/>
  <c r="F185" s="1"/>
  <c r="K179"/>
  <c r="K178"/>
  <c r="K177"/>
  <c r="F177"/>
  <c r="F180" s="1"/>
  <c r="K175"/>
  <c r="K174"/>
  <c r="K173"/>
  <c r="K172"/>
  <c r="F172"/>
  <c r="F176" s="1"/>
  <c r="I170"/>
  <c r="I169"/>
  <c r="K169" s="1"/>
  <c r="I168"/>
  <c r="K168" s="1"/>
  <c r="I167"/>
  <c r="K167" s="1"/>
  <c r="K170"/>
  <c r="F167"/>
  <c r="F171" s="1"/>
  <c r="K165"/>
  <c r="K162"/>
  <c r="K164"/>
  <c r="K163"/>
  <c r="K161"/>
  <c r="F161"/>
  <c r="F166" s="1"/>
  <c r="K159"/>
  <c r="K158"/>
  <c r="K157"/>
  <c r="K156"/>
  <c r="F156"/>
  <c r="F160" s="1"/>
  <c r="F149"/>
  <c r="F152" s="1"/>
  <c r="K151"/>
  <c r="K150"/>
  <c r="K149"/>
  <c r="F145"/>
  <c r="F148" s="1"/>
  <c r="K147"/>
  <c r="K146"/>
  <c r="K145"/>
  <c r="F141"/>
  <c r="F144" s="1"/>
  <c r="K143"/>
  <c r="K142"/>
  <c r="K141"/>
  <c r="K139"/>
  <c r="K135"/>
  <c r="K138"/>
  <c r="K137"/>
  <c r="F137"/>
  <c r="F140" s="1"/>
  <c r="F129"/>
  <c r="F132" s="1"/>
  <c r="K134"/>
  <c r="K133"/>
  <c r="F133"/>
  <c r="F136" s="1"/>
  <c r="K131"/>
  <c r="K130"/>
  <c r="K129"/>
  <c r="K127"/>
  <c r="K126"/>
  <c r="K125"/>
  <c r="F125"/>
  <c r="F128" s="1"/>
  <c r="F113"/>
  <c r="F121"/>
  <c r="F124" s="1"/>
  <c r="F117"/>
  <c r="F109"/>
  <c r="M232"/>
  <c r="F98"/>
  <c r="F105" s="1"/>
  <c r="I101"/>
  <c r="K101" s="1"/>
  <c r="K102"/>
  <c r="I99"/>
  <c r="K99" s="1"/>
  <c r="I98"/>
  <c r="K98" s="1"/>
  <c r="I100"/>
  <c r="K100" s="1"/>
  <c r="K104"/>
  <c r="K103"/>
  <c r="F92"/>
  <c r="K96"/>
  <c r="K95"/>
  <c r="I94"/>
  <c r="K94" s="1"/>
  <c r="I93"/>
  <c r="K93" s="1"/>
  <c r="I92"/>
  <c r="K92" s="1"/>
  <c r="I87"/>
  <c r="K87" s="1"/>
  <c r="I88"/>
  <c r="I86"/>
  <c r="K86" s="1"/>
  <c r="K90"/>
  <c r="K89"/>
  <c r="K88"/>
  <c r="F86"/>
  <c r="F91" s="1"/>
  <c r="I88" i="17"/>
  <c r="I87"/>
  <c r="K95"/>
  <c r="I94"/>
  <c r="I96"/>
  <c r="I93"/>
  <c r="F93"/>
  <c r="I82"/>
  <c r="I84" i="18"/>
  <c r="I83"/>
  <c r="K82"/>
  <c r="K81"/>
  <c r="K84"/>
  <c r="K83"/>
  <c r="K80"/>
  <c r="F80"/>
  <c r="I89" i="17"/>
  <c r="K78" i="18"/>
  <c r="K77"/>
  <c r="K76"/>
  <c r="K75"/>
  <c r="K74"/>
  <c r="F74"/>
  <c r="I68"/>
  <c r="K68" s="1"/>
  <c r="K72"/>
  <c r="K71"/>
  <c r="K70"/>
  <c r="K69"/>
  <c r="F62"/>
  <c r="I64"/>
  <c r="K64" s="1"/>
  <c r="I63"/>
  <c r="K63" s="1"/>
  <c r="I62"/>
  <c r="K62" s="1"/>
  <c r="K66"/>
  <c r="K65"/>
  <c r="K51"/>
  <c r="K53"/>
  <c r="K52"/>
  <c r="F51"/>
  <c r="K60"/>
  <c r="K59"/>
  <c r="F17" i="16"/>
  <c r="F35" i="30"/>
  <c r="F34"/>
  <c r="K33"/>
  <c r="K32"/>
  <c r="K31"/>
  <c r="K30"/>
  <c r="K29"/>
  <c r="F29"/>
  <c r="F28"/>
  <c r="K55" i="10"/>
  <c r="F55"/>
  <c r="F54"/>
  <c r="K53"/>
  <c r="K52"/>
  <c r="K51"/>
  <c r="K54" s="1"/>
  <c r="K50"/>
  <c r="K49"/>
  <c r="K47"/>
  <c r="K46"/>
  <c r="K45"/>
  <c r="K44"/>
  <c r="K43"/>
  <c r="K48" s="1"/>
  <c r="F49"/>
  <c r="F45"/>
  <c r="F44"/>
  <c r="F43"/>
  <c r="F48" s="1"/>
  <c r="K41"/>
  <c r="K40"/>
  <c r="K39"/>
  <c r="K38"/>
  <c r="K37"/>
  <c r="F40"/>
  <c r="F39"/>
  <c r="F38"/>
  <c r="F42" s="1"/>
  <c r="F37"/>
  <c r="K35"/>
  <c r="K34"/>
  <c r="K33"/>
  <c r="K32"/>
  <c r="K31"/>
  <c r="F33"/>
  <c r="F32"/>
  <c r="F31"/>
  <c r="F36" s="1"/>
  <c r="F40" i="18"/>
  <c r="F14"/>
  <c r="F10"/>
  <c r="F39"/>
  <c r="F36"/>
  <c r="F28"/>
  <c r="F21"/>
  <c r="F27"/>
  <c r="F15"/>
  <c r="F6"/>
  <c r="K217"/>
  <c r="K216"/>
  <c r="F216"/>
  <c r="K221"/>
  <c r="K220"/>
  <c r="K219"/>
  <c r="K218"/>
  <c r="K211"/>
  <c r="K209"/>
  <c r="K208"/>
  <c r="K207"/>
  <c r="F207"/>
  <c r="K204"/>
  <c r="K205"/>
  <c r="K203"/>
  <c r="K202"/>
  <c r="K201"/>
  <c r="K200"/>
  <c r="K199"/>
  <c r="K198"/>
  <c r="F198"/>
  <c r="F206" s="1"/>
  <c r="K196"/>
  <c r="K189"/>
  <c r="F189"/>
  <c r="F197" s="1"/>
  <c r="K195"/>
  <c r="K194"/>
  <c r="K193"/>
  <c r="K192"/>
  <c r="K191"/>
  <c r="K190"/>
  <c r="F14" i="17"/>
  <c r="O22" i="15"/>
  <c r="G227" i="18" l="1"/>
  <c r="G222" i="19"/>
  <c r="F202" s="1"/>
  <c r="F176" i="31"/>
  <c r="F203" i="19"/>
  <c r="G210"/>
  <c r="G223" s="1"/>
  <c r="F223"/>
  <c r="K185" i="18"/>
  <c r="F186"/>
  <c r="F202" i="20"/>
  <c r="F157" i="21"/>
  <c r="F260" i="22"/>
  <c r="F220" i="23"/>
  <c r="F234" i="24"/>
  <c r="F232" i="32"/>
  <c r="F171" i="33"/>
  <c r="K171" i="18"/>
  <c r="L171" s="1"/>
  <c r="K180"/>
  <c r="L180" s="1"/>
  <c r="K105"/>
  <c r="K176"/>
  <c r="L176" s="1"/>
  <c r="K166"/>
  <c r="K160"/>
  <c r="K152"/>
  <c r="L152" s="1"/>
  <c r="K136"/>
  <c r="L136" s="1"/>
  <c r="K148"/>
  <c r="L148" s="1"/>
  <c r="K144"/>
  <c r="L144" s="1"/>
  <c r="K140"/>
  <c r="L140" s="1"/>
  <c r="K132"/>
  <c r="K128"/>
  <c r="L128" s="1"/>
  <c r="L105"/>
  <c r="K91"/>
  <c r="K34" i="30"/>
  <c r="K42" i="10"/>
  <c r="L42" s="1"/>
  <c r="K36"/>
  <c r="L48"/>
  <c r="K206" i="18"/>
  <c r="K197"/>
  <c r="F236" i="24" l="1"/>
  <c r="F234" i="32"/>
  <c r="F204" i="19"/>
  <c r="K186" i="18"/>
  <c r="L132"/>
  <c r="L36" i="10"/>
  <c r="L197" i="18"/>
  <c r="F218" i="17" l="1"/>
  <c r="F217"/>
  <c r="F216"/>
  <c r="G216" s="1"/>
  <c r="F215"/>
  <c r="G215" s="1"/>
  <c r="F210"/>
  <c r="F219" s="1"/>
  <c r="G217"/>
  <c r="G218"/>
  <c r="G214"/>
  <c r="K160"/>
  <c r="K159"/>
  <c r="F159"/>
  <c r="F161" s="1"/>
  <c r="I156"/>
  <c r="K157"/>
  <c r="I155"/>
  <c r="K155" s="1"/>
  <c r="I154"/>
  <c r="K154" s="1"/>
  <c r="F154"/>
  <c r="F158" s="1"/>
  <c r="K149"/>
  <c r="K148"/>
  <c r="K147"/>
  <c r="F147"/>
  <c r="F150" s="1"/>
  <c r="K145"/>
  <c r="K144"/>
  <c r="K143"/>
  <c r="F143"/>
  <c r="F146" s="1"/>
  <c r="F139"/>
  <c r="F142" s="1"/>
  <c r="F135"/>
  <c r="F131"/>
  <c r="F127"/>
  <c r="K125"/>
  <c r="K124"/>
  <c r="F121"/>
  <c r="F126" s="1"/>
  <c r="F162" l="1"/>
  <c r="K161"/>
  <c r="K150"/>
  <c r="L150" s="1"/>
  <c r="K146"/>
  <c r="L146" s="1"/>
  <c r="K206" l="1"/>
  <c r="M211"/>
  <c r="K205"/>
  <c r="K200"/>
  <c r="M210"/>
  <c r="M209"/>
  <c r="M208"/>
  <c r="M207"/>
  <c r="M206"/>
  <c r="I96" i="16"/>
  <c r="K96" s="1"/>
  <c r="K100"/>
  <c r="K99"/>
  <c r="K98"/>
  <c r="K97"/>
  <c r="I71"/>
  <c r="I57" i="13"/>
  <c r="I56"/>
  <c r="I55"/>
  <c r="I66" i="15"/>
  <c r="I67"/>
  <c r="K219" i="17" l="1"/>
  <c r="K114"/>
  <c r="K113"/>
  <c r="K116"/>
  <c r="K115"/>
  <c r="K112"/>
  <c r="F112"/>
  <c r="K108"/>
  <c r="K106"/>
  <c r="K110"/>
  <c r="K109"/>
  <c r="K107"/>
  <c r="F106"/>
  <c r="F100"/>
  <c r="K104"/>
  <c r="K103"/>
  <c r="K102"/>
  <c r="K101"/>
  <c r="K100"/>
  <c r="K96"/>
  <c r="I91"/>
  <c r="K91" s="1"/>
  <c r="I90"/>
  <c r="K90" s="1"/>
  <c r="K89"/>
  <c r="K88"/>
  <c r="K87"/>
  <c r="F87"/>
  <c r="F92" s="1"/>
  <c r="I56" i="16"/>
  <c r="I55"/>
  <c r="I53"/>
  <c r="I52"/>
  <c r="I51"/>
  <c r="I54"/>
  <c r="I75" i="17"/>
  <c r="K75" s="1"/>
  <c r="I76"/>
  <c r="K76" s="1"/>
  <c r="I85"/>
  <c r="K85" s="1"/>
  <c r="I84"/>
  <c r="K84" s="1"/>
  <c r="I83"/>
  <c r="K83" s="1"/>
  <c r="K82"/>
  <c r="I81"/>
  <c r="K81" s="1"/>
  <c r="F81"/>
  <c r="I77"/>
  <c r="K77" s="1"/>
  <c r="K79"/>
  <c r="K78"/>
  <c r="F75"/>
  <c r="K92" l="1"/>
  <c r="K185" l="1"/>
  <c r="K189"/>
  <c r="K188"/>
  <c r="K187"/>
  <c r="K186"/>
  <c r="K184"/>
  <c r="K183"/>
  <c r="K182"/>
  <c r="K181"/>
  <c r="F181"/>
  <c r="K175"/>
  <c r="K178"/>
  <c r="K177"/>
  <c r="K176"/>
  <c r="K174"/>
  <c r="K173"/>
  <c r="K172"/>
  <c r="F172"/>
  <c r="K170"/>
  <c r="K169"/>
  <c r="K168"/>
  <c r="K167"/>
  <c r="K166"/>
  <c r="K165"/>
  <c r="F165"/>
  <c r="F63"/>
  <c r="F62"/>
  <c r="K63"/>
  <c r="K62"/>
  <c r="K60"/>
  <c r="K59"/>
  <c r="F59"/>
  <c r="F61" s="1"/>
  <c r="K57"/>
  <c r="K56"/>
  <c r="F56"/>
  <c r="F58" s="1"/>
  <c r="F53"/>
  <c r="F55" s="1"/>
  <c r="F50"/>
  <c r="F47"/>
  <c r="F44"/>
  <c r="F36"/>
  <c r="F35"/>
  <c r="F29"/>
  <c r="F23"/>
  <c r="K24"/>
  <c r="K23"/>
  <c r="K22"/>
  <c r="F22"/>
  <c r="F18"/>
  <c r="F21" s="1"/>
  <c r="F10"/>
  <c r="F6"/>
  <c r="F64" l="1"/>
  <c r="K64"/>
  <c r="K61"/>
  <c r="L61" s="1"/>
  <c r="K58"/>
  <c r="L58" s="1"/>
  <c r="K25"/>
  <c r="F25"/>
  <c r="K75" i="29" l="1"/>
  <c r="F75"/>
  <c r="K150" i="4"/>
  <c r="F150"/>
  <c r="F138"/>
  <c r="F69" i="29"/>
  <c r="F144" i="4"/>
  <c r="F45" i="29"/>
  <c r="I73"/>
  <c r="K73" s="1"/>
  <c r="I72"/>
  <c r="K72" s="1"/>
  <c r="I71"/>
  <c r="K71" s="1"/>
  <c r="I70"/>
  <c r="K70" s="1"/>
  <c r="I69"/>
  <c r="K69" s="1"/>
  <c r="F32" i="16"/>
  <c r="F30"/>
  <c r="F29"/>
  <c r="F27"/>
  <c r="F26"/>
  <c r="F150"/>
  <c r="F154" s="1"/>
  <c r="F155" s="1"/>
  <c r="T22" i="11" s="1"/>
  <c r="K151" i="16"/>
  <c r="K153"/>
  <c r="K152"/>
  <c r="K150"/>
  <c r="G170" i="14"/>
  <c r="F170"/>
  <c r="F251" i="15"/>
  <c r="G195" i="16"/>
  <c r="G194"/>
  <c r="F192"/>
  <c r="F196" s="1"/>
  <c r="G191"/>
  <c r="K145"/>
  <c r="K144"/>
  <c r="F141"/>
  <c r="F146" s="1"/>
  <c r="K143"/>
  <c r="K142"/>
  <c r="K141"/>
  <c r="F137"/>
  <c r="F140" s="1"/>
  <c r="F133"/>
  <c r="F129"/>
  <c r="F125"/>
  <c r="M185"/>
  <c r="F84" i="13"/>
  <c r="K83"/>
  <c r="K84" s="1"/>
  <c r="K181" i="16"/>
  <c r="K179"/>
  <c r="I79" i="13"/>
  <c r="K79" s="1"/>
  <c r="K80"/>
  <c r="K78"/>
  <c r="K77"/>
  <c r="F116" i="16"/>
  <c r="F121" s="1"/>
  <c r="K120"/>
  <c r="K119"/>
  <c r="K118"/>
  <c r="K117"/>
  <c r="K116"/>
  <c r="I114"/>
  <c r="K114" s="1"/>
  <c r="I113"/>
  <c r="K113" s="1"/>
  <c r="I112"/>
  <c r="K112" s="1"/>
  <c r="I111"/>
  <c r="K111" s="1"/>
  <c r="I110"/>
  <c r="K110" s="1"/>
  <c r="F110"/>
  <c r="F115" s="1"/>
  <c r="I108"/>
  <c r="K108" s="1"/>
  <c r="I107"/>
  <c r="K107" s="1"/>
  <c r="I106"/>
  <c r="K106" s="1"/>
  <c r="I105"/>
  <c r="K105" s="1"/>
  <c r="I104"/>
  <c r="K104" s="1"/>
  <c r="F104"/>
  <c r="K93"/>
  <c r="K95"/>
  <c r="K94"/>
  <c r="F93"/>
  <c r="K88"/>
  <c r="K91"/>
  <c r="K90"/>
  <c r="K89"/>
  <c r="K87"/>
  <c r="F87"/>
  <c r="I62"/>
  <c r="K62" s="1"/>
  <c r="I61"/>
  <c r="K61" s="1"/>
  <c r="I60"/>
  <c r="K60" s="1"/>
  <c r="K59"/>
  <c r="I58"/>
  <c r="K58" s="1"/>
  <c r="K85"/>
  <c r="K84"/>
  <c r="K83"/>
  <c r="K82"/>
  <c r="K81"/>
  <c r="K102"/>
  <c r="K101"/>
  <c r="F81"/>
  <c r="F86" s="1"/>
  <c r="K79"/>
  <c r="K78"/>
  <c r="K77"/>
  <c r="K76"/>
  <c r="K75"/>
  <c r="F75"/>
  <c r="K73"/>
  <c r="K72"/>
  <c r="F71"/>
  <c r="K56"/>
  <c r="K55"/>
  <c r="K54"/>
  <c r="K52"/>
  <c r="K51"/>
  <c r="K65"/>
  <c r="K64"/>
  <c r="K69"/>
  <c r="K68"/>
  <c r="K66"/>
  <c r="F64"/>
  <c r="G130" i="8"/>
  <c r="K64"/>
  <c r="K63"/>
  <c r="K62"/>
  <c r="F58" i="16"/>
  <c r="K53"/>
  <c r="F51"/>
  <c r="I49"/>
  <c r="K49" s="1"/>
  <c r="I48"/>
  <c r="K48" s="1"/>
  <c r="I47"/>
  <c r="K47" s="1"/>
  <c r="I46"/>
  <c r="K46" s="1"/>
  <c r="I45"/>
  <c r="K45" s="1"/>
  <c r="F45"/>
  <c r="F7"/>
  <c r="K12"/>
  <c r="K11"/>
  <c r="K10"/>
  <c r="K8"/>
  <c r="K7"/>
  <c r="K6"/>
  <c r="F10"/>
  <c r="F13" s="1"/>
  <c r="M12"/>
  <c r="F6"/>
  <c r="G174" l="1"/>
  <c r="K154"/>
  <c r="K146"/>
  <c r="L146" s="1"/>
  <c r="K121"/>
  <c r="L121" s="1"/>
  <c r="K115"/>
  <c r="L115" s="1"/>
  <c r="K86"/>
  <c r="F9"/>
  <c r="F14" s="1"/>
  <c r="K13"/>
  <c r="K9"/>
  <c r="K155" l="1"/>
  <c r="U22" i="11" s="1"/>
  <c r="L154" i="16"/>
  <c r="L9"/>
  <c r="K14"/>
  <c r="L155" l="1"/>
  <c r="K60" i="30"/>
  <c r="K59"/>
  <c r="I58"/>
  <c r="K58" s="1"/>
  <c r="I57"/>
  <c r="K57" s="1"/>
  <c r="I56"/>
  <c r="K56" s="1"/>
  <c r="F56"/>
  <c r="K53" i="13"/>
  <c r="K52"/>
  <c r="I51"/>
  <c r="K51" s="1"/>
  <c r="K50"/>
  <c r="K49"/>
  <c r="I49"/>
  <c r="F49"/>
  <c r="K168" i="30"/>
  <c r="F168"/>
  <c r="K167"/>
  <c r="F167"/>
  <c r="K162"/>
  <c r="K166"/>
  <c r="K165"/>
  <c r="K164"/>
  <c r="K163"/>
  <c r="K161"/>
  <c r="K160"/>
  <c r="F160"/>
  <c r="K158"/>
  <c r="K157"/>
  <c r="K156"/>
  <c r="K155"/>
  <c r="K154"/>
  <c r="K153"/>
  <c r="K152"/>
  <c r="K159" s="1"/>
  <c r="L159" s="1"/>
  <c r="F152"/>
  <c r="F159" s="1"/>
  <c r="K144"/>
  <c r="K143"/>
  <c r="K142"/>
  <c r="K141"/>
  <c r="F138"/>
  <c r="F151" s="1"/>
  <c r="K150"/>
  <c r="K149"/>
  <c r="K148"/>
  <c r="K147"/>
  <c r="K146"/>
  <c r="K145"/>
  <c r="K140"/>
  <c r="K139"/>
  <c r="K138"/>
  <c r="G172" l="1"/>
  <c r="K151"/>
  <c r="L151" s="1"/>
  <c r="F122" i="15" l="1"/>
  <c r="G248"/>
  <c r="G250"/>
  <c r="G165" i="14"/>
  <c r="K191" i="15"/>
  <c r="K190"/>
  <c r="F190"/>
  <c r="F192" s="1"/>
  <c r="K188"/>
  <c r="K187"/>
  <c r="F187"/>
  <c r="F189" s="1"/>
  <c r="K185"/>
  <c r="K183"/>
  <c r="K184"/>
  <c r="K182"/>
  <c r="F182"/>
  <c r="F186" s="1"/>
  <c r="F178"/>
  <c r="F181" s="1"/>
  <c r="K180"/>
  <c r="K179"/>
  <c r="K178"/>
  <c r="F174"/>
  <c r="F177" s="1"/>
  <c r="K176"/>
  <c r="K175"/>
  <c r="K174"/>
  <c r="K172"/>
  <c r="K171"/>
  <c r="K170"/>
  <c r="F170"/>
  <c r="F173" s="1"/>
  <c r="K168"/>
  <c r="K167"/>
  <c r="F167"/>
  <c r="F169" s="1"/>
  <c r="F164"/>
  <c r="F166" s="1"/>
  <c r="I164"/>
  <c r="K164" s="1"/>
  <c r="K159"/>
  <c r="K158"/>
  <c r="K157"/>
  <c r="F157"/>
  <c r="F160" s="1"/>
  <c r="K155"/>
  <c r="K154"/>
  <c r="K153"/>
  <c r="F153"/>
  <c r="F156" s="1"/>
  <c r="F150"/>
  <c r="F149"/>
  <c r="K151"/>
  <c r="K150"/>
  <c r="K149"/>
  <c r="K147"/>
  <c r="K146"/>
  <c r="K145"/>
  <c r="F145"/>
  <c r="F148" s="1"/>
  <c r="I139"/>
  <c r="K139" s="1"/>
  <c r="I138"/>
  <c r="K138" s="1"/>
  <c r="I137"/>
  <c r="K137" s="1"/>
  <c r="K143"/>
  <c r="K142"/>
  <c r="K141"/>
  <c r="F141"/>
  <c r="F144" s="1"/>
  <c r="F137"/>
  <c r="F140" s="1"/>
  <c r="K135"/>
  <c r="K134"/>
  <c r="K133"/>
  <c r="F133"/>
  <c r="F136" s="1"/>
  <c r="F129"/>
  <c r="F132" s="1"/>
  <c r="F125"/>
  <c r="F15"/>
  <c r="F11"/>
  <c r="F43"/>
  <c r="F42"/>
  <c r="K31"/>
  <c r="K30"/>
  <c r="K29"/>
  <c r="K28"/>
  <c r="K27"/>
  <c r="K37"/>
  <c r="K36"/>
  <c r="K35"/>
  <c r="K34"/>
  <c r="K33"/>
  <c r="F34"/>
  <c r="F33"/>
  <c r="F30"/>
  <c r="F29"/>
  <c r="F28"/>
  <c r="F27"/>
  <c r="K25"/>
  <c r="K24"/>
  <c r="K23"/>
  <c r="K22"/>
  <c r="K21"/>
  <c r="F21"/>
  <c r="F26" s="1"/>
  <c r="F14"/>
  <c r="K16"/>
  <c r="K15"/>
  <c r="K14"/>
  <c r="K12"/>
  <c r="K11"/>
  <c r="K10"/>
  <c r="F10"/>
  <c r="F6"/>
  <c r="K223"/>
  <c r="K217"/>
  <c r="K216"/>
  <c r="K215"/>
  <c r="F215"/>
  <c r="F224" s="1"/>
  <c r="K210"/>
  <c r="K207"/>
  <c r="F205"/>
  <c r="K203"/>
  <c r="K213"/>
  <c r="K200"/>
  <c r="K202"/>
  <c r="K201"/>
  <c r="K199"/>
  <c r="K196"/>
  <c r="K198"/>
  <c r="K197"/>
  <c r="K212"/>
  <c r="K211"/>
  <c r="K209"/>
  <c r="K208"/>
  <c r="K206"/>
  <c r="K205"/>
  <c r="F196"/>
  <c r="F204" s="1"/>
  <c r="K240"/>
  <c r="M240" s="1"/>
  <c r="K236"/>
  <c r="M236" s="1"/>
  <c r="K237"/>
  <c r="M237" s="1"/>
  <c r="K235"/>
  <c r="M235" s="1"/>
  <c r="K239"/>
  <c r="M239" s="1"/>
  <c r="M238"/>
  <c r="I123" i="10"/>
  <c r="I122"/>
  <c r="I121"/>
  <c r="I124"/>
  <c r="K124" s="1"/>
  <c r="K106" i="15"/>
  <c r="K105"/>
  <c r="I102"/>
  <c r="K102" s="1"/>
  <c r="I103"/>
  <c r="K103" s="1"/>
  <c r="I104"/>
  <c r="K104" s="1"/>
  <c r="K64" i="13"/>
  <c r="K63"/>
  <c r="F116" i="15"/>
  <c r="F121" s="1"/>
  <c r="K120"/>
  <c r="K119"/>
  <c r="K118"/>
  <c r="K117"/>
  <c r="K116"/>
  <c r="K112"/>
  <c r="K114"/>
  <c r="K113"/>
  <c r="K111"/>
  <c r="K110"/>
  <c r="F110"/>
  <c r="F115" s="1"/>
  <c r="K108"/>
  <c r="K107"/>
  <c r="F102"/>
  <c r="F109" s="1"/>
  <c r="K98"/>
  <c r="K97"/>
  <c r="K100"/>
  <c r="K99"/>
  <c r="K96"/>
  <c r="F96"/>
  <c r="F101" s="1"/>
  <c r="I94"/>
  <c r="K94" s="1"/>
  <c r="I93"/>
  <c r="K93" s="1"/>
  <c r="I92"/>
  <c r="K92" s="1"/>
  <c r="I91"/>
  <c r="K91" s="1"/>
  <c r="I90"/>
  <c r="K90" s="1"/>
  <c r="F90"/>
  <c r="F95" s="1"/>
  <c r="I86"/>
  <c r="K86" s="1"/>
  <c r="I85"/>
  <c r="K85" s="1"/>
  <c r="I84"/>
  <c r="K84" s="1"/>
  <c r="F84"/>
  <c r="F89" s="1"/>
  <c r="K88"/>
  <c r="K87"/>
  <c r="I80"/>
  <c r="K80" s="1"/>
  <c r="I79"/>
  <c r="K79" s="1"/>
  <c r="I78"/>
  <c r="K78" s="1"/>
  <c r="K82"/>
  <c r="K81"/>
  <c r="F78"/>
  <c r="F83" s="1"/>
  <c r="K76"/>
  <c r="K75"/>
  <c r="K74"/>
  <c r="K73"/>
  <c r="K72"/>
  <c r="F72"/>
  <c r="I68"/>
  <c r="K68" s="1"/>
  <c r="K67"/>
  <c r="K66"/>
  <c r="K70"/>
  <c r="K69"/>
  <c r="F66"/>
  <c r="I64"/>
  <c r="I63"/>
  <c r="K63" s="1"/>
  <c r="I62"/>
  <c r="K62" s="1"/>
  <c r="I61"/>
  <c r="K61" s="1"/>
  <c r="K64"/>
  <c r="K60"/>
  <c r="F60"/>
  <c r="I56"/>
  <c r="K56" s="1"/>
  <c r="I58"/>
  <c r="K58" s="1"/>
  <c r="I57"/>
  <c r="K57" s="1"/>
  <c r="I55"/>
  <c r="K55" s="1"/>
  <c r="I54"/>
  <c r="K54" s="1"/>
  <c r="F54"/>
  <c r="F193" l="1"/>
  <c r="K192"/>
  <c r="K169"/>
  <c r="L169" s="1"/>
  <c r="K156"/>
  <c r="L156" s="1"/>
  <c r="K160"/>
  <c r="K173"/>
  <c r="L173" s="1"/>
  <c r="K181"/>
  <c r="L181" s="1"/>
  <c r="K189"/>
  <c r="L189" s="1"/>
  <c r="K186"/>
  <c r="K177"/>
  <c r="L177" s="1"/>
  <c r="K136"/>
  <c r="L136" s="1"/>
  <c r="F152"/>
  <c r="K152"/>
  <c r="K148"/>
  <c r="L148" s="1"/>
  <c r="K140"/>
  <c r="L140" s="1"/>
  <c r="K144"/>
  <c r="L144" s="1"/>
  <c r="F38"/>
  <c r="K38"/>
  <c r="K26"/>
  <c r="K32"/>
  <c r="F32"/>
  <c r="F39" s="1"/>
  <c r="G230"/>
  <c r="K204"/>
  <c r="K121"/>
  <c r="L121" s="1"/>
  <c r="K101"/>
  <c r="L101" s="1"/>
  <c r="K115"/>
  <c r="L115" s="1"/>
  <c r="K109"/>
  <c r="K95"/>
  <c r="L95" s="1"/>
  <c r="K89"/>
  <c r="L89" s="1"/>
  <c r="K83"/>
  <c r="L83" s="1"/>
  <c r="L186" l="1"/>
  <c r="L152"/>
  <c r="L38"/>
  <c r="K39"/>
  <c r="L26"/>
  <c r="L32"/>
  <c r="L109"/>
  <c r="F38" i="14" l="1"/>
  <c r="F30"/>
  <c r="F29"/>
  <c r="F23"/>
  <c r="K18"/>
  <c r="K17"/>
  <c r="K16"/>
  <c r="K15"/>
  <c r="K14"/>
  <c r="F15"/>
  <c r="F14"/>
  <c r="F10"/>
  <c r="F7"/>
  <c r="F6"/>
  <c r="F168"/>
  <c r="I44"/>
  <c r="K44" s="1"/>
  <c r="F45"/>
  <c r="F44"/>
  <c r="F166"/>
  <c r="F131"/>
  <c r="K132"/>
  <c r="K131"/>
  <c r="F127"/>
  <c r="K127"/>
  <c r="K128"/>
  <c r="F124"/>
  <c r="K119"/>
  <c r="K118"/>
  <c r="K117"/>
  <c r="F117"/>
  <c r="F120" s="1"/>
  <c r="F113"/>
  <c r="F116" s="1"/>
  <c r="F109"/>
  <c r="F105"/>
  <c r="F101"/>
  <c r="K94"/>
  <c r="K96"/>
  <c r="K95"/>
  <c r="K93"/>
  <c r="K92"/>
  <c r="F92"/>
  <c r="K88"/>
  <c r="K90"/>
  <c r="K89"/>
  <c r="K87"/>
  <c r="K86"/>
  <c r="F86"/>
  <c r="I82"/>
  <c r="K82" s="1"/>
  <c r="I81"/>
  <c r="K81" s="1"/>
  <c r="I80"/>
  <c r="K80" s="1"/>
  <c r="K84"/>
  <c r="K83"/>
  <c r="F80"/>
  <c r="I76"/>
  <c r="K76" s="1"/>
  <c r="I75"/>
  <c r="K75" s="1"/>
  <c r="I74"/>
  <c r="K74" s="1"/>
  <c r="F74"/>
  <c r="K78"/>
  <c r="K77"/>
  <c r="I71"/>
  <c r="K71" s="1"/>
  <c r="K70"/>
  <c r="K69"/>
  <c r="K68"/>
  <c r="K72"/>
  <c r="F68"/>
  <c r="K63"/>
  <c r="K64"/>
  <c r="K66"/>
  <c r="K65"/>
  <c r="K62"/>
  <c r="F62"/>
  <c r="K60"/>
  <c r="K59"/>
  <c r="K58"/>
  <c r="K57"/>
  <c r="K56"/>
  <c r="F56"/>
  <c r="K179" i="30"/>
  <c r="K178"/>
  <c r="K181"/>
  <c r="M181" s="1"/>
  <c r="M180"/>
  <c r="M179"/>
  <c r="M178"/>
  <c r="K177"/>
  <c r="M177" s="1"/>
  <c r="G189"/>
  <c r="G195"/>
  <c r="F192"/>
  <c r="G192" s="1"/>
  <c r="F187"/>
  <c r="F196" s="1"/>
  <c r="K50"/>
  <c r="F50"/>
  <c r="F52" s="1"/>
  <c r="G188"/>
  <c r="G193"/>
  <c r="K121"/>
  <c r="K132"/>
  <c r="I131"/>
  <c r="K131" s="1"/>
  <c r="F131"/>
  <c r="F128"/>
  <c r="I112" i="13"/>
  <c r="I124" i="30"/>
  <c r="K124" s="1"/>
  <c r="K123"/>
  <c r="F123"/>
  <c r="K120"/>
  <c r="K119"/>
  <c r="K118"/>
  <c r="K126"/>
  <c r="K125"/>
  <c r="F118"/>
  <c r="F111"/>
  <c r="I107"/>
  <c r="F107"/>
  <c r="I54" i="14"/>
  <c r="K54" s="1"/>
  <c r="I53"/>
  <c r="K53" s="1"/>
  <c r="I52"/>
  <c r="K52" s="1"/>
  <c r="I51"/>
  <c r="K51" s="1"/>
  <c r="G150" s="1"/>
  <c r="I50"/>
  <c r="K50" s="1"/>
  <c r="F50"/>
  <c r="I67" i="13"/>
  <c r="K67" s="1"/>
  <c r="I66"/>
  <c r="K66" s="1"/>
  <c r="K76"/>
  <c r="I74"/>
  <c r="K74" s="1"/>
  <c r="I75"/>
  <c r="K75" s="1"/>
  <c r="I71"/>
  <c r="K102" i="30"/>
  <c r="K101"/>
  <c r="K100"/>
  <c r="K99"/>
  <c r="K98"/>
  <c r="F98"/>
  <c r="K96"/>
  <c r="K95"/>
  <c r="K94"/>
  <c r="K93"/>
  <c r="K92"/>
  <c r="K19" i="14" l="1"/>
  <c r="F19"/>
  <c r="F46"/>
  <c r="K120"/>
  <c r="L120" s="1"/>
  <c r="K122" i="30"/>
  <c r="F92" l="1"/>
  <c r="K90"/>
  <c r="K89"/>
  <c r="K88"/>
  <c r="K87"/>
  <c r="K86"/>
  <c r="F86"/>
  <c r="K84"/>
  <c r="K83"/>
  <c r="K82"/>
  <c r="K81"/>
  <c r="K80"/>
  <c r="F80"/>
  <c r="K78"/>
  <c r="K77"/>
  <c r="K76"/>
  <c r="K75"/>
  <c r="K74"/>
  <c r="F74"/>
  <c r="F68"/>
  <c r="K70"/>
  <c r="K72"/>
  <c r="K71"/>
  <c r="K69"/>
  <c r="K68"/>
  <c r="K64"/>
  <c r="F62"/>
  <c r="K66"/>
  <c r="K65"/>
  <c r="K63"/>
  <c r="K62"/>
  <c r="F44"/>
  <c r="F41"/>
  <c r="K42"/>
  <c r="K41"/>
  <c r="F38"/>
  <c r="F24"/>
  <c r="F23"/>
  <c r="K18"/>
  <c r="K17"/>
  <c r="K16"/>
  <c r="K15"/>
  <c r="K14"/>
  <c r="F14"/>
  <c r="F19" s="1"/>
  <c r="F10"/>
  <c r="F6"/>
  <c r="K19" l="1"/>
  <c r="I33" i="13" l="1"/>
  <c r="I32"/>
  <c r="F17"/>
  <c r="F18"/>
  <c r="F24"/>
  <c r="F10"/>
  <c r="F39"/>
  <c r="F38"/>
  <c r="F35"/>
  <c r="F32"/>
  <c r="F23"/>
  <c r="F6"/>
  <c r="F7" i="10"/>
  <c r="F6"/>
  <c r="F10"/>
  <c r="F15" s="1"/>
  <c r="K10"/>
  <c r="F11"/>
  <c r="K11"/>
  <c r="K12"/>
  <c r="K13"/>
  <c r="K14"/>
  <c r="F16"/>
  <c r="F21" s="1"/>
  <c r="K16"/>
  <c r="K17"/>
  <c r="K18"/>
  <c r="K19"/>
  <c r="K20"/>
  <c r="F45" i="13"/>
  <c r="F46" s="1"/>
  <c r="K18" i="11" s="1"/>
  <c r="K44" i="13"/>
  <c r="K45" s="1"/>
  <c r="K46" s="1"/>
  <c r="L18" i="11" s="1"/>
  <c r="F44" i="13"/>
  <c r="K116"/>
  <c r="K117" s="1"/>
  <c r="F116"/>
  <c r="F117" s="1"/>
  <c r="K112"/>
  <c r="F114"/>
  <c r="F115" s="1"/>
  <c r="K111"/>
  <c r="F111"/>
  <c r="I102"/>
  <c r="I101"/>
  <c r="I100"/>
  <c r="F104"/>
  <c r="F100"/>
  <c r="F91"/>
  <c r="K95"/>
  <c r="K94"/>
  <c r="K93"/>
  <c r="K92"/>
  <c r="K91"/>
  <c r="M142"/>
  <c r="M141"/>
  <c r="M140"/>
  <c r="G188" i="7"/>
  <c r="G124" i="5"/>
  <c r="G131" i="29"/>
  <c r="G211" i="4"/>
  <c r="G286" i="34"/>
  <c r="K136" i="1"/>
  <c r="K135"/>
  <c r="G146" i="12"/>
  <c r="F57"/>
  <c r="K57"/>
  <c r="F58"/>
  <c r="I58"/>
  <c r="K58" s="1"/>
  <c r="I56"/>
  <c r="K56" s="1"/>
  <c r="I55"/>
  <c r="K55" s="1"/>
  <c r="K54"/>
  <c r="I53"/>
  <c r="K53" s="1"/>
  <c r="I52"/>
  <c r="K52" s="1"/>
  <c r="L57" s="1"/>
  <c r="I51"/>
  <c r="K51" s="1"/>
  <c r="F51"/>
  <c r="I101" i="10"/>
  <c r="I100"/>
  <c r="I99"/>
  <c r="I98"/>
  <c r="I97"/>
  <c r="F97"/>
  <c r="I87" i="13"/>
  <c r="K87" s="1"/>
  <c r="I86"/>
  <c r="K86" s="1"/>
  <c r="I85"/>
  <c r="K85" s="1"/>
  <c r="K89"/>
  <c r="K88"/>
  <c r="F85"/>
  <c r="I73"/>
  <c r="K73" s="1"/>
  <c r="I72"/>
  <c r="K72" s="1"/>
  <c r="K71"/>
  <c r="K82"/>
  <c r="K81"/>
  <c r="F71"/>
  <c r="I69"/>
  <c r="K69" s="1"/>
  <c r="I68"/>
  <c r="K68" s="1"/>
  <c r="I65"/>
  <c r="K65" s="1"/>
  <c r="I62"/>
  <c r="K62" s="1"/>
  <c r="I61"/>
  <c r="K61" s="1"/>
  <c r="F61"/>
  <c r="I59"/>
  <c r="K59" s="1"/>
  <c r="I58"/>
  <c r="K57"/>
  <c r="K56"/>
  <c r="K55"/>
  <c r="K58"/>
  <c r="G135" l="1"/>
  <c r="K21" i="10"/>
  <c r="K15"/>
  <c r="L15" s="1"/>
  <c r="K237"/>
  <c r="K236"/>
  <c r="K235"/>
  <c r="K234"/>
  <c r="K233"/>
  <c r="K232"/>
  <c r="K231"/>
  <c r="F231"/>
  <c r="F238" s="1"/>
  <c r="K229"/>
  <c r="K228"/>
  <c r="K227"/>
  <c r="K226"/>
  <c r="K225"/>
  <c r="K220"/>
  <c r="K224"/>
  <c r="K223"/>
  <c r="K222"/>
  <c r="K221"/>
  <c r="K219"/>
  <c r="F219"/>
  <c r="F230" s="1"/>
  <c r="F216"/>
  <c r="F218" s="1"/>
  <c r="K217"/>
  <c r="K216"/>
  <c r="K214"/>
  <c r="K213"/>
  <c r="K212"/>
  <c r="K211"/>
  <c r="K210"/>
  <c r="K209"/>
  <c r="K208"/>
  <c r="K207"/>
  <c r="F207"/>
  <c r="F215" s="1"/>
  <c r="F261"/>
  <c r="G261" s="1"/>
  <c r="K185"/>
  <c r="F182"/>
  <c r="F186" s="1"/>
  <c r="F178"/>
  <c r="F174"/>
  <c r="K172"/>
  <c r="K171"/>
  <c r="K170"/>
  <c r="F170"/>
  <c r="F166"/>
  <c r="K202"/>
  <c r="F201"/>
  <c r="F203" s="1"/>
  <c r="K201"/>
  <c r="K198"/>
  <c r="K199"/>
  <c r="F198"/>
  <c r="F200" s="1"/>
  <c r="K193"/>
  <c r="F193"/>
  <c r="F197" s="1"/>
  <c r="K196"/>
  <c r="K195"/>
  <c r="K194"/>
  <c r="F190"/>
  <c r="F192" s="1"/>
  <c r="K190"/>
  <c r="K250"/>
  <c r="M250" s="1"/>
  <c r="K249"/>
  <c r="M249" s="1"/>
  <c r="M251"/>
  <c r="K248"/>
  <c r="M248" s="1"/>
  <c r="I150" i="35"/>
  <c r="I149"/>
  <c r="I152"/>
  <c r="K139"/>
  <c r="K138"/>
  <c r="F157" i="10"/>
  <c r="K161"/>
  <c r="K160"/>
  <c r="K159"/>
  <c r="K158"/>
  <c r="K157"/>
  <c r="K119" i="35"/>
  <c r="K118"/>
  <c r="I117"/>
  <c r="K117" s="1"/>
  <c r="I116"/>
  <c r="K116" s="1"/>
  <c r="K115"/>
  <c r="I115"/>
  <c r="F115"/>
  <c r="F162" i="10"/>
  <c r="K155"/>
  <c r="K154"/>
  <c r="K153"/>
  <c r="K152"/>
  <c r="F152"/>
  <c r="F156" s="1"/>
  <c r="F146"/>
  <c r="F151" s="1"/>
  <c r="K150"/>
  <c r="K149"/>
  <c r="K148"/>
  <c r="K147"/>
  <c r="K146"/>
  <c r="I111"/>
  <c r="K111" s="1"/>
  <c r="I110"/>
  <c r="K110" s="1"/>
  <c r="I109"/>
  <c r="I142"/>
  <c r="K142" s="1"/>
  <c r="I141"/>
  <c r="K141" s="1"/>
  <c r="K144"/>
  <c r="K143"/>
  <c r="K140"/>
  <c r="F140"/>
  <c r="F145" s="1"/>
  <c r="F134"/>
  <c r="F139" s="1"/>
  <c r="K138"/>
  <c r="K137"/>
  <c r="K136"/>
  <c r="K135"/>
  <c r="I130"/>
  <c r="K130" s="1"/>
  <c r="I129"/>
  <c r="K129" s="1"/>
  <c r="I128"/>
  <c r="K128" s="1"/>
  <c r="K132"/>
  <c r="K131"/>
  <c r="F128"/>
  <c r="K126"/>
  <c r="K125"/>
  <c r="K123"/>
  <c r="K122"/>
  <c r="K121"/>
  <c r="F121"/>
  <c r="F127" s="1"/>
  <c r="K113"/>
  <c r="K112"/>
  <c r="K109"/>
  <c r="F109"/>
  <c r="F114" s="1"/>
  <c r="K119"/>
  <c r="K118"/>
  <c r="K117"/>
  <c r="K116"/>
  <c r="K115"/>
  <c r="F115"/>
  <c r="F120" s="1"/>
  <c r="K134"/>
  <c r="F103"/>
  <c r="K107"/>
  <c r="K106"/>
  <c r="K105"/>
  <c r="K104"/>
  <c r="K103"/>
  <c r="F102"/>
  <c r="K101"/>
  <c r="K100"/>
  <c r="K99"/>
  <c r="K98"/>
  <c r="K97"/>
  <c r="I93"/>
  <c r="K93" s="1"/>
  <c r="I92"/>
  <c r="K92" s="1"/>
  <c r="I91"/>
  <c r="K91" s="1"/>
  <c r="K95"/>
  <c r="K94"/>
  <c r="F91"/>
  <c r="K87"/>
  <c r="K89"/>
  <c r="K88"/>
  <c r="K86"/>
  <c r="K85"/>
  <c r="F85"/>
  <c r="I82"/>
  <c r="K82" s="1"/>
  <c r="I81"/>
  <c r="I80"/>
  <c r="K80" s="1"/>
  <c r="I79"/>
  <c r="K79" s="1"/>
  <c r="K83"/>
  <c r="K81"/>
  <c r="F79"/>
  <c r="I58"/>
  <c r="F61"/>
  <c r="M12"/>
  <c r="K8"/>
  <c r="K7"/>
  <c r="K6"/>
  <c r="F67"/>
  <c r="F68"/>
  <c r="K68"/>
  <c r="K67"/>
  <c r="F64"/>
  <c r="F66" s="1"/>
  <c r="F58"/>
  <c r="F26"/>
  <c r="F25"/>
  <c r="F30" s="1"/>
  <c r="G243" l="1"/>
  <c r="F239"/>
  <c r="K230"/>
  <c r="L230" s="1"/>
  <c r="K238"/>
  <c r="K218"/>
  <c r="L218" s="1"/>
  <c r="K215"/>
  <c r="K173"/>
  <c r="K203"/>
  <c r="L203" s="1"/>
  <c r="F204"/>
  <c r="K200"/>
  <c r="L200" s="1"/>
  <c r="K197"/>
  <c r="L197" s="1"/>
  <c r="K127"/>
  <c r="L127" s="1"/>
  <c r="K162"/>
  <c r="L162" s="1"/>
  <c r="K69"/>
  <c r="K156"/>
  <c r="K151"/>
  <c r="L151" s="1"/>
  <c r="K145"/>
  <c r="L145" s="1"/>
  <c r="F9"/>
  <c r="F22" s="1"/>
  <c r="K114"/>
  <c r="L114" s="1"/>
  <c r="K120"/>
  <c r="L120" s="1"/>
  <c r="K139"/>
  <c r="L139" s="1"/>
  <c r="K9"/>
  <c r="K22" s="1"/>
  <c r="L21"/>
  <c r="F69"/>
  <c r="L215" l="1"/>
  <c r="K239"/>
  <c r="L9"/>
  <c r="L156"/>
  <c r="F199" i="35" l="1"/>
  <c r="F135"/>
  <c r="F32" i="8"/>
  <c r="F15"/>
  <c r="K15"/>
  <c r="K14"/>
  <c r="K13"/>
  <c r="K12"/>
  <c r="K11"/>
  <c r="K10"/>
  <c r="F103" i="35" l="1"/>
  <c r="F105" s="1"/>
  <c r="K104"/>
  <c r="K103"/>
  <c r="K101"/>
  <c r="K100"/>
  <c r="F100"/>
  <c r="F102" s="1"/>
  <c r="K98"/>
  <c r="K97"/>
  <c r="F97"/>
  <c r="F99" s="1"/>
  <c r="K95"/>
  <c r="K94"/>
  <c r="F94"/>
  <c r="F96" s="1"/>
  <c r="K92"/>
  <c r="K91"/>
  <c r="F91"/>
  <c r="F93" s="1"/>
  <c r="F88"/>
  <c r="F90" s="1"/>
  <c r="F85"/>
  <c r="F82"/>
  <c r="K76"/>
  <c r="K75"/>
  <c r="K77"/>
  <c r="K74"/>
  <c r="K73"/>
  <c r="F74"/>
  <c r="F73"/>
  <c r="I70"/>
  <c r="K70" s="1"/>
  <c r="I69"/>
  <c r="K69" s="1"/>
  <c r="I67"/>
  <c r="K67" s="1"/>
  <c r="K71"/>
  <c r="K68"/>
  <c r="F67"/>
  <c r="F72" s="1"/>
  <c r="I64"/>
  <c r="I63"/>
  <c r="F61"/>
  <c r="F66" s="1"/>
  <c r="F56"/>
  <c r="I58"/>
  <c r="I57"/>
  <c r="I55"/>
  <c r="F55"/>
  <c r="F30"/>
  <c r="F33" s="1"/>
  <c r="K32"/>
  <c r="K31"/>
  <c r="K30"/>
  <c r="F26"/>
  <c r="F29" s="1"/>
  <c r="K28"/>
  <c r="K27"/>
  <c r="K26"/>
  <c r="K24"/>
  <c r="K23"/>
  <c r="K22"/>
  <c r="F22"/>
  <c r="F25" s="1"/>
  <c r="K20"/>
  <c r="K19"/>
  <c r="K18"/>
  <c r="F18"/>
  <c r="F21" s="1"/>
  <c r="F15"/>
  <c r="F14"/>
  <c r="K16"/>
  <c r="K15"/>
  <c r="K14"/>
  <c r="F47"/>
  <c r="K50"/>
  <c r="K49"/>
  <c r="K48"/>
  <c r="K47"/>
  <c r="K46"/>
  <c r="F46"/>
  <c r="F51" s="1"/>
  <c r="K44"/>
  <c r="K43"/>
  <c r="K42"/>
  <c r="K41"/>
  <c r="K40"/>
  <c r="F40"/>
  <c r="F45" s="1"/>
  <c r="K38"/>
  <c r="K37"/>
  <c r="K36"/>
  <c r="K35"/>
  <c r="K34"/>
  <c r="F34"/>
  <c r="F39" s="1"/>
  <c r="F10"/>
  <c r="F6"/>
  <c r="F280"/>
  <c r="G280" s="1"/>
  <c r="G281"/>
  <c r="G282"/>
  <c r="G279"/>
  <c r="K214"/>
  <c r="K212"/>
  <c r="F212"/>
  <c r="F215" s="1"/>
  <c r="K213"/>
  <c r="K210"/>
  <c r="K209"/>
  <c r="F209"/>
  <c r="F211" s="1"/>
  <c r="K207"/>
  <c r="K208" s="1"/>
  <c r="F207"/>
  <c r="F208" s="1"/>
  <c r="K205"/>
  <c r="K206" s="1"/>
  <c r="F205"/>
  <c r="F206" s="1"/>
  <c r="K203"/>
  <c r="K202"/>
  <c r="F202"/>
  <c r="I199"/>
  <c r="K199" s="1"/>
  <c r="K200"/>
  <c r="F201"/>
  <c r="F193"/>
  <c r="F195" s="1"/>
  <c r="K194"/>
  <c r="K193"/>
  <c r="F189"/>
  <c r="F192" s="1"/>
  <c r="K191"/>
  <c r="K190"/>
  <c r="K189"/>
  <c r="K182"/>
  <c r="K181"/>
  <c r="K187"/>
  <c r="K186"/>
  <c r="K185"/>
  <c r="F185"/>
  <c r="F188" s="1"/>
  <c r="K183"/>
  <c r="F181"/>
  <c r="F184" s="1"/>
  <c r="K179"/>
  <c r="K178"/>
  <c r="K177"/>
  <c r="F177"/>
  <c r="F180" s="1"/>
  <c r="I175"/>
  <c r="K175" s="1"/>
  <c r="I173"/>
  <c r="K173" s="1"/>
  <c r="I172"/>
  <c r="K172" s="1"/>
  <c r="K174"/>
  <c r="F172"/>
  <c r="F176" s="1"/>
  <c r="F168"/>
  <c r="F171" s="1"/>
  <c r="F164"/>
  <c r="F161"/>
  <c r="K254"/>
  <c r="K255"/>
  <c r="K253"/>
  <c r="K252"/>
  <c r="I246"/>
  <c r="K246" s="1"/>
  <c r="K251"/>
  <c r="K248"/>
  <c r="K250"/>
  <c r="K249"/>
  <c r="K247"/>
  <c r="F246"/>
  <c r="F256" s="1"/>
  <c r="F241"/>
  <c r="F245" s="1"/>
  <c r="K243"/>
  <c r="K242"/>
  <c r="K241"/>
  <c r="K244"/>
  <c r="K239"/>
  <c r="K233"/>
  <c r="K234"/>
  <c r="F233"/>
  <c r="F240" s="1"/>
  <c r="K238"/>
  <c r="K237"/>
  <c r="K236"/>
  <c r="K235"/>
  <c r="K231"/>
  <c r="K230"/>
  <c r="K229"/>
  <c r="K228"/>
  <c r="K227"/>
  <c r="K226"/>
  <c r="F226"/>
  <c r="F232" s="1"/>
  <c r="K221"/>
  <c r="K220"/>
  <c r="F219"/>
  <c r="K272"/>
  <c r="M272" s="1"/>
  <c r="K271"/>
  <c r="M271" s="1"/>
  <c r="K269"/>
  <c r="M269" s="1"/>
  <c r="K268"/>
  <c r="M268" s="1"/>
  <c r="K267"/>
  <c r="M267" s="1"/>
  <c r="K270"/>
  <c r="M270" s="1"/>
  <c r="M266"/>
  <c r="K150"/>
  <c r="I78" i="4"/>
  <c r="I77"/>
  <c r="I76"/>
  <c r="I79"/>
  <c r="K154" i="35"/>
  <c r="K153"/>
  <c r="K152"/>
  <c r="K149"/>
  <c r="I155"/>
  <c r="K155" s="1"/>
  <c r="I156"/>
  <c r="K156" s="1"/>
  <c r="I151"/>
  <c r="K151" s="1"/>
  <c r="F149"/>
  <c r="F157" s="1"/>
  <c r="F143"/>
  <c r="F148" s="1"/>
  <c r="K147"/>
  <c r="K146"/>
  <c r="K145"/>
  <c r="K144"/>
  <c r="K143"/>
  <c r="I137"/>
  <c r="K137" s="1"/>
  <c r="I136"/>
  <c r="K136" s="1"/>
  <c r="I135"/>
  <c r="K135" s="1"/>
  <c r="K141"/>
  <c r="K140"/>
  <c r="F142"/>
  <c r="F129"/>
  <c r="F134" s="1"/>
  <c r="K133"/>
  <c r="K132"/>
  <c r="K131"/>
  <c r="K130"/>
  <c r="K129"/>
  <c r="F121"/>
  <c r="K127"/>
  <c r="K126"/>
  <c r="K125"/>
  <c r="K124"/>
  <c r="K123"/>
  <c r="K122"/>
  <c r="K121"/>
  <c r="K105" l="1"/>
  <c r="K102"/>
  <c r="K29"/>
  <c r="L29" s="1"/>
  <c r="F78"/>
  <c r="K93"/>
  <c r="L93" s="1"/>
  <c r="L102"/>
  <c r="K99"/>
  <c r="L99" s="1"/>
  <c r="K96"/>
  <c r="L96" s="1"/>
  <c r="K78"/>
  <c r="K72"/>
  <c r="L72" s="1"/>
  <c r="K25"/>
  <c r="L25" s="1"/>
  <c r="K33"/>
  <c r="L33" s="1"/>
  <c r="K39"/>
  <c r="L39" s="1"/>
  <c r="F17"/>
  <c r="K21"/>
  <c r="L21" s="1"/>
  <c r="K17"/>
  <c r="K51"/>
  <c r="L51" s="1"/>
  <c r="K45"/>
  <c r="L45" s="1"/>
  <c r="K211"/>
  <c r="L211" s="1"/>
  <c r="K201"/>
  <c r="K215"/>
  <c r="L208"/>
  <c r="L206"/>
  <c r="K188"/>
  <c r="L188" s="1"/>
  <c r="K184"/>
  <c r="L184" s="1"/>
  <c r="K195"/>
  <c r="L195" s="1"/>
  <c r="K192"/>
  <c r="L192" s="1"/>
  <c r="K180"/>
  <c r="L180" s="1"/>
  <c r="K176"/>
  <c r="L176" s="1"/>
  <c r="K256"/>
  <c r="K232"/>
  <c r="L232" s="1"/>
  <c r="K245"/>
  <c r="L245" s="1"/>
  <c r="K240"/>
  <c r="L240" s="1"/>
  <c r="K157"/>
  <c r="K134"/>
  <c r="L134" s="1"/>
  <c r="K148"/>
  <c r="L148" s="1"/>
  <c r="K142"/>
  <c r="L17" l="1"/>
  <c r="L142"/>
  <c r="L78"/>
  <c r="K124" i="8" l="1"/>
  <c r="K123"/>
  <c r="K122"/>
  <c r="K121"/>
  <c r="K120"/>
  <c r="K119"/>
  <c r="F112"/>
  <c r="F119"/>
  <c r="K117"/>
  <c r="K116"/>
  <c r="K115"/>
  <c r="K114"/>
  <c r="K113"/>
  <c r="K112"/>
  <c r="K110"/>
  <c r="K109"/>
  <c r="K108"/>
  <c r="K107"/>
  <c r="K106"/>
  <c r="K105"/>
  <c r="F105"/>
  <c r="F111" s="1"/>
  <c r="K85"/>
  <c r="K84"/>
  <c r="I83"/>
  <c r="I82"/>
  <c r="F81"/>
  <c r="F86" s="1"/>
  <c r="F77"/>
  <c r="F33"/>
  <c r="F35"/>
  <c r="F23"/>
  <c r="F17"/>
  <c r="F16"/>
  <c r="F10"/>
  <c r="F6"/>
  <c r="F143"/>
  <c r="G145"/>
  <c r="F146"/>
  <c r="I90"/>
  <c r="K90" s="1"/>
  <c r="K100"/>
  <c r="K101" s="1"/>
  <c r="F100"/>
  <c r="F101" s="1"/>
  <c r="K98"/>
  <c r="K97"/>
  <c r="F97"/>
  <c r="F99" s="1"/>
  <c r="K95"/>
  <c r="K94"/>
  <c r="K93"/>
  <c r="F93"/>
  <c r="F96" s="1"/>
  <c r="K91"/>
  <c r="F90"/>
  <c r="M142"/>
  <c r="K137"/>
  <c r="M137" s="1"/>
  <c r="K136"/>
  <c r="M136" s="1"/>
  <c r="K135"/>
  <c r="M135" s="1"/>
  <c r="M141"/>
  <c r="M140"/>
  <c r="M139"/>
  <c r="M138"/>
  <c r="F68"/>
  <c r="F73" s="1"/>
  <c r="K72"/>
  <c r="K71"/>
  <c r="K70"/>
  <c r="K69"/>
  <c r="K68"/>
  <c r="F59"/>
  <c r="F67" s="1"/>
  <c r="K66"/>
  <c r="K65"/>
  <c r="K61"/>
  <c r="K60"/>
  <c r="K59"/>
  <c r="K57"/>
  <c r="K56"/>
  <c r="K55"/>
  <c r="K54"/>
  <c r="K53"/>
  <c r="F53"/>
  <c r="F58" s="1"/>
  <c r="I47"/>
  <c r="K47" s="1"/>
  <c r="K51"/>
  <c r="K50"/>
  <c r="K49"/>
  <c r="K48"/>
  <c r="F47"/>
  <c r="K111" l="1"/>
  <c r="K99"/>
  <c r="L99" s="1"/>
  <c r="K96"/>
  <c r="L96" s="1"/>
  <c r="K58"/>
  <c r="L58" s="1"/>
  <c r="K73"/>
  <c r="L73" s="1"/>
  <c r="K67"/>
  <c r="L67" l="1"/>
  <c r="F44" i="7" l="1"/>
  <c r="F42"/>
  <c r="F41"/>
  <c r="I38"/>
  <c r="F38"/>
  <c r="I29"/>
  <c r="I33"/>
  <c r="I32"/>
  <c r="I31"/>
  <c r="I30"/>
  <c r="F30"/>
  <c r="F29"/>
  <c r="I26"/>
  <c r="I25"/>
  <c r="F23"/>
  <c r="F14"/>
  <c r="F10"/>
  <c r="F6"/>
  <c r="K50"/>
  <c r="F50"/>
  <c r="K171"/>
  <c r="K170"/>
  <c r="K169"/>
  <c r="F169"/>
  <c r="F172" s="1"/>
  <c r="K166"/>
  <c r="K167"/>
  <c r="K165"/>
  <c r="F165"/>
  <c r="F159"/>
  <c r="K160"/>
  <c r="K159"/>
  <c r="K158"/>
  <c r="F158"/>
  <c r="F161" s="1"/>
  <c r="F154"/>
  <c r="F157" s="1"/>
  <c r="K152"/>
  <c r="K149"/>
  <c r="F149"/>
  <c r="F153" s="1"/>
  <c r="F145"/>
  <c r="F141"/>
  <c r="K197"/>
  <c r="M197" s="1"/>
  <c r="K196"/>
  <c r="M196" s="1"/>
  <c r="K194"/>
  <c r="M194" s="1"/>
  <c r="M199"/>
  <c r="M198"/>
  <c r="K79" i="4"/>
  <c r="M195" i="7"/>
  <c r="M193"/>
  <c r="K80" i="4"/>
  <c r="F132" i="7"/>
  <c r="F137" s="1"/>
  <c r="K136"/>
  <c r="K135"/>
  <c r="K134"/>
  <c r="K133"/>
  <c r="K132"/>
  <c r="K114" i="3"/>
  <c r="K113"/>
  <c r="I117"/>
  <c r="I116"/>
  <c r="I111"/>
  <c r="I130" i="7"/>
  <c r="K130" s="1"/>
  <c r="I129"/>
  <c r="K129" s="1"/>
  <c r="I128"/>
  <c r="K128" s="1"/>
  <c r="I127"/>
  <c r="K127" s="1"/>
  <c r="I126"/>
  <c r="K126" s="1"/>
  <c r="I125"/>
  <c r="K125" s="1"/>
  <c r="F125"/>
  <c r="F131" s="1"/>
  <c r="K123"/>
  <c r="K122"/>
  <c r="K121"/>
  <c r="K120"/>
  <c r="K119"/>
  <c r="K118"/>
  <c r="F118"/>
  <c r="F124" s="1"/>
  <c r="K116"/>
  <c r="K115"/>
  <c r="K114"/>
  <c r="F111"/>
  <c r="F117" s="1"/>
  <c r="K109"/>
  <c r="K108"/>
  <c r="K107"/>
  <c r="K106"/>
  <c r="K105"/>
  <c r="F105"/>
  <c r="K103"/>
  <c r="K102"/>
  <c r="K101"/>
  <c r="K100"/>
  <c r="K99"/>
  <c r="F99"/>
  <c r="F104" s="1"/>
  <c r="K97"/>
  <c r="K96"/>
  <c r="K95"/>
  <c r="K94"/>
  <c r="K93"/>
  <c r="F93"/>
  <c r="K89"/>
  <c r="K91"/>
  <c r="K90"/>
  <c r="K88"/>
  <c r="K87"/>
  <c r="K86"/>
  <c r="F86"/>
  <c r="K84"/>
  <c r="K83"/>
  <c r="K82"/>
  <c r="K81"/>
  <c r="K80"/>
  <c r="F80"/>
  <c r="K78"/>
  <c r="K77"/>
  <c r="K75"/>
  <c r="K76"/>
  <c r="K74"/>
  <c r="F74"/>
  <c r="K70"/>
  <c r="K72"/>
  <c r="K71"/>
  <c r="K69"/>
  <c r="K68"/>
  <c r="F68"/>
  <c r="K66"/>
  <c r="K65"/>
  <c r="K64"/>
  <c r="K63"/>
  <c r="K62"/>
  <c r="F62"/>
  <c r="F67" s="1"/>
  <c r="K58"/>
  <c r="K60"/>
  <c r="K59"/>
  <c r="K57"/>
  <c r="K56"/>
  <c r="F56"/>
  <c r="K172" l="1"/>
  <c r="L172" s="1"/>
  <c r="K131"/>
  <c r="L131" s="1"/>
  <c r="K161"/>
  <c r="L161" s="1"/>
  <c r="K137"/>
  <c r="L137" s="1"/>
  <c r="K124"/>
  <c r="L124" s="1"/>
  <c r="K104"/>
  <c r="K67"/>
  <c r="L67" s="1"/>
  <c r="G150" i="29" l="1"/>
  <c r="G151"/>
  <c r="F219" i="3"/>
  <c r="G303" i="34"/>
  <c r="F303"/>
  <c r="F205" i="1"/>
  <c r="G298" i="34"/>
  <c r="F298"/>
  <c r="F213" i="3"/>
  <c r="G224" i="4"/>
  <c r="F224"/>
  <c r="F144" i="29"/>
  <c r="G245" i="18"/>
  <c r="G244"/>
  <c r="G243"/>
  <c r="G242"/>
  <c r="G241"/>
  <c r="F240"/>
  <c r="G239"/>
  <c r="G238"/>
  <c r="G213" i="17"/>
  <c r="G212"/>
  <c r="G211"/>
  <c r="G210"/>
  <c r="G209"/>
  <c r="F208"/>
  <c r="G207"/>
  <c r="G206"/>
  <c r="G193" i="16"/>
  <c r="G192"/>
  <c r="G190"/>
  <c r="G189"/>
  <c r="G188"/>
  <c r="F187"/>
  <c r="G186"/>
  <c r="G185"/>
  <c r="G249" i="15"/>
  <c r="G247"/>
  <c r="G246"/>
  <c r="G245"/>
  <c r="G244"/>
  <c r="F243"/>
  <c r="G242"/>
  <c r="G241"/>
  <c r="G168" i="14"/>
  <c r="G167"/>
  <c r="G166"/>
  <c r="G164"/>
  <c r="F163"/>
  <c r="G162"/>
  <c r="G161"/>
  <c r="G194" i="30"/>
  <c r="G191"/>
  <c r="G190"/>
  <c r="G187"/>
  <c r="G186"/>
  <c r="G196" s="1"/>
  <c r="F185"/>
  <c r="G184"/>
  <c r="G183"/>
  <c r="F154" i="13"/>
  <c r="G153"/>
  <c r="G152"/>
  <c r="G151"/>
  <c r="G150"/>
  <c r="G149"/>
  <c r="F148"/>
  <c r="G147"/>
  <c r="G146"/>
  <c r="F263" i="10"/>
  <c r="G262"/>
  <c r="G260"/>
  <c r="G259"/>
  <c r="G258"/>
  <c r="G257"/>
  <c r="F256"/>
  <c r="G255"/>
  <c r="G254"/>
  <c r="F283" i="35"/>
  <c r="F284" s="1"/>
  <c r="G278"/>
  <c r="G277"/>
  <c r="G276"/>
  <c r="G275"/>
  <c r="G273"/>
  <c r="G272"/>
  <c r="F149" i="8"/>
  <c r="F150" s="1"/>
  <c r="G148"/>
  <c r="G147"/>
  <c r="G146"/>
  <c r="G144"/>
  <c r="G142"/>
  <c r="G141"/>
  <c r="F207" i="7"/>
  <c r="G206"/>
  <c r="G205"/>
  <c r="G204"/>
  <c r="G203"/>
  <c r="G202"/>
  <c r="F201"/>
  <c r="G200"/>
  <c r="G199"/>
  <c r="F144" i="5"/>
  <c r="F137"/>
  <c r="G143"/>
  <c r="K107"/>
  <c r="I106"/>
  <c r="K106" s="1"/>
  <c r="I105"/>
  <c r="K105" s="1"/>
  <c r="I104"/>
  <c r="K104" s="1"/>
  <c r="F105"/>
  <c r="F104"/>
  <c r="K102"/>
  <c r="K101"/>
  <c r="K100"/>
  <c r="F100"/>
  <c r="F103" s="1"/>
  <c r="K98"/>
  <c r="K97"/>
  <c r="K96"/>
  <c r="F96"/>
  <c r="K94"/>
  <c r="K93"/>
  <c r="K92"/>
  <c r="K91"/>
  <c r="F91"/>
  <c r="F95" s="1"/>
  <c r="F81"/>
  <c r="I85"/>
  <c r="I84"/>
  <c r="F84"/>
  <c r="F80"/>
  <c r="I72"/>
  <c r="K72" s="1"/>
  <c r="I71"/>
  <c r="K71" s="1"/>
  <c r="K73"/>
  <c r="I70"/>
  <c r="K70" s="1"/>
  <c r="K75"/>
  <c r="K74"/>
  <c r="F70"/>
  <c r="K68"/>
  <c r="K67"/>
  <c r="K66"/>
  <c r="K65"/>
  <c r="K64"/>
  <c r="F64"/>
  <c r="K129"/>
  <c r="M129" s="1"/>
  <c r="M134"/>
  <c r="M133"/>
  <c r="M132"/>
  <c r="M131"/>
  <c r="M130"/>
  <c r="K118" i="3"/>
  <c r="K117"/>
  <c r="K210"/>
  <c r="M210" s="1"/>
  <c r="K207"/>
  <c r="M205"/>
  <c r="M209"/>
  <c r="K116"/>
  <c r="I115"/>
  <c r="I62" i="5"/>
  <c r="K62" s="1"/>
  <c r="I61"/>
  <c r="K61" s="1"/>
  <c r="I60"/>
  <c r="K60" s="1"/>
  <c r="I59"/>
  <c r="K59" s="1"/>
  <c r="I58"/>
  <c r="K58" s="1"/>
  <c r="F58"/>
  <c r="K54"/>
  <c r="K53"/>
  <c r="K56"/>
  <c r="K55"/>
  <c r="K52"/>
  <c r="F52"/>
  <c r="I15"/>
  <c r="F39"/>
  <c r="F36"/>
  <c r="F33"/>
  <c r="F30"/>
  <c r="F21"/>
  <c r="F15"/>
  <c r="F6"/>
  <c r="F32" i="29"/>
  <c r="F34" s="1"/>
  <c r="K33"/>
  <c r="K32"/>
  <c r="F29"/>
  <c r="F31" s="1"/>
  <c r="F26"/>
  <c r="I20"/>
  <c r="I19"/>
  <c r="I17"/>
  <c r="F17"/>
  <c r="K10"/>
  <c r="K9"/>
  <c r="K8"/>
  <c r="K7"/>
  <c r="K6"/>
  <c r="F6"/>
  <c r="F13" s="1"/>
  <c r="F14" s="1"/>
  <c r="F146"/>
  <c r="F152" s="1"/>
  <c r="G148"/>
  <c r="K96"/>
  <c r="K95"/>
  <c r="K94"/>
  <c r="F94"/>
  <c r="F97" s="1"/>
  <c r="F90"/>
  <c r="F93" s="1"/>
  <c r="I87"/>
  <c r="K87" s="1"/>
  <c r="I86"/>
  <c r="K86" s="1"/>
  <c r="F86"/>
  <c r="I84"/>
  <c r="K84" s="1"/>
  <c r="I83"/>
  <c r="K83" s="1"/>
  <c r="I82"/>
  <c r="K82" s="1"/>
  <c r="F82"/>
  <c r="K92"/>
  <c r="K91"/>
  <c r="K90"/>
  <c r="K88"/>
  <c r="F78"/>
  <c r="F113"/>
  <c r="F115" s="1"/>
  <c r="K114"/>
  <c r="K113"/>
  <c r="K110"/>
  <c r="F110"/>
  <c r="F112" s="1"/>
  <c r="K108"/>
  <c r="K107"/>
  <c r="F107"/>
  <c r="K105"/>
  <c r="K104"/>
  <c r="F104"/>
  <c r="K102"/>
  <c r="K101"/>
  <c r="F101"/>
  <c r="K137"/>
  <c r="M137" s="1"/>
  <c r="K136"/>
  <c r="M136" s="1"/>
  <c r="M140"/>
  <c r="K139"/>
  <c r="M139" s="1"/>
  <c r="K138"/>
  <c r="M138" s="1"/>
  <c r="I61" i="3"/>
  <c r="I126" i="34"/>
  <c r="K126" s="1"/>
  <c r="I125"/>
  <c r="K125" s="1"/>
  <c r="I117"/>
  <c r="I116"/>
  <c r="I115"/>
  <c r="I114"/>
  <c r="K67" i="29"/>
  <c r="K66"/>
  <c r="K65"/>
  <c r="K64"/>
  <c r="K63"/>
  <c r="F63"/>
  <c r="K57"/>
  <c r="K58"/>
  <c r="K59"/>
  <c r="K60"/>
  <c r="K61"/>
  <c r="F57"/>
  <c r="K55"/>
  <c r="K54"/>
  <c r="K53"/>
  <c r="K52"/>
  <c r="K51"/>
  <c r="G219" i="17" l="1"/>
  <c r="F202" s="1"/>
  <c r="G248" i="18"/>
  <c r="F232" s="1"/>
  <c r="F220" i="17"/>
  <c r="G196" i="16"/>
  <c r="F197"/>
  <c r="G187"/>
  <c r="G251" i="15"/>
  <c r="F235" s="1"/>
  <c r="G243"/>
  <c r="F220" i="3"/>
  <c r="F171" i="14"/>
  <c r="F197" i="30"/>
  <c r="G185"/>
  <c r="G197" s="1"/>
  <c r="G256" i="10"/>
  <c r="G148" i="13"/>
  <c r="G154"/>
  <c r="F140" s="1"/>
  <c r="G283" i="35"/>
  <c r="F266" s="1"/>
  <c r="G274"/>
  <c r="F145" i="5"/>
  <c r="F153" i="29"/>
  <c r="F108" i="5"/>
  <c r="K108"/>
  <c r="G143" i="8"/>
  <c r="G149"/>
  <c r="G240" i="18"/>
  <c r="F249"/>
  <c r="G208" i="17"/>
  <c r="F252" i="15"/>
  <c r="G163" i="14"/>
  <c r="F155" i="13"/>
  <c r="F264" i="10"/>
  <c r="G263"/>
  <c r="F208" i="7"/>
  <c r="G207"/>
  <c r="F193" s="1"/>
  <c r="G201"/>
  <c r="K103" i="5"/>
  <c r="L103" s="1"/>
  <c r="K95"/>
  <c r="K34" i="29"/>
  <c r="L34" s="1"/>
  <c r="K97"/>
  <c r="K93"/>
  <c r="L93" s="1"/>
  <c r="K115"/>
  <c r="F200" i="17" l="1"/>
  <c r="G249" i="18"/>
  <c r="G220" i="17"/>
  <c r="G197" i="16"/>
  <c r="G252" i="15"/>
  <c r="G171" i="14"/>
  <c r="G155" i="13"/>
  <c r="G264" i="10"/>
  <c r="F248"/>
  <c r="G284" i="35"/>
  <c r="L108" i="5"/>
  <c r="G150" i="8"/>
  <c r="F135"/>
  <c r="G208" i="7"/>
  <c r="F51" i="29"/>
  <c r="F56" s="1"/>
  <c r="K49"/>
  <c r="K48"/>
  <c r="K47"/>
  <c r="K46"/>
  <c r="K45"/>
  <c r="G220" i="36" l="1"/>
  <c r="G265" i="27"/>
  <c r="I154" i="34"/>
  <c r="I152"/>
  <c r="K134"/>
  <c r="I142"/>
  <c r="K142" s="1"/>
  <c r="I141"/>
  <c r="K141" s="1"/>
  <c r="F108" i="4"/>
  <c r="F61" i="3"/>
  <c r="F52" i="4"/>
  <c r="I34"/>
  <c r="I35"/>
  <c r="I21"/>
  <c r="I22"/>
  <c r="F11"/>
  <c r="F10"/>
  <c r="K14"/>
  <c r="K13"/>
  <c r="K12"/>
  <c r="K11"/>
  <c r="K10"/>
  <c r="F7"/>
  <c r="F39"/>
  <c r="F38"/>
  <c r="F37"/>
  <c r="F35"/>
  <c r="F34"/>
  <c r="F26"/>
  <c r="F25"/>
  <c r="F20"/>
  <c r="F19"/>
  <c r="F6"/>
  <c r="K167"/>
  <c r="K166"/>
  <c r="K165"/>
  <c r="F165"/>
  <c r="F168" s="1"/>
  <c r="F157"/>
  <c r="F160" s="1"/>
  <c r="K163"/>
  <c r="K162"/>
  <c r="K161"/>
  <c r="F161"/>
  <c r="F164" s="1"/>
  <c r="K159"/>
  <c r="K158"/>
  <c r="K157"/>
  <c r="F153"/>
  <c r="K205"/>
  <c r="K204"/>
  <c r="K203"/>
  <c r="K202"/>
  <c r="K201"/>
  <c r="K200"/>
  <c r="K199"/>
  <c r="K198"/>
  <c r="F198"/>
  <c r="F206" s="1"/>
  <c r="K196"/>
  <c r="K195"/>
  <c r="K194"/>
  <c r="K193"/>
  <c r="K192"/>
  <c r="K191"/>
  <c r="K190"/>
  <c r="K189"/>
  <c r="K188"/>
  <c r="F188"/>
  <c r="F197" s="1"/>
  <c r="K186"/>
  <c r="K184"/>
  <c r="K183"/>
  <c r="F183"/>
  <c r="K185"/>
  <c r="K178"/>
  <c r="K177"/>
  <c r="F177"/>
  <c r="F179" s="1"/>
  <c r="K175"/>
  <c r="K174"/>
  <c r="K173"/>
  <c r="K172"/>
  <c r="F172"/>
  <c r="F176" s="1"/>
  <c r="K220"/>
  <c r="K218"/>
  <c r="K217"/>
  <c r="M217" s="1"/>
  <c r="K216"/>
  <c r="M216" s="1"/>
  <c r="M219"/>
  <c r="K148"/>
  <c r="K147"/>
  <c r="K146"/>
  <c r="K145"/>
  <c r="K144"/>
  <c r="F149"/>
  <c r="K140"/>
  <c r="K142"/>
  <c r="K141"/>
  <c r="K139"/>
  <c r="K138"/>
  <c r="F143"/>
  <c r="I134"/>
  <c r="K134" s="1"/>
  <c r="I133"/>
  <c r="K133" s="1"/>
  <c r="I132"/>
  <c r="K132" s="1"/>
  <c r="K136"/>
  <c r="K135"/>
  <c r="F132"/>
  <c r="F137" s="1"/>
  <c r="I128"/>
  <c r="K128" s="1"/>
  <c r="I127"/>
  <c r="K127" s="1"/>
  <c r="I126"/>
  <c r="K126" s="1"/>
  <c r="K130"/>
  <c r="K129"/>
  <c r="F126"/>
  <c r="F131" s="1"/>
  <c r="K124"/>
  <c r="K123"/>
  <c r="K122"/>
  <c r="K121"/>
  <c r="K120"/>
  <c r="F120"/>
  <c r="F125" s="1"/>
  <c r="K118"/>
  <c r="K117"/>
  <c r="K116"/>
  <c r="K115"/>
  <c r="K114"/>
  <c r="F114"/>
  <c r="F119" s="1"/>
  <c r="K112"/>
  <c r="K111"/>
  <c r="K110"/>
  <c r="K109"/>
  <c r="K108"/>
  <c r="F113"/>
  <c r="I104"/>
  <c r="K104" s="1"/>
  <c r="I103"/>
  <c r="K103" s="1"/>
  <c r="I102"/>
  <c r="K102" s="1"/>
  <c r="K106"/>
  <c r="K105"/>
  <c r="F102"/>
  <c r="F107" s="1"/>
  <c r="K97"/>
  <c r="K98"/>
  <c r="K100"/>
  <c r="K99"/>
  <c r="K96"/>
  <c r="F96"/>
  <c r="F101" s="1"/>
  <c r="K91"/>
  <c r="K92"/>
  <c r="K94"/>
  <c r="K93"/>
  <c r="K90"/>
  <c r="F90"/>
  <c r="F95" s="1"/>
  <c r="K86"/>
  <c r="K88"/>
  <c r="K87"/>
  <c r="K85"/>
  <c r="K84"/>
  <c r="F84"/>
  <c r="F89" s="1"/>
  <c r="K78"/>
  <c r="K77"/>
  <c r="K76"/>
  <c r="K82"/>
  <c r="K81"/>
  <c r="F76"/>
  <c r="K74"/>
  <c r="K73"/>
  <c r="K72"/>
  <c r="K70"/>
  <c r="F70"/>
  <c r="I66"/>
  <c r="K66" s="1"/>
  <c r="I65"/>
  <c r="K65" s="1"/>
  <c r="I64"/>
  <c r="K64" s="1"/>
  <c r="K68"/>
  <c r="K67"/>
  <c r="F64"/>
  <c r="I60"/>
  <c r="K60" s="1"/>
  <c r="I59"/>
  <c r="K59" s="1"/>
  <c r="I58"/>
  <c r="K58" s="1"/>
  <c r="K62"/>
  <c r="K61"/>
  <c r="F58"/>
  <c r="I56"/>
  <c r="K56" s="1"/>
  <c r="I55"/>
  <c r="K55" s="1"/>
  <c r="I54"/>
  <c r="K54" s="1"/>
  <c r="I53"/>
  <c r="K53" s="1"/>
  <c r="I52"/>
  <c r="K52" s="1"/>
  <c r="F15" l="1"/>
  <c r="K15"/>
  <c r="K168"/>
  <c r="L168" s="1"/>
  <c r="K164"/>
  <c r="L164" s="1"/>
  <c r="K160"/>
  <c r="L160" s="1"/>
  <c r="K197"/>
  <c r="L197" s="1"/>
  <c r="K206"/>
  <c r="F180"/>
  <c r="K179"/>
  <c r="K149"/>
  <c r="K176"/>
  <c r="K143"/>
  <c r="L143" s="1"/>
  <c r="K125"/>
  <c r="L125" s="1"/>
  <c r="K137"/>
  <c r="L137" s="1"/>
  <c r="K131"/>
  <c r="L131" s="1"/>
  <c r="K119"/>
  <c r="K113"/>
  <c r="L113" s="1"/>
  <c r="K107"/>
  <c r="L107" s="1"/>
  <c r="K101"/>
  <c r="L101" s="1"/>
  <c r="K95"/>
  <c r="L95" s="1"/>
  <c r="K89"/>
  <c r="L89" s="1"/>
  <c r="K180" l="1"/>
  <c r="L119"/>
  <c r="M230" i="36" l="1"/>
  <c r="M229"/>
  <c r="M228"/>
  <c r="K233"/>
  <c r="M226"/>
  <c r="M225"/>
  <c r="I222"/>
  <c r="I221"/>
  <c r="I220"/>
  <c r="G222"/>
  <c r="L222" s="1"/>
  <c r="G219"/>
  <c r="G221" s="1"/>
  <c r="E219"/>
  <c r="M275" i="27"/>
  <c r="M274"/>
  <c r="M273"/>
  <c r="K278"/>
  <c r="M271"/>
  <c r="M270"/>
  <c r="I267"/>
  <c r="I266"/>
  <c r="I265"/>
  <c r="G264"/>
  <c r="G266" s="1"/>
  <c r="G267" s="1"/>
  <c r="L267" s="1"/>
  <c r="E264"/>
  <c r="K183" i="26"/>
  <c r="M179"/>
  <c r="I172"/>
  <c r="M242" i="25"/>
  <c r="M241"/>
  <c r="K246"/>
  <c r="M239"/>
  <c r="M238"/>
  <c r="I235"/>
  <c r="M173" i="33"/>
  <c r="K177"/>
  <c r="I166"/>
  <c r="M237" i="32"/>
  <c r="M236"/>
  <c r="M235"/>
  <c r="K240"/>
  <c r="M233"/>
  <c r="M232"/>
  <c r="I229"/>
  <c r="I228"/>
  <c r="I227"/>
  <c r="M239" i="24"/>
  <c r="M238"/>
  <c r="M237"/>
  <c r="K242"/>
  <c r="M235"/>
  <c r="M234"/>
  <c r="I231"/>
  <c r="I230"/>
  <c r="I229"/>
  <c r="M223" i="23"/>
  <c r="M222"/>
  <c r="M221"/>
  <c r="K226"/>
  <c r="M219"/>
  <c r="M218"/>
  <c r="I215"/>
  <c r="I214"/>
  <c r="I213"/>
  <c r="M263" i="22"/>
  <c r="M262"/>
  <c r="M261"/>
  <c r="K266"/>
  <c r="M259"/>
  <c r="M258"/>
  <c r="I255"/>
  <c r="I254"/>
  <c r="I253"/>
  <c r="M160" i="21"/>
  <c r="M159"/>
  <c r="M158"/>
  <c r="K163"/>
  <c r="M156"/>
  <c r="M155"/>
  <c r="I152"/>
  <c r="I151"/>
  <c r="I150"/>
  <c r="M205" i="20"/>
  <c r="M204"/>
  <c r="M203"/>
  <c r="M202"/>
  <c r="K208"/>
  <c r="M201"/>
  <c r="M200"/>
  <c r="I197"/>
  <c r="I196"/>
  <c r="I195"/>
  <c r="I172" i="31"/>
  <c r="M207" i="19"/>
  <c r="M206"/>
  <c r="M205"/>
  <c r="M203"/>
  <c r="M202"/>
  <c r="I199"/>
  <c r="F233" i="18"/>
  <c r="M237"/>
  <c r="M236"/>
  <c r="M235"/>
  <c r="K240"/>
  <c r="M233"/>
  <c r="I229"/>
  <c r="F201" i="17"/>
  <c r="M205"/>
  <c r="M204"/>
  <c r="M203"/>
  <c r="M201"/>
  <c r="M200"/>
  <c r="I197"/>
  <c r="F179" i="16"/>
  <c r="F180"/>
  <c r="M184"/>
  <c r="M183"/>
  <c r="M182"/>
  <c r="M181"/>
  <c r="M180"/>
  <c r="M179"/>
  <c r="I176"/>
  <c r="K243" i="15"/>
  <c r="F236"/>
  <c r="I232"/>
  <c r="M160" i="14"/>
  <c r="M159"/>
  <c r="M158"/>
  <c r="M157"/>
  <c r="K163"/>
  <c r="M156"/>
  <c r="F156"/>
  <c r="M155"/>
  <c r="I152"/>
  <c r="F177" i="30"/>
  <c r="F178"/>
  <c r="K185"/>
  <c r="I174"/>
  <c r="F141" i="13"/>
  <c r="M145"/>
  <c r="M144"/>
  <c r="M143"/>
  <c r="K148"/>
  <c r="F249" i="10"/>
  <c r="M253"/>
  <c r="M252"/>
  <c r="F267" i="35"/>
  <c r="F136" i="8"/>
  <c r="F194" i="7"/>
  <c r="I190"/>
  <c r="G142" i="5"/>
  <c r="G141"/>
  <c r="G140"/>
  <c r="G139"/>
  <c r="G136"/>
  <c r="G135"/>
  <c r="G137" s="1"/>
  <c r="I126"/>
  <c r="G149" i="29"/>
  <c r="G147"/>
  <c r="K146"/>
  <c r="G146"/>
  <c r="G143"/>
  <c r="G142"/>
  <c r="M141"/>
  <c r="M146" s="1"/>
  <c r="I133"/>
  <c r="F231" i="4"/>
  <c r="F232" s="1"/>
  <c r="G230"/>
  <c r="G229"/>
  <c r="G228"/>
  <c r="G227"/>
  <c r="G226"/>
  <c r="G225"/>
  <c r="M221"/>
  <c r="M220"/>
  <c r="M218"/>
  <c r="I213"/>
  <c r="M153" i="12"/>
  <c r="K152"/>
  <c r="M152" s="1"/>
  <c r="K154"/>
  <c r="M154" s="1"/>
  <c r="F208" i="1"/>
  <c r="F211" s="1"/>
  <c r="F212" s="1"/>
  <c r="G209"/>
  <c r="M208"/>
  <c r="K199"/>
  <c r="M199" s="1"/>
  <c r="K198"/>
  <c r="M198" s="1"/>
  <c r="M207"/>
  <c r="M203"/>
  <c r="K295" i="34"/>
  <c r="M295" s="1"/>
  <c r="K293"/>
  <c r="M293" s="1"/>
  <c r="K292"/>
  <c r="K294"/>
  <c r="M294" s="1"/>
  <c r="M296"/>
  <c r="K291"/>
  <c r="M291"/>
  <c r="M157" i="12"/>
  <c r="M156"/>
  <c r="M155"/>
  <c r="M202" i="1"/>
  <c r="M201"/>
  <c r="M200"/>
  <c r="M292" i="34"/>
  <c r="G144" i="5" l="1"/>
  <c r="F129" s="1"/>
  <c r="G145"/>
  <c r="G152" i="29"/>
  <c r="F136" s="1"/>
  <c r="F138" s="1"/>
  <c r="G144"/>
  <c r="F130" i="5"/>
  <c r="F131" s="1"/>
  <c r="F137" i="29"/>
  <c r="G231" i="4"/>
  <c r="M208" i="20"/>
  <c r="G198" s="1"/>
  <c r="L219" i="36"/>
  <c r="M227"/>
  <c r="M233" s="1"/>
  <c r="G223" s="1"/>
  <c r="L264" i="27"/>
  <c r="M272"/>
  <c r="M278" s="1"/>
  <c r="M180" i="26"/>
  <c r="M183" s="1"/>
  <c r="G173" s="1"/>
  <c r="M240" i="25"/>
  <c r="M246" s="1"/>
  <c r="M177" i="33"/>
  <c r="M234" i="32"/>
  <c r="M240" s="1"/>
  <c r="M236" i="24"/>
  <c r="M242" s="1"/>
  <c r="M220" i="23"/>
  <c r="M226" s="1"/>
  <c r="M260" i="22"/>
  <c r="M266" s="1"/>
  <c r="M157" i="21"/>
  <c r="M163" s="1"/>
  <c r="M204" i="19"/>
  <c r="G200" s="1"/>
  <c r="F234" i="18"/>
  <c r="M234"/>
  <c r="M240" s="1"/>
  <c r="M202" i="17"/>
  <c r="M219" s="1"/>
  <c r="G198" s="1"/>
  <c r="F181" i="16"/>
  <c r="M187"/>
  <c r="G177" s="1"/>
  <c r="K187"/>
  <c r="M243" i="15"/>
  <c r="M163" i="14"/>
  <c r="F155"/>
  <c r="F179" i="30"/>
  <c r="M185"/>
  <c r="G175" s="1"/>
  <c r="F142" i="13"/>
  <c r="M148"/>
  <c r="F250" i="10"/>
  <c r="M256"/>
  <c r="G246" s="1"/>
  <c r="K256"/>
  <c r="F268" i="35"/>
  <c r="M274"/>
  <c r="G264" s="1"/>
  <c r="K274"/>
  <c r="F137" i="8"/>
  <c r="M143"/>
  <c r="G133" s="1"/>
  <c r="K143"/>
  <c r="F195" i="7"/>
  <c r="M201"/>
  <c r="K201"/>
  <c r="M139" i="5"/>
  <c r="K139"/>
  <c r="M147" i="29"/>
  <c r="J131"/>
  <c r="M227" i="4"/>
  <c r="K227"/>
  <c r="K162" i="12"/>
  <c r="M162"/>
  <c r="G149" s="1"/>
  <c r="K210" i="1"/>
  <c r="M210"/>
  <c r="M301" i="34"/>
  <c r="K301"/>
  <c r="M223" i="19" l="1"/>
  <c r="J45" i="11" s="1"/>
  <c r="G195" i="1"/>
  <c r="G289" i="34" s="1"/>
  <c r="G153" i="29"/>
  <c r="F216" i="4"/>
  <c r="F218" s="1"/>
  <c r="G232"/>
  <c r="J130" i="8"/>
  <c r="M144"/>
  <c r="J220" i="36"/>
  <c r="M234"/>
  <c r="G268" i="27"/>
  <c r="J265"/>
  <c r="M279"/>
  <c r="G236" i="25"/>
  <c r="G167" i="33"/>
  <c r="G230" i="32"/>
  <c r="G232" i="24"/>
  <c r="G216" i="23"/>
  <c r="G256" i="22"/>
  <c r="G153" i="21"/>
  <c r="G173" i="31"/>
  <c r="G230" i="18"/>
  <c r="G233" i="15"/>
  <c r="F237"/>
  <c r="G153" i="14"/>
  <c r="F157"/>
  <c r="G138" i="13"/>
  <c r="K58" i="3" l="1"/>
  <c r="F58"/>
  <c r="F50"/>
  <c r="F52" s="1"/>
  <c r="K51"/>
  <c r="K50"/>
  <c r="F47"/>
  <c r="F49" s="1"/>
  <c r="K48"/>
  <c r="K47"/>
  <c r="K45"/>
  <c r="K44"/>
  <c r="F44"/>
  <c r="F46" s="1"/>
  <c r="K42"/>
  <c r="K41"/>
  <c r="F41"/>
  <c r="F43" s="1"/>
  <c r="F38"/>
  <c r="F40" s="1"/>
  <c r="F35"/>
  <c r="F32"/>
  <c r="F24"/>
  <c r="F23"/>
  <c r="K27"/>
  <c r="K26"/>
  <c r="K25"/>
  <c r="K24"/>
  <c r="K23"/>
  <c r="I20"/>
  <c r="I19"/>
  <c r="I18"/>
  <c r="I17"/>
  <c r="F17"/>
  <c r="F22" s="1"/>
  <c r="M208"/>
  <c r="M207"/>
  <c r="M206"/>
  <c r="G217"/>
  <c r="G212"/>
  <c r="K150"/>
  <c r="K149"/>
  <c r="K148"/>
  <c r="F148"/>
  <c r="F151" s="1"/>
  <c r="K146"/>
  <c r="K145"/>
  <c r="K144"/>
  <c r="F144"/>
  <c r="F137"/>
  <c r="I135"/>
  <c r="I134"/>
  <c r="I133"/>
  <c r="F133"/>
  <c r="I130"/>
  <c r="I129"/>
  <c r="F129"/>
  <c r="F125"/>
  <c r="I105" i="1"/>
  <c r="K107"/>
  <c r="K106"/>
  <c r="K133" i="34"/>
  <c r="I118"/>
  <c r="K118"/>
  <c r="K117"/>
  <c r="I120" i="3"/>
  <c r="K120" s="1"/>
  <c r="I119"/>
  <c r="K119" s="1"/>
  <c r="K115"/>
  <c r="I112"/>
  <c r="K112" s="1"/>
  <c r="K111"/>
  <c r="F111"/>
  <c r="F121" s="1"/>
  <c r="I109"/>
  <c r="K109" s="1"/>
  <c r="I108"/>
  <c r="K108" s="1"/>
  <c r="I107"/>
  <c r="K107" s="1"/>
  <c r="I106"/>
  <c r="K106" s="1"/>
  <c r="I105"/>
  <c r="K105" s="1"/>
  <c r="F105"/>
  <c r="F110" s="1"/>
  <c r="K103"/>
  <c r="K102"/>
  <c r="K101"/>
  <c r="K100"/>
  <c r="K99"/>
  <c r="F99"/>
  <c r="F104" s="1"/>
  <c r="K97"/>
  <c r="K96"/>
  <c r="K95"/>
  <c r="K94"/>
  <c r="K93"/>
  <c r="F93"/>
  <c r="F98" s="1"/>
  <c r="F85"/>
  <c r="K91"/>
  <c r="K90"/>
  <c r="K89"/>
  <c r="K88"/>
  <c r="K87"/>
  <c r="K86"/>
  <c r="K85"/>
  <c r="K81"/>
  <c r="K83"/>
  <c r="K82"/>
  <c r="K80"/>
  <c r="K79"/>
  <c r="F79"/>
  <c r="K75"/>
  <c r="K77"/>
  <c r="K76"/>
  <c r="K74"/>
  <c r="K73"/>
  <c r="F73"/>
  <c r="I71"/>
  <c r="K71" s="1"/>
  <c r="I70"/>
  <c r="K70" s="1"/>
  <c r="I69"/>
  <c r="I68"/>
  <c r="K68" s="1"/>
  <c r="I67"/>
  <c r="K67" s="1"/>
  <c r="F67"/>
  <c r="K65"/>
  <c r="K64"/>
  <c r="K63"/>
  <c r="K62"/>
  <c r="K61"/>
  <c r="K194"/>
  <c r="K193"/>
  <c r="K192"/>
  <c r="K191"/>
  <c r="K190"/>
  <c r="K189"/>
  <c r="F189"/>
  <c r="F195" s="1"/>
  <c r="K186"/>
  <c r="K187"/>
  <c r="F186"/>
  <c r="F188" s="1"/>
  <c r="K184"/>
  <c r="K183"/>
  <c r="K182"/>
  <c r="K181"/>
  <c r="K180"/>
  <c r="K179"/>
  <c r="K178"/>
  <c r="K177"/>
  <c r="K176"/>
  <c r="F176"/>
  <c r="F185" s="1"/>
  <c r="K173"/>
  <c r="K172"/>
  <c r="K171"/>
  <c r="K170"/>
  <c r="K169"/>
  <c r="K174"/>
  <c r="K168"/>
  <c r="K167"/>
  <c r="K166"/>
  <c r="K165"/>
  <c r="F165"/>
  <c r="F175" s="1"/>
  <c r="K163"/>
  <c r="K162"/>
  <c r="K161"/>
  <c r="K160"/>
  <c r="K159"/>
  <c r="K158"/>
  <c r="K157"/>
  <c r="K156"/>
  <c r="K155"/>
  <c r="F155"/>
  <c r="F164" s="1"/>
  <c r="K28" l="1"/>
  <c r="K43"/>
  <c r="L43" s="1"/>
  <c r="K52"/>
  <c r="F28"/>
  <c r="F29" s="1"/>
  <c r="M215"/>
  <c r="G203" s="1"/>
  <c r="G214" i="4" s="1"/>
  <c r="G134" i="29" s="1"/>
  <c r="G127" i="5" s="1"/>
  <c r="G191" i="7" s="1"/>
  <c r="K49" i="3"/>
  <c r="L49" s="1"/>
  <c r="K46"/>
  <c r="L46" s="1"/>
  <c r="K215"/>
  <c r="K147"/>
  <c r="K151"/>
  <c r="K98"/>
  <c r="L98" s="1"/>
  <c r="K121"/>
  <c r="L121" s="1"/>
  <c r="K110"/>
  <c r="L110" s="1"/>
  <c r="K104"/>
  <c r="L104" s="1"/>
  <c r="F196"/>
  <c r="K195"/>
  <c r="K185"/>
  <c r="L185" s="1"/>
  <c r="K188"/>
  <c r="L188" s="1"/>
  <c r="K175"/>
  <c r="K164"/>
  <c r="K152" l="1"/>
  <c r="K196"/>
  <c r="F108" i="34" l="1"/>
  <c r="F110" s="1"/>
  <c r="F111" s="1"/>
  <c r="K108"/>
  <c r="K109"/>
  <c r="K110" l="1"/>
  <c r="L110" s="1"/>
  <c r="K111" l="1"/>
  <c r="L111" s="1"/>
  <c r="I73" l="1"/>
  <c r="I72"/>
  <c r="I71"/>
  <c r="F70"/>
  <c r="I60"/>
  <c r="F57"/>
  <c r="F63"/>
  <c r="K52"/>
  <c r="K51"/>
  <c r="K50"/>
  <c r="K49"/>
  <c r="K48"/>
  <c r="K46"/>
  <c r="K45"/>
  <c r="K44"/>
  <c r="K43"/>
  <c r="K42"/>
  <c r="I40"/>
  <c r="I39"/>
  <c r="I38"/>
  <c r="F302"/>
  <c r="K274"/>
  <c r="K276"/>
  <c r="K280"/>
  <c r="K279"/>
  <c r="K278"/>
  <c r="K277"/>
  <c r="K275"/>
  <c r="F274"/>
  <c r="F281" s="1"/>
  <c r="K272"/>
  <c r="K271"/>
  <c r="K270"/>
  <c r="K269"/>
  <c r="K268"/>
  <c r="K267"/>
  <c r="K266"/>
  <c r="K265"/>
  <c r="K264"/>
  <c r="K263"/>
  <c r="K262"/>
  <c r="F262"/>
  <c r="K256"/>
  <c r="K260"/>
  <c r="K259"/>
  <c r="K258"/>
  <c r="K257"/>
  <c r="K255"/>
  <c r="K254"/>
  <c r="K253"/>
  <c r="F253"/>
  <c r="F261" s="1"/>
  <c r="K251"/>
  <c r="K250"/>
  <c r="K249"/>
  <c r="K248"/>
  <c r="K247"/>
  <c r="K246"/>
  <c r="K245"/>
  <c r="F245"/>
  <c r="F252" s="1"/>
  <c r="K243"/>
  <c r="K242"/>
  <c r="K237"/>
  <c r="K236"/>
  <c r="K235"/>
  <c r="K238"/>
  <c r="K239"/>
  <c r="K240"/>
  <c r="K241"/>
  <c r="F235"/>
  <c r="F244" s="1"/>
  <c r="F224"/>
  <c r="I227"/>
  <c r="K227" s="1"/>
  <c r="I226"/>
  <c r="K226" s="1"/>
  <c r="I225"/>
  <c r="K225" s="1"/>
  <c r="I224"/>
  <c r="K224" s="1"/>
  <c r="K230"/>
  <c r="K229"/>
  <c r="F229"/>
  <c r="F231" s="1"/>
  <c r="F228"/>
  <c r="K222"/>
  <c r="K220"/>
  <c r="K219"/>
  <c r="K221"/>
  <c r="F219"/>
  <c r="F223" s="1"/>
  <c r="K53" l="1"/>
  <c r="K47"/>
  <c r="K281"/>
  <c r="K273"/>
  <c r="F273"/>
  <c r="K244"/>
  <c r="K261"/>
  <c r="L261" s="1"/>
  <c r="K252"/>
  <c r="L252" s="1"/>
  <c r="K231"/>
  <c r="L231" s="1"/>
  <c r="K228"/>
  <c r="L228" s="1"/>
  <c r="K223"/>
  <c r="L223" s="1"/>
  <c r="K282" l="1"/>
  <c r="L273"/>
  <c r="F282"/>
  <c r="F216" l="1"/>
  <c r="F218" s="1"/>
  <c r="K216"/>
  <c r="K217"/>
  <c r="I214"/>
  <c r="K214" s="1"/>
  <c r="I212"/>
  <c r="K212" s="1"/>
  <c r="I213"/>
  <c r="K213" s="1"/>
  <c r="F212"/>
  <c r="F215" s="1"/>
  <c r="K208"/>
  <c r="K210"/>
  <c r="K209"/>
  <c r="F208"/>
  <c r="F211" s="1"/>
  <c r="K203"/>
  <c r="K206"/>
  <c r="K205"/>
  <c r="K204"/>
  <c r="F203"/>
  <c r="F207" s="1"/>
  <c r="F201"/>
  <c r="K201"/>
  <c r="K200"/>
  <c r="F200"/>
  <c r="K195"/>
  <c r="K194"/>
  <c r="K193"/>
  <c r="F193"/>
  <c r="F196" s="1"/>
  <c r="K191"/>
  <c r="K190"/>
  <c r="K189"/>
  <c r="F189"/>
  <c r="F192" s="1"/>
  <c r="I183"/>
  <c r="I182"/>
  <c r="I181"/>
  <c r="K181" s="1"/>
  <c r="F185"/>
  <c r="F188" s="1"/>
  <c r="K187"/>
  <c r="K186"/>
  <c r="K185"/>
  <c r="F181"/>
  <c r="F184" s="1"/>
  <c r="K183"/>
  <c r="K182"/>
  <c r="I178"/>
  <c r="K178" s="1"/>
  <c r="I177"/>
  <c r="K177" s="1"/>
  <c r="K179"/>
  <c r="F178"/>
  <c r="F177"/>
  <c r="F173"/>
  <c r="F176" s="1"/>
  <c r="F169"/>
  <c r="F165"/>
  <c r="F161"/>
  <c r="K156"/>
  <c r="K155"/>
  <c r="K154"/>
  <c r="K153"/>
  <c r="K152"/>
  <c r="F152"/>
  <c r="I81" i="12"/>
  <c r="K81" s="1"/>
  <c r="I82"/>
  <c r="I79"/>
  <c r="K79" s="1"/>
  <c r="I78"/>
  <c r="I72"/>
  <c r="I70" i="1"/>
  <c r="I69"/>
  <c r="I127"/>
  <c r="I126"/>
  <c r="I125"/>
  <c r="I124"/>
  <c r="I123"/>
  <c r="I76"/>
  <c r="I75"/>
  <c r="I74"/>
  <c r="I119"/>
  <c r="I118"/>
  <c r="I117"/>
  <c r="K150" i="34"/>
  <c r="K149"/>
  <c r="K148"/>
  <c r="K147"/>
  <c r="K146"/>
  <c r="F146"/>
  <c r="F138"/>
  <c r="K144"/>
  <c r="K143"/>
  <c r="K140"/>
  <c r="K139"/>
  <c r="K138"/>
  <c r="I136"/>
  <c r="K136" s="1"/>
  <c r="I135"/>
  <c r="K135" s="1"/>
  <c r="I132"/>
  <c r="K132" s="1"/>
  <c r="I131"/>
  <c r="I130"/>
  <c r="K130" s="1"/>
  <c r="K131"/>
  <c r="F130"/>
  <c r="I123"/>
  <c r="K123" s="1"/>
  <c r="I122"/>
  <c r="K122" s="1"/>
  <c r="I124"/>
  <c r="K124" s="1"/>
  <c r="K128"/>
  <c r="K127"/>
  <c r="F122"/>
  <c r="I120"/>
  <c r="K120" s="1"/>
  <c r="I119"/>
  <c r="K119" s="1"/>
  <c r="K116"/>
  <c r="K115"/>
  <c r="K114"/>
  <c r="F114"/>
  <c r="F97"/>
  <c r="F102"/>
  <c r="F99"/>
  <c r="F96"/>
  <c r="K91"/>
  <c r="K90"/>
  <c r="K89"/>
  <c r="K88"/>
  <c r="K87"/>
  <c r="F87"/>
  <c r="F92" s="1"/>
  <c r="F81"/>
  <c r="F86" s="1"/>
  <c r="K85"/>
  <c r="K84"/>
  <c r="K83"/>
  <c r="K82"/>
  <c r="K81"/>
  <c r="K79"/>
  <c r="K78"/>
  <c r="K77"/>
  <c r="K76"/>
  <c r="K75"/>
  <c r="F75"/>
  <c r="F80" s="1"/>
  <c r="F69"/>
  <c r="F48"/>
  <c r="F53" s="1"/>
  <c r="F23"/>
  <c r="G218" i="3"/>
  <c r="G215"/>
  <c r="G211"/>
  <c r="G213" s="1"/>
  <c r="G301" i="34"/>
  <c r="G300"/>
  <c r="G299"/>
  <c r="F42"/>
  <c r="F47" s="1"/>
  <c r="F35"/>
  <c r="K40"/>
  <c r="K39"/>
  <c r="K38"/>
  <c r="F38"/>
  <c r="F41" s="1"/>
  <c r="K36"/>
  <c r="K35"/>
  <c r="K34"/>
  <c r="F34"/>
  <c r="F30"/>
  <c r="F33" s="1"/>
  <c r="K32"/>
  <c r="K31"/>
  <c r="K30"/>
  <c r="K28"/>
  <c r="K27"/>
  <c r="K26"/>
  <c r="F26"/>
  <c r="F29" s="1"/>
  <c r="K24"/>
  <c r="K23"/>
  <c r="K22"/>
  <c r="F22"/>
  <c r="F18"/>
  <c r="F21" s="1"/>
  <c r="F14"/>
  <c r="F10"/>
  <c r="F6"/>
  <c r="F206" i="3" l="1"/>
  <c r="G216"/>
  <c r="F205" s="1"/>
  <c r="K92" i="34"/>
  <c r="G302"/>
  <c r="F291" s="1"/>
  <c r="F293" s="1"/>
  <c r="K218"/>
  <c r="L218" s="1"/>
  <c r="K215"/>
  <c r="L215" s="1"/>
  <c r="F202"/>
  <c r="F232" s="1"/>
  <c r="K211"/>
  <c r="K207"/>
  <c r="F180"/>
  <c r="K192"/>
  <c r="L192" s="1"/>
  <c r="K196"/>
  <c r="K184"/>
  <c r="L184" s="1"/>
  <c r="K188"/>
  <c r="L188" s="1"/>
  <c r="K180"/>
  <c r="K86"/>
  <c r="K80"/>
  <c r="L80" s="1"/>
  <c r="F25"/>
  <c r="K25"/>
  <c r="L86"/>
  <c r="L53"/>
  <c r="K29"/>
  <c r="L29" s="1"/>
  <c r="K33"/>
  <c r="L33" s="1"/>
  <c r="K37"/>
  <c r="K41"/>
  <c r="L41" s="1"/>
  <c r="F37"/>
  <c r="L47"/>
  <c r="G219" i="3" l="1"/>
  <c r="G220" s="1"/>
  <c r="J286" i="34"/>
  <c r="M302"/>
  <c r="F207" i="3"/>
  <c r="L180" i="34"/>
  <c r="L37"/>
  <c r="L25"/>
  <c r="F22" i="1" l="1"/>
  <c r="F23" s="1"/>
  <c r="F187"/>
  <c r="F188" s="1"/>
  <c r="G210"/>
  <c r="G207"/>
  <c r="G203"/>
  <c r="G164" i="12"/>
  <c r="G163"/>
  <c r="G162"/>
  <c r="F161"/>
  <c r="F158"/>
  <c r="G158" s="1"/>
  <c r="I263" i="35" s="1"/>
  <c r="F157" i="12"/>
  <c r="J236" i="1"/>
  <c r="J237"/>
  <c r="J238"/>
  <c r="M240"/>
  <c r="I235"/>
  <c r="J235" s="1"/>
  <c r="I234"/>
  <c r="J234" s="1"/>
  <c r="I233"/>
  <c r="J233" s="1"/>
  <c r="F173"/>
  <c r="F175" s="1"/>
  <c r="K174"/>
  <c r="K173"/>
  <c r="F170"/>
  <c r="F172" s="1"/>
  <c r="K170"/>
  <c r="K171"/>
  <c r="K168"/>
  <c r="K167"/>
  <c r="K166"/>
  <c r="K165"/>
  <c r="K164"/>
  <c r="F164"/>
  <c r="F162"/>
  <c r="F159"/>
  <c r="K159"/>
  <c r="K157"/>
  <c r="K156"/>
  <c r="F156"/>
  <c r="F149"/>
  <c r="I146"/>
  <c r="K146" s="1"/>
  <c r="I145"/>
  <c r="K145" s="1"/>
  <c r="K147"/>
  <c r="F145"/>
  <c r="F141"/>
  <c r="K68" i="12"/>
  <c r="K67"/>
  <c r="K134" i="1"/>
  <c r="I129"/>
  <c r="K129" s="1"/>
  <c r="I130"/>
  <c r="K133"/>
  <c r="K132"/>
  <c r="K131"/>
  <c r="K130"/>
  <c r="F129"/>
  <c r="F137" s="1"/>
  <c r="I94" i="12"/>
  <c r="I93"/>
  <c r="I92"/>
  <c r="I58" i="1"/>
  <c r="K58" s="1"/>
  <c r="I57"/>
  <c r="K57" s="1"/>
  <c r="I56"/>
  <c r="K56" s="1"/>
  <c r="F123"/>
  <c r="F128" s="1"/>
  <c r="K127"/>
  <c r="K126"/>
  <c r="K125"/>
  <c r="K124"/>
  <c r="K123"/>
  <c r="K121"/>
  <c r="K120"/>
  <c r="K119"/>
  <c r="K118"/>
  <c r="K117"/>
  <c r="F117"/>
  <c r="F122" s="1"/>
  <c r="K115"/>
  <c r="K114"/>
  <c r="K113"/>
  <c r="K112"/>
  <c r="K111"/>
  <c r="F111"/>
  <c r="F116" s="1"/>
  <c r="K105"/>
  <c r="K109"/>
  <c r="K108"/>
  <c r="K104"/>
  <c r="F104"/>
  <c r="K102"/>
  <c r="K101"/>
  <c r="K100"/>
  <c r="K99"/>
  <c r="K98"/>
  <c r="F98"/>
  <c r="K96"/>
  <c r="K95"/>
  <c r="F92"/>
  <c r="K90"/>
  <c r="K89"/>
  <c r="K88"/>
  <c r="K87"/>
  <c r="K86"/>
  <c r="F86"/>
  <c r="F80"/>
  <c r="K84"/>
  <c r="K83"/>
  <c r="K82"/>
  <c r="K81"/>
  <c r="K80"/>
  <c r="F74"/>
  <c r="K78"/>
  <c r="K77"/>
  <c r="K76"/>
  <c r="K75"/>
  <c r="K74"/>
  <c r="K70"/>
  <c r="K69"/>
  <c r="I68"/>
  <c r="K68" s="1"/>
  <c r="K72"/>
  <c r="K71"/>
  <c r="F68"/>
  <c r="I64"/>
  <c r="K64" s="1"/>
  <c r="I63"/>
  <c r="K63" s="1"/>
  <c r="I62"/>
  <c r="K62" s="1"/>
  <c r="K66"/>
  <c r="K65"/>
  <c r="F62"/>
  <c r="K60"/>
  <c r="K59"/>
  <c r="F56"/>
  <c r="K52"/>
  <c r="K51"/>
  <c r="K54"/>
  <c r="K53"/>
  <c r="K50"/>
  <c r="F50"/>
  <c r="K45"/>
  <c r="F43"/>
  <c r="K48"/>
  <c r="K47"/>
  <c r="K43"/>
  <c r="K44"/>
  <c r="I39"/>
  <c r="K39" s="1"/>
  <c r="I38"/>
  <c r="I37"/>
  <c r="K37" s="1"/>
  <c r="K41"/>
  <c r="K40"/>
  <c r="F37"/>
  <c r="K137" l="1"/>
  <c r="F198"/>
  <c r="G205"/>
  <c r="G161" i="12"/>
  <c r="G165" s="1"/>
  <c r="F165"/>
  <c r="G157"/>
  <c r="G159" s="1"/>
  <c r="F159"/>
  <c r="K38" i="1"/>
  <c r="F151" i="12"/>
  <c r="G208" i="1"/>
  <c r="G211" s="1"/>
  <c r="F197" s="1"/>
  <c r="J239"/>
  <c r="F152" i="12"/>
  <c r="F153" s="1"/>
  <c r="K175" i="1"/>
  <c r="K172"/>
  <c r="L172" s="1"/>
  <c r="F169"/>
  <c r="K169"/>
  <c r="K148"/>
  <c r="K128"/>
  <c r="L128" s="1"/>
  <c r="K122"/>
  <c r="L122" s="1"/>
  <c r="K116"/>
  <c r="L116" s="1"/>
  <c r="K55"/>
  <c r="G212" l="1"/>
  <c r="F199" s="1"/>
  <c r="G166" i="12"/>
  <c r="F166"/>
  <c r="L169" i="1"/>
  <c r="F37" i="12"/>
  <c r="F36"/>
  <c r="F39"/>
  <c r="F41" s="1"/>
  <c r="K40"/>
  <c r="K39"/>
  <c r="K36"/>
  <c r="K35"/>
  <c r="F35"/>
  <c r="F32"/>
  <c r="F34" s="1"/>
  <c r="I26"/>
  <c r="I25"/>
  <c r="I23"/>
  <c r="F20"/>
  <c r="F19"/>
  <c r="F18"/>
  <c r="I17"/>
  <c r="F126"/>
  <c r="F128" s="1"/>
  <c r="K123"/>
  <c r="F123"/>
  <c r="K120"/>
  <c r="F120"/>
  <c r="I116"/>
  <c r="I117"/>
  <c r="K117" s="1"/>
  <c r="F115"/>
  <c r="F119" s="1"/>
  <c r="K118"/>
  <c r="K116"/>
  <c r="K115"/>
  <c r="F109"/>
  <c r="F105"/>
  <c r="F101"/>
  <c r="K96"/>
  <c r="K95"/>
  <c r="K94"/>
  <c r="K93"/>
  <c r="K92"/>
  <c r="F92"/>
  <c r="F86"/>
  <c r="F78"/>
  <c r="K90"/>
  <c r="K89"/>
  <c r="K88"/>
  <c r="K87"/>
  <c r="K86"/>
  <c r="K82"/>
  <c r="K80"/>
  <c r="K84"/>
  <c r="K83"/>
  <c r="K78"/>
  <c r="K72"/>
  <c r="K76"/>
  <c r="K75"/>
  <c r="K74"/>
  <c r="K73"/>
  <c r="F72"/>
  <c r="I66"/>
  <c r="K66" s="1"/>
  <c r="I65"/>
  <c r="K65" s="1"/>
  <c r="I64"/>
  <c r="K64" s="1"/>
  <c r="K70"/>
  <c r="K69"/>
  <c r="F64"/>
  <c r="I60"/>
  <c r="K60" s="1"/>
  <c r="I59"/>
  <c r="K59" s="1"/>
  <c r="K62"/>
  <c r="K61"/>
  <c r="AT39" i="11"/>
  <c r="AO39"/>
  <c r="AP39" s="1"/>
  <c r="AN51" s="1"/>
  <c r="AN39"/>
  <c r="AK39"/>
  <c r="AL39" s="1"/>
  <c r="AN49" s="1"/>
  <c r="AJ39"/>
  <c r="AG39"/>
  <c r="AL47" s="1"/>
  <c r="AF39"/>
  <c r="AT36"/>
  <c r="AP36"/>
  <c r="AL36"/>
  <c r="AH36"/>
  <c r="AD36"/>
  <c r="AT35"/>
  <c r="AP35"/>
  <c r="AL35"/>
  <c r="AH35"/>
  <c r="AD35"/>
  <c r="AT34"/>
  <c r="AP34"/>
  <c r="AL34"/>
  <c r="AH34"/>
  <c r="AD34"/>
  <c r="AT33"/>
  <c r="AP33"/>
  <c r="AL33"/>
  <c r="AH33"/>
  <c r="AD33"/>
  <c r="AT32"/>
  <c r="AP32"/>
  <c r="AL32"/>
  <c r="AH32"/>
  <c r="AD32"/>
  <c r="AT31"/>
  <c r="AP31"/>
  <c r="AL31"/>
  <c r="AH31"/>
  <c r="AD31"/>
  <c r="AT30"/>
  <c r="AP30"/>
  <c r="AL30"/>
  <c r="AH30"/>
  <c r="AD30"/>
  <c r="AT29"/>
  <c r="AP29"/>
  <c r="AL29"/>
  <c r="AH29"/>
  <c r="AD29"/>
  <c r="AT28"/>
  <c r="AP28"/>
  <c r="AL28"/>
  <c r="AH28"/>
  <c r="AD28"/>
  <c r="AT27"/>
  <c r="AP27"/>
  <c r="AL27"/>
  <c r="AH27"/>
  <c r="AD27"/>
  <c r="AT26"/>
  <c r="AP26"/>
  <c r="AL26"/>
  <c r="AH26"/>
  <c r="AD26"/>
  <c r="AT25"/>
  <c r="AP25"/>
  <c r="AL25"/>
  <c r="AH25"/>
  <c r="AD25"/>
  <c r="AT24"/>
  <c r="AP24"/>
  <c r="AL24"/>
  <c r="AH24"/>
  <c r="AT23"/>
  <c r="AP23"/>
  <c r="AL23"/>
  <c r="AH23"/>
  <c r="AD23"/>
  <c r="AT22"/>
  <c r="AP22"/>
  <c r="AL22"/>
  <c r="AH22"/>
  <c r="AD22"/>
  <c r="AT21"/>
  <c r="AP21"/>
  <c r="AL21"/>
  <c r="AH21"/>
  <c r="AD21"/>
  <c r="AT20"/>
  <c r="AP20"/>
  <c r="AL20"/>
  <c r="AH20"/>
  <c r="AD20"/>
  <c r="AT19"/>
  <c r="AP19"/>
  <c r="AL19"/>
  <c r="AH19"/>
  <c r="AD19"/>
  <c r="AT18"/>
  <c r="AP18"/>
  <c r="AL18"/>
  <c r="AH18"/>
  <c r="AD18"/>
  <c r="AT17"/>
  <c r="AP17"/>
  <c r="AL17"/>
  <c r="AH17"/>
  <c r="AD17"/>
  <c r="AT16"/>
  <c r="AP16"/>
  <c r="AL16"/>
  <c r="AH16"/>
  <c r="AD16"/>
  <c r="AT15"/>
  <c r="AP15"/>
  <c r="AL15"/>
  <c r="AH15"/>
  <c r="AD15"/>
  <c r="AT14"/>
  <c r="AP14"/>
  <c r="AL14"/>
  <c r="AH14"/>
  <c r="AD14"/>
  <c r="AT13"/>
  <c r="AP13"/>
  <c r="AL13"/>
  <c r="AH13"/>
  <c r="AD13"/>
  <c r="AT12"/>
  <c r="AP12"/>
  <c r="AL12"/>
  <c r="AH12"/>
  <c r="AD12"/>
  <c r="AT11"/>
  <c r="AP11"/>
  <c r="AL11"/>
  <c r="AH11"/>
  <c r="AD11"/>
  <c r="AT10"/>
  <c r="AP10"/>
  <c r="AL10"/>
  <c r="AH10"/>
  <c r="AD10"/>
  <c r="AT9"/>
  <c r="AP9"/>
  <c r="AL9"/>
  <c r="AH9"/>
  <c r="AD9"/>
  <c r="AT8"/>
  <c r="AP8"/>
  <c r="AL8"/>
  <c r="AH8"/>
  <c r="AD8"/>
  <c r="AB39"/>
  <c r="AT7"/>
  <c r="AP7"/>
  <c r="AL7"/>
  <c r="AH7"/>
  <c r="AD7"/>
  <c r="K140" i="12"/>
  <c r="K139"/>
  <c r="K138"/>
  <c r="K137"/>
  <c r="K136"/>
  <c r="K135"/>
  <c r="K134"/>
  <c r="K133"/>
  <c r="K132"/>
  <c r="F132"/>
  <c r="F141" s="1"/>
  <c r="F142" s="1"/>
  <c r="I20"/>
  <c r="I19"/>
  <c r="I18"/>
  <c r="F23"/>
  <c r="F28" s="1"/>
  <c r="F17"/>
  <c r="F6"/>
  <c r="K8"/>
  <c r="K7"/>
  <c r="K6"/>
  <c r="M7" i="25"/>
  <c r="M8"/>
  <c r="M9"/>
  <c r="M10"/>
  <c r="M11"/>
  <c r="M12"/>
  <c r="M7" i="27"/>
  <c r="M8"/>
  <c r="M9"/>
  <c r="M10"/>
  <c r="M11"/>
  <c r="M12"/>
  <c r="M6"/>
  <c r="F73"/>
  <c r="K72"/>
  <c r="K71"/>
  <c r="K73" s="1"/>
  <c r="K218"/>
  <c r="K217"/>
  <c r="K216"/>
  <c r="K214"/>
  <c r="K213"/>
  <c r="K212"/>
  <c r="K160"/>
  <c r="K159"/>
  <c r="K158"/>
  <c r="K157"/>
  <c r="K156"/>
  <c r="K130"/>
  <c r="K129"/>
  <c r="K150"/>
  <c r="K148"/>
  <c r="K154"/>
  <c r="K153"/>
  <c r="F155"/>
  <c r="K138"/>
  <c r="K137"/>
  <c r="K136"/>
  <c r="K140"/>
  <c r="K139"/>
  <c r="K134"/>
  <c r="K133"/>
  <c r="K132"/>
  <c r="K131"/>
  <c r="K128"/>
  <c r="K123"/>
  <c r="K126"/>
  <c r="K125"/>
  <c r="K124"/>
  <c r="K122"/>
  <c r="K120"/>
  <c r="K119"/>
  <c r="K116"/>
  <c r="K115"/>
  <c r="K114"/>
  <c r="K118"/>
  <c r="K117"/>
  <c r="F121"/>
  <c r="K112"/>
  <c r="K111"/>
  <c r="K108"/>
  <c r="K107"/>
  <c r="K106"/>
  <c r="K105"/>
  <c r="K104"/>
  <c r="F113"/>
  <c r="K254"/>
  <c r="K259"/>
  <c r="K258"/>
  <c r="K257"/>
  <c r="K256"/>
  <c r="K255"/>
  <c r="K253"/>
  <c r="K252"/>
  <c r="F260"/>
  <c r="F251"/>
  <c r="K238"/>
  <c r="F165" i="26"/>
  <c r="K41" i="12" l="1"/>
  <c r="F38"/>
  <c r="F42" s="1"/>
  <c r="K38"/>
  <c r="K119"/>
  <c r="K141"/>
  <c r="K142" s="1"/>
  <c r="AL51" i="11"/>
  <c r="AH39"/>
  <c r="AN47" s="1"/>
  <c r="AN53" s="1"/>
  <c r="AC39"/>
  <c r="AL49"/>
  <c r="F15" i="27"/>
  <c r="K121"/>
  <c r="K260"/>
  <c r="K165" i="26"/>
  <c r="L165" s="1"/>
  <c r="M163" i="12" l="1"/>
  <c r="I146"/>
  <c r="AL45" i="11"/>
  <c r="AL53" s="1"/>
  <c r="AD39"/>
  <c r="AN45" s="1"/>
  <c r="F144" i="26"/>
  <c r="F141"/>
  <c r="K134"/>
  <c r="F137"/>
  <c r="K125"/>
  <c r="K124"/>
  <c r="K123"/>
  <c r="F126"/>
  <c r="K121"/>
  <c r="K120"/>
  <c r="K119"/>
  <c r="F122"/>
  <c r="K117"/>
  <c r="K116"/>
  <c r="K115"/>
  <c r="F118"/>
  <c r="K113"/>
  <c r="F114"/>
  <c r="F127" s="1"/>
  <c r="M12"/>
  <c r="M11"/>
  <c r="M10"/>
  <c r="M9"/>
  <c r="M8"/>
  <c r="M7"/>
  <c r="M6"/>
  <c r="K104"/>
  <c r="K103"/>
  <c r="K102"/>
  <c r="F107"/>
  <c r="F61" i="21"/>
  <c r="K60"/>
  <c r="K59"/>
  <c r="K42"/>
  <c r="K41"/>
  <c r="K40"/>
  <c r="K39"/>
  <c r="K38"/>
  <c r="F43"/>
  <c r="F95" i="26"/>
  <c r="F89"/>
  <c r="K39" i="25"/>
  <c r="K38"/>
  <c r="K37"/>
  <c r="K36"/>
  <c r="K35"/>
  <c r="F40"/>
  <c r="F62" i="26"/>
  <c r="K61"/>
  <c r="K60"/>
  <c r="F59"/>
  <c r="K58"/>
  <c r="K57"/>
  <c r="F17"/>
  <c r="K8"/>
  <c r="K7"/>
  <c r="K6"/>
  <c r="K148" i="25"/>
  <c r="K147"/>
  <c r="K146"/>
  <c r="F149"/>
  <c r="K144"/>
  <c r="K143"/>
  <c r="K142"/>
  <c r="F145"/>
  <c r="F141"/>
  <c r="K132"/>
  <c r="K131"/>
  <c r="K130"/>
  <c r="K171"/>
  <c r="K169"/>
  <c r="K170"/>
  <c r="F172"/>
  <c r="K154"/>
  <c r="K153"/>
  <c r="K111"/>
  <c r="M6"/>
  <c r="K118" i="26" l="1"/>
  <c r="L118" s="1"/>
  <c r="L148"/>
  <c r="K137"/>
  <c r="K144"/>
  <c r="L144" s="1"/>
  <c r="K126"/>
  <c r="L126" s="1"/>
  <c r="K122"/>
  <c r="L122" s="1"/>
  <c r="K59"/>
  <c r="L59" s="1"/>
  <c r="K107"/>
  <c r="K95"/>
  <c r="L95" s="1"/>
  <c r="K61" i="21"/>
  <c r="L61" s="1"/>
  <c r="K43"/>
  <c r="L43" s="1"/>
  <c r="K101" i="26"/>
  <c r="K89"/>
  <c r="K40" i="25"/>
  <c r="L40" s="1"/>
  <c r="K149"/>
  <c r="K62" i="26"/>
  <c r="L62" s="1"/>
  <c r="K17"/>
  <c r="K145" i="25"/>
  <c r="L145" s="1"/>
  <c r="K172"/>
  <c r="L172" s="1"/>
  <c r="L89" i="26" l="1"/>
  <c r="K108"/>
  <c r="K91" i="32"/>
  <c r="F67" i="25"/>
  <c r="M12" i="33"/>
  <c r="M11"/>
  <c r="M10"/>
  <c r="M9"/>
  <c r="M8"/>
  <c r="M7"/>
  <c r="M6"/>
  <c r="M12" i="32"/>
  <c r="M11"/>
  <c r="M10"/>
  <c r="M9"/>
  <c r="M8"/>
  <c r="M7"/>
  <c r="M6"/>
  <c r="M12" i="24"/>
  <c r="M11"/>
  <c r="M10"/>
  <c r="M9"/>
  <c r="M8"/>
  <c r="M7"/>
  <c r="M6"/>
  <c r="M12" i="23"/>
  <c r="M11"/>
  <c r="M10"/>
  <c r="M9"/>
  <c r="M8"/>
  <c r="M7"/>
  <c r="M6"/>
  <c r="M12" i="22"/>
  <c r="M11"/>
  <c r="M10"/>
  <c r="M9"/>
  <c r="M8"/>
  <c r="M7"/>
  <c r="M6"/>
  <c r="M12" i="21"/>
  <c r="M11"/>
  <c r="M10"/>
  <c r="M9"/>
  <c r="M8"/>
  <c r="M7"/>
  <c r="M6"/>
  <c r="M6" i="31"/>
  <c r="F121" i="33"/>
  <c r="K116"/>
  <c r="F118"/>
  <c r="F114"/>
  <c r="K98" i="24"/>
  <c r="F122" i="33" l="1"/>
  <c r="K121"/>
  <c r="L121" s="1"/>
  <c r="K118"/>
  <c r="L118" s="1"/>
  <c r="K141" i="32" l="1"/>
  <c r="K139"/>
  <c r="K51" i="33"/>
  <c r="K50"/>
  <c r="F53" i="32"/>
  <c r="K52"/>
  <c r="K51"/>
  <c r="K49"/>
  <c r="K48"/>
  <c r="F50"/>
  <c r="K46"/>
  <c r="K45"/>
  <c r="F47"/>
  <c r="F44"/>
  <c r="K43"/>
  <c r="K42"/>
  <c r="K37"/>
  <c r="K36"/>
  <c r="K35"/>
  <c r="K34"/>
  <c r="K33"/>
  <c r="K31"/>
  <c r="K30"/>
  <c r="K29"/>
  <c r="K28"/>
  <c r="K27"/>
  <c r="K25"/>
  <c r="K24"/>
  <c r="K23"/>
  <c r="K22"/>
  <c r="K21"/>
  <c r="K16"/>
  <c r="K15"/>
  <c r="K14"/>
  <c r="F17"/>
  <c r="K12"/>
  <c r="K11"/>
  <c r="K10"/>
  <c r="K8"/>
  <c r="K7"/>
  <c r="K6"/>
  <c r="F13"/>
  <c r="F13" i="33"/>
  <c r="K53" i="32" l="1"/>
  <c r="F54"/>
  <c r="K66" i="33"/>
  <c r="K60"/>
  <c r="K44" i="32"/>
  <c r="K47"/>
  <c r="L47" s="1"/>
  <c r="K50"/>
  <c r="L50" s="1"/>
  <c r="K38"/>
  <c r="F38"/>
  <c r="K17"/>
  <c r="K13"/>
  <c r="L13" s="1"/>
  <c r="L44" l="1"/>
  <c r="K54"/>
  <c r="K195"/>
  <c r="K194"/>
  <c r="F196"/>
  <c r="K192"/>
  <c r="K191"/>
  <c r="F193"/>
  <c r="K189"/>
  <c r="K188"/>
  <c r="K185"/>
  <c r="K183"/>
  <c r="K182"/>
  <c r="K180"/>
  <c r="K179"/>
  <c r="K178"/>
  <c r="K176"/>
  <c r="K175"/>
  <c r="K174"/>
  <c r="F177"/>
  <c r="K169"/>
  <c r="K168"/>
  <c r="K167"/>
  <c r="K165"/>
  <c r="K164"/>
  <c r="K163"/>
  <c r="K161"/>
  <c r="K160"/>
  <c r="K159"/>
  <c r="K157"/>
  <c r="K156"/>
  <c r="K155"/>
  <c r="K154"/>
  <c r="F158"/>
  <c r="K221"/>
  <c r="K215"/>
  <c r="K211"/>
  <c r="K208"/>
  <c r="K210"/>
  <c r="K212"/>
  <c r="K214"/>
  <c r="K220"/>
  <c r="K219"/>
  <c r="K218"/>
  <c r="K217"/>
  <c r="K216"/>
  <c r="K213"/>
  <c r="K209"/>
  <c r="K206"/>
  <c r="K205"/>
  <c r="K204"/>
  <c r="K203"/>
  <c r="K202"/>
  <c r="K201"/>
  <c r="K200"/>
  <c r="K223" i="24"/>
  <c r="K222"/>
  <c r="K221"/>
  <c r="K220"/>
  <c r="K219"/>
  <c r="K218"/>
  <c r="K217"/>
  <c r="F224"/>
  <c r="K215"/>
  <c r="K214"/>
  <c r="F216"/>
  <c r="K212"/>
  <c r="K211"/>
  <c r="K210"/>
  <c r="K209"/>
  <c r="K208"/>
  <c r="K207"/>
  <c r="K206"/>
  <c r="K205"/>
  <c r="F213"/>
  <c r="F208" i="23"/>
  <c r="K206"/>
  <c r="K205"/>
  <c r="K204"/>
  <c r="K203"/>
  <c r="K207"/>
  <c r="K201"/>
  <c r="K202"/>
  <c r="K200"/>
  <c r="G213" s="1"/>
  <c r="K194"/>
  <c r="K193"/>
  <c r="K192"/>
  <c r="F199"/>
  <c r="K190"/>
  <c r="K189"/>
  <c r="K188"/>
  <c r="K187"/>
  <c r="K186"/>
  <c r="K185"/>
  <c r="K247" i="22"/>
  <c r="K246"/>
  <c r="K245"/>
  <c r="K244"/>
  <c r="K241"/>
  <c r="K242"/>
  <c r="F248"/>
  <c r="K237"/>
  <c r="K239"/>
  <c r="K238"/>
  <c r="K236"/>
  <c r="K235"/>
  <c r="K234"/>
  <c r="G253" s="1"/>
  <c r="F240"/>
  <c r="F233"/>
  <c r="K232"/>
  <c r="J213" i="23" l="1"/>
  <c r="M227"/>
  <c r="J253" i="22"/>
  <c r="M267"/>
  <c r="K216" i="24"/>
  <c r="L216" s="1"/>
  <c r="F225"/>
  <c r="F249" i="22"/>
  <c r="E252" s="1"/>
  <c r="K196" i="32"/>
  <c r="K193"/>
  <c r="L193" s="1"/>
  <c r="K158"/>
  <c r="K224" i="24"/>
  <c r="L224" s="1"/>
  <c r="K213"/>
  <c r="K208" i="23"/>
  <c r="L208" s="1"/>
  <c r="K240" i="22"/>
  <c r="L213" i="24" l="1"/>
  <c r="K225"/>
  <c r="K147" i="32"/>
  <c r="K146"/>
  <c r="K149"/>
  <c r="K148"/>
  <c r="K145"/>
  <c r="F150"/>
  <c r="K140"/>
  <c r="K138"/>
  <c r="K137"/>
  <c r="F144"/>
  <c r="K143"/>
  <c r="K142"/>
  <c r="K132"/>
  <c r="K131"/>
  <c r="K133"/>
  <c r="F136"/>
  <c r="K135"/>
  <c r="K134"/>
  <c r="K127"/>
  <c r="K126"/>
  <c r="F130"/>
  <c r="K129"/>
  <c r="K128"/>
  <c r="K125"/>
  <c r="K121"/>
  <c r="K123"/>
  <c r="K122"/>
  <c r="K120"/>
  <c r="K119"/>
  <c r="F124"/>
  <c r="K117"/>
  <c r="K116"/>
  <c r="K115"/>
  <c r="K114"/>
  <c r="K113"/>
  <c r="F118"/>
  <c r="K109"/>
  <c r="K108"/>
  <c r="K107"/>
  <c r="F112"/>
  <c r="K111"/>
  <c r="K110"/>
  <c r="K103"/>
  <c r="K102"/>
  <c r="K101"/>
  <c r="K105"/>
  <c r="K104"/>
  <c r="F106"/>
  <c r="F100"/>
  <c r="K99"/>
  <c r="K98"/>
  <c r="K97"/>
  <c r="K96"/>
  <c r="K95"/>
  <c r="K93"/>
  <c r="K92"/>
  <c r="K90"/>
  <c r="K89"/>
  <c r="K88"/>
  <c r="F94"/>
  <c r="F87"/>
  <c r="F81"/>
  <c r="K86"/>
  <c r="K85"/>
  <c r="K84"/>
  <c r="K83"/>
  <c r="K82"/>
  <c r="K80"/>
  <c r="K79"/>
  <c r="K78"/>
  <c r="K77"/>
  <c r="K76"/>
  <c r="F75"/>
  <c r="K71"/>
  <c r="K70"/>
  <c r="K66"/>
  <c r="K65"/>
  <c r="K64"/>
  <c r="K68"/>
  <c r="K67"/>
  <c r="K74"/>
  <c r="K73"/>
  <c r="K72"/>
  <c r="K110" i="22"/>
  <c r="K109"/>
  <c r="K108"/>
  <c r="K107"/>
  <c r="K106"/>
  <c r="K105"/>
  <c r="K104"/>
  <c r="K103"/>
  <c r="K102"/>
  <c r="K101"/>
  <c r="K80" i="24"/>
  <c r="F73"/>
  <c r="K72"/>
  <c r="K71"/>
  <c r="K75"/>
  <c r="K74"/>
  <c r="F70"/>
  <c r="K69"/>
  <c r="K68"/>
  <c r="F67"/>
  <c r="K45"/>
  <c r="K44"/>
  <c r="K43"/>
  <c r="K42"/>
  <c r="K41"/>
  <c r="F46"/>
  <c r="K39"/>
  <c r="K38"/>
  <c r="K37"/>
  <c r="K36"/>
  <c r="K35"/>
  <c r="F40"/>
  <c r="F34"/>
  <c r="K21"/>
  <c r="K20"/>
  <c r="K19"/>
  <c r="K18"/>
  <c r="K17"/>
  <c r="K12"/>
  <c r="K11"/>
  <c r="K10"/>
  <c r="F13"/>
  <c r="F9"/>
  <c r="K200"/>
  <c r="F201"/>
  <c r="K194"/>
  <c r="K192"/>
  <c r="K193"/>
  <c r="K191"/>
  <c r="F195"/>
  <c r="F172"/>
  <c r="K171"/>
  <c r="K170"/>
  <c r="K169"/>
  <c r="K168"/>
  <c r="K167"/>
  <c r="K163"/>
  <c r="K162"/>
  <c r="K161"/>
  <c r="K160"/>
  <c r="K165"/>
  <c r="K164"/>
  <c r="F166"/>
  <c r="K156"/>
  <c r="K155"/>
  <c r="K154"/>
  <c r="F159"/>
  <c r="K158"/>
  <c r="K157"/>
  <c r="K150"/>
  <c r="K149"/>
  <c r="K148"/>
  <c r="F153"/>
  <c r="K152"/>
  <c r="K151"/>
  <c r="K146"/>
  <c r="K145"/>
  <c r="K144"/>
  <c r="K143"/>
  <c r="K142"/>
  <c r="K141"/>
  <c r="K140"/>
  <c r="F147"/>
  <c r="F139"/>
  <c r="K138"/>
  <c r="K137"/>
  <c r="K136"/>
  <c r="K135"/>
  <c r="K134"/>
  <c r="K130"/>
  <c r="K129"/>
  <c r="K128"/>
  <c r="K132"/>
  <c r="K131"/>
  <c r="F133"/>
  <c r="K122"/>
  <c r="K124"/>
  <c r="K126"/>
  <c r="K125"/>
  <c r="K123"/>
  <c r="F127"/>
  <c r="K117"/>
  <c r="K118"/>
  <c r="F121"/>
  <c r="K120"/>
  <c r="K119"/>
  <c r="K116"/>
  <c r="F115"/>
  <c r="K105"/>
  <c r="K104"/>
  <c r="K103"/>
  <c r="K112"/>
  <c r="K111"/>
  <c r="K110"/>
  <c r="K101"/>
  <c r="K100"/>
  <c r="K99"/>
  <c r="K97"/>
  <c r="K96"/>
  <c r="K95"/>
  <c r="K93"/>
  <c r="K92"/>
  <c r="K91"/>
  <c r="K90"/>
  <c r="K89"/>
  <c r="K88"/>
  <c r="K87"/>
  <c r="K86"/>
  <c r="K76" l="1"/>
  <c r="L228"/>
  <c r="K73"/>
  <c r="L73" s="1"/>
  <c r="F14"/>
  <c r="F76"/>
  <c r="K100" i="32"/>
  <c r="L100" s="1"/>
  <c r="K150"/>
  <c r="L150" s="1"/>
  <c r="K144"/>
  <c r="L144" s="1"/>
  <c r="K136"/>
  <c r="K124"/>
  <c r="L124" s="1"/>
  <c r="K130"/>
  <c r="L130" s="1"/>
  <c r="K118"/>
  <c r="L118" s="1"/>
  <c r="K112"/>
  <c r="L112" s="1"/>
  <c r="K106"/>
  <c r="L106" s="1"/>
  <c r="K94"/>
  <c r="L94" s="1"/>
  <c r="K87"/>
  <c r="K81"/>
  <c r="L81" s="1"/>
  <c r="K75"/>
  <c r="L75" s="1"/>
  <c r="K70" i="24"/>
  <c r="L70" s="1"/>
  <c r="K46"/>
  <c r="K40"/>
  <c r="L40" s="1"/>
  <c r="K13"/>
  <c r="K195"/>
  <c r="K172"/>
  <c r="K166"/>
  <c r="L166" s="1"/>
  <c r="K127"/>
  <c r="L127" s="1"/>
  <c r="K159"/>
  <c r="L159" s="1"/>
  <c r="K153"/>
  <c r="K121"/>
  <c r="L121" s="1"/>
  <c r="K147"/>
  <c r="L147" s="1"/>
  <c r="K139"/>
  <c r="L139" s="1"/>
  <c r="K133"/>
  <c r="L133" s="1"/>
  <c r="K94"/>
  <c r="L87" i="32" l="1"/>
  <c r="L136"/>
  <c r="L153" i="24"/>
  <c r="F72" i="23" l="1"/>
  <c r="K71"/>
  <c r="K70"/>
  <c r="K12" i="30"/>
  <c r="K11"/>
  <c r="K10"/>
  <c r="F94" i="24"/>
  <c r="K72" i="23" l="1"/>
  <c r="L72" s="1"/>
  <c r="K180" l="1"/>
  <c r="K179"/>
  <c r="K178"/>
  <c r="K177"/>
  <c r="F181"/>
  <c r="K175"/>
  <c r="K174"/>
  <c r="F176"/>
  <c r="K172"/>
  <c r="K226" i="22"/>
  <c r="K227" s="1"/>
  <c r="F227"/>
  <c r="K223"/>
  <c r="K224"/>
  <c r="F225"/>
  <c r="K220"/>
  <c r="K221"/>
  <c r="F222"/>
  <c r="K209"/>
  <c r="K208"/>
  <c r="K83" i="23"/>
  <c r="K84" s="1"/>
  <c r="F84"/>
  <c r="K81"/>
  <c r="K82" s="1"/>
  <c r="F82"/>
  <c r="K79"/>
  <c r="K80" s="1"/>
  <c r="F228" i="22" l="1"/>
  <c r="K176" i="23"/>
  <c r="K85"/>
  <c r="L30" i="11" s="1"/>
  <c r="L227" i="22"/>
  <c r="K181" i="23"/>
  <c r="L181" s="1"/>
  <c r="L82"/>
  <c r="F80" l="1"/>
  <c r="K150"/>
  <c r="K149"/>
  <c r="K146"/>
  <c r="K148"/>
  <c r="K147"/>
  <c r="K145"/>
  <c r="K144"/>
  <c r="F151"/>
  <c r="K142"/>
  <c r="K141"/>
  <c r="K138"/>
  <c r="K140"/>
  <c r="K139"/>
  <c r="F143"/>
  <c r="K134"/>
  <c r="K133"/>
  <c r="K136"/>
  <c r="K135"/>
  <c r="K132"/>
  <c r="F137"/>
  <c r="K128"/>
  <c r="K127"/>
  <c r="K126"/>
  <c r="K130"/>
  <c r="K129"/>
  <c r="K122"/>
  <c r="K121"/>
  <c r="K120"/>
  <c r="K189" i="22"/>
  <c r="K187"/>
  <c r="K188"/>
  <c r="F131" i="23"/>
  <c r="K123"/>
  <c r="K124"/>
  <c r="K104"/>
  <c r="K103"/>
  <c r="K102"/>
  <c r="K106"/>
  <c r="K105"/>
  <c r="K99"/>
  <c r="K100"/>
  <c r="K98"/>
  <c r="K97"/>
  <c r="K96"/>
  <c r="K95"/>
  <c r="K94"/>
  <c r="F101"/>
  <c r="K90"/>
  <c r="K191" i="22"/>
  <c r="K190"/>
  <c r="F192"/>
  <c r="K185"/>
  <c r="K184"/>
  <c r="K183"/>
  <c r="K182"/>
  <c r="K181"/>
  <c r="F186"/>
  <c r="K177"/>
  <c r="K176"/>
  <c r="K175"/>
  <c r="K179"/>
  <c r="K178"/>
  <c r="F180"/>
  <c r="K80" i="21"/>
  <c r="K173" i="22"/>
  <c r="K172"/>
  <c r="K169"/>
  <c r="K171"/>
  <c r="K170"/>
  <c r="K168"/>
  <c r="K167"/>
  <c r="F174"/>
  <c r="K163"/>
  <c r="K162"/>
  <c r="K161"/>
  <c r="K160"/>
  <c r="K165"/>
  <c r="K164"/>
  <c r="F166"/>
  <c r="K107" i="20"/>
  <c r="K158" i="22"/>
  <c r="K157"/>
  <c r="K156"/>
  <c r="K155"/>
  <c r="K154"/>
  <c r="F159"/>
  <c r="K150"/>
  <c r="K148"/>
  <c r="K152"/>
  <c r="K151"/>
  <c r="K149"/>
  <c r="F153"/>
  <c r="K144"/>
  <c r="K143"/>
  <c r="K146"/>
  <c r="K145"/>
  <c r="K142"/>
  <c r="F147"/>
  <c r="K140"/>
  <c r="K139"/>
  <c r="K138"/>
  <c r="K137"/>
  <c r="K136"/>
  <c r="F141"/>
  <c r="K134"/>
  <c r="K133"/>
  <c r="K132"/>
  <c r="K131"/>
  <c r="K130"/>
  <c r="F135"/>
  <c r="K128"/>
  <c r="K127"/>
  <c r="K126"/>
  <c r="K125"/>
  <c r="K124"/>
  <c r="F129"/>
  <c r="K122"/>
  <c r="K121"/>
  <c r="K120"/>
  <c r="K119"/>
  <c r="K118"/>
  <c r="F123"/>
  <c r="K112"/>
  <c r="K114"/>
  <c r="K113"/>
  <c r="K84" i="20"/>
  <c r="K83"/>
  <c r="K16" i="22"/>
  <c r="K15"/>
  <c r="K14"/>
  <c r="F17"/>
  <c r="K12"/>
  <c r="K11"/>
  <c r="K10"/>
  <c r="F13"/>
  <c r="K8"/>
  <c r="K7"/>
  <c r="K6"/>
  <c r="F9"/>
  <c r="K20" i="21"/>
  <c r="K19"/>
  <c r="K18"/>
  <c r="K8"/>
  <c r="K7"/>
  <c r="K6"/>
  <c r="K12"/>
  <c r="K11"/>
  <c r="K10"/>
  <c r="F111" i="22"/>
  <c r="N112"/>
  <c r="K123" i="21"/>
  <c r="K122"/>
  <c r="K121"/>
  <c r="K119"/>
  <c r="K118"/>
  <c r="K117"/>
  <c r="F64"/>
  <c r="K63"/>
  <c r="K62"/>
  <c r="K48"/>
  <c r="K47"/>
  <c r="K46"/>
  <c r="K45"/>
  <c r="K44"/>
  <c r="F31"/>
  <c r="F37"/>
  <c r="K36"/>
  <c r="K35"/>
  <c r="K34"/>
  <c r="K33"/>
  <c r="K32"/>
  <c r="K30"/>
  <c r="K29"/>
  <c r="K28"/>
  <c r="K27"/>
  <c r="K26"/>
  <c r="K87" i="22"/>
  <c r="K86"/>
  <c r="F88"/>
  <c r="F82"/>
  <c r="F85"/>
  <c r="K90"/>
  <c r="K89"/>
  <c r="K84"/>
  <c r="K83"/>
  <c r="K72"/>
  <c r="K71"/>
  <c r="K70"/>
  <c r="K69"/>
  <c r="K68"/>
  <c r="F67"/>
  <c r="K66"/>
  <c r="K65"/>
  <c r="K64"/>
  <c r="K63"/>
  <c r="K62"/>
  <c r="K60"/>
  <c r="K59"/>
  <c r="K58"/>
  <c r="K57"/>
  <c r="K56"/>
  <c r="F61"/>
  <c r="K34" i="23"/>
  <c r="K33"/>
  <c r="K32"/>
  <c r="K14"/>
  <c r="K13"/>
  <c r="K12"/>
  <c r="K30"/>
  <c r="K29"/>
  <c r="K28"/>
  <c r="F31"/>
  <c r="F27"/>
  <c r="F21"/>
  <c r="K26"/>
  <c r="K25"/>
  <c r="K24"/>
  <c r="K23"/>
  <c r="K22"/>
  <c r="K20"/>
  <c r="K19"/>
  <c r="K18"/>
  <c r="K17"/>
  <c r="K16"/>
  <c r="F15"/>
  <c r="F11"/>
  <c r="K10"/>
  <c r="K9"/>
  <c r="K8"/>
  <c r="K7"/>
  <c r="K6"/>
  <c r="K38" i="22"/>
  <c r="K37"/>
  <c r="K36"/>
  <c r="F35"/>
  <c r="K34"/>
  <c r="K33"/>
  <c r="K32"/>
  <c r="K31"/>
  <c r="K30"/>
  <c r="K28"/>
  <c r="K27"/>
  <c r="K26"/>
  <c r="K25"/>
  <c r="K24"/>
  <c r="F29"/>
  <c r="F23"/>
  <c r="K16" i="21"/>
  <c r="K15"/>
  <c r="K14"/>
  <c r="F17"/>
  <c r="F13"/>
  <c r="F9"/>
  <c r="L80" i="23" l="1"/>
  <c r="F85"/>
  <c r="K30" i="11" s="1"/>
  <c r="K151" i="23"/>
  <c r="L151" s="1"/>
  <c r="K143"/>
  <c r="L143" s="1"/>
  <c r="K137"/>
  <c r="L137" s="1"/>
  <c r="K131"/>
  <c r="L131" s="1"/>
  <c r="K101"/>
  <c r="K174" i="22"/>
  <c r="K192"/>
  <c r="K186"/>
  <c r="L186" s="1"/>
  <c r="K180"/>
  <c r="L180" s="1"/>
  <c r="L174"/>
  <c r="K141"/>
  <c r="L141" s="1"/>
  <c r="K129"/>
  <c r="L129" s="1"/>
  <c r="K166"/>
  <c r="L166" s="1"/>
  <c r="K159"/>
  <c r="L159" s="1"/>
  <c r="K153"/>
  <c r="L153" s="1"/>
  <c r="K147"/>
  <c r="L147" s="1"/>
  <c r="K135"/>
  <c r="L135" s="1"/>
  <c r="K123"/>
  <c r="L123" s="1"/>
  <c r="K9"/>
  <c r="K13"/>
  <c r="L13" s="1"/>
  <c r="K17"/>
  <c r="L17" s="1"/>
  <c r="K120" i="21"/>
  <c r="K111" i="22"/>
  <c r="F58" i="21"/>
  <c r="K64"/>
  <c r="K49"/>
  <c r="F49"/>
  <c r="F50" s="1"/>
  <c r="F22"/>
  <c r="F23" s="1"/>
  <c r="F71"/>
  <c r="K22"/>
  <c r="K37"/>
  <c r="K31"/>
  <c r="K73" i="22"/>
  <c r="K88"/>
  <c r="L88" s="1"/>
  <c r="K91"/>
  <c r="K85"/>
  <c r="L85" s="1"/>
  <c r="F91"/>
  <c r="F73"/>
  <c r="K67"/>
  <c r="L67" s="1"/>
  <c r="K40"/>
  <c r="K61"/>
  <c r="L61" s="1"/>
  <c r="F40"/>
  <c r="F41" s="1"/>
  <c r="K39" i="23"/>
  <c r="K11"/>
  <c r="K15"/>
  <c r="L15" s="1"/>
  <c r="K21"/>
  <c r="L21" s="1"/>
  <c r="F39"/>
  <c r="F40" s="1"/>
  <c r="K27"/>
  <c r="L27" s="1"/>
  <c r="K31"/>
  <c r="L31" s="1"/>
  <c r="K35" i="22"/>
  <c r="K29"/>
  <c r="L29" s="1"/>
  <c r="K9" i="21"/>
  <c r="K17"/>
  <c r="L17" s="1"/>
  <c r="K13"/>
  <c r="L13" s="1"/>
  <c r="K50" l="1"/>
  <c r="K23"/>
  <c r="L192" i="22"/>
  <c r="L9"/>
  <c r="L49" i="21"/>
  <c r="L91" i="22"/>
  <c r="L31" i="21"/>
  <c r="L22"/>
  <c r="L37"/>
  <c r="L9"/>
  <c r="L11" i="23"/>
  <c r="K40"/>
  <c r="L35" i="22"/>
  <c r="M11" i="31" l="1"/>
  <c r="M10"/>
  <c r="M9"/>
  <c r="M8"/>
  <c r="K136" i="21"/>
  <c r="K137" s="1"/>
  <c r="F137"/>
  <c r="K134"/>
  <c r="K133"/>
  <c r="K132"/>
  <c r="K131"/>
  <c r="F135"/>
  <c r="K104"/>
  <c r="K99"/>
  <c r="K98"/>
  <c r="K97"/>
  <c r="K101"/>
  <c r="K100"/>
  <c r="K93"/>
  <c r="K92"/>
  <c r="K86"/>
  <c r="K85"/>
  <c r="K84"/>
  <c r="K79"/>
  <c r="K78"/>
  <c r="K77"/>
  <c r="K76"/>
  <c r="K65" i="35"/>
  <c r="K64"/>
  <c r="K63"/>
  <c r="K62"/>
  <c r="K61"/>
  <c r="F60"/>
  <c r="F79" s="1"/>
  <c r="F165" i="31"/>
  <c r="F166" s="1"/>
  <c r="K160"/>
  <c r="K159"/>
  <c r="K66" i="35" l="1"/>
  <c r="L66" s="1"/>
  <c r="K135" i="21"/>
  <c r="L135" s="1"/>
  <c r="F132" i="31" l="1"/>
  <c r="K128"/>
  <c r="K127"/>
  <c r="K126"/>
  <c r="F129"/>
  <c r="F125"/>
  <c r="K120"/>
  <c r="K119"/>
  <c r="K118"/>
  <c r="K122" i="20"/>
  <c r="K121"/>
  <c r="K120"/>
  <c r="K123" s="1"/>
  <c r="K146"/>
  <c r="K145"/>
  <c r="K144"/>
  <c r="K143"/>
  <c r="K137"/>
  <c r="K136"/>
  <c r="K135"/>
  <c r="K141"/>
  <c r="K140"/>
  <c r="K139"/>
  <c r="F149" i="31"/>
  <c r="F155" s="1"/>
  <c r="K136"/>
  <c r="K115" i="20"/>
  <c r="K114"/>
  <c r="K113"/>
  <c r="K111"/>
  <c r="K112"/>
  <c r="K106"/>
  <c r="K105"/>
  <c r="K104"/>
  <c r="K109"/>
  <c r="K108"/>
  <c r="K99"/>
  <c r="K98"/>
  <c r="F103"/>
  <c r="K102"/>
  <c r="K101"/>
  <c r="K100"/>
  <c r="K94"/>
  <c r="K93"/>
  <c r="K92"/>
  <c r="K96"/>
  <c r="K95"/>
  <c r="K86"/>
  <c r="K80"/>
  <c r="K82"/>
  <c r="K81"/>
  <c r="K79"/>
  <c r="K75"/>
  <c r="K74"/>
  <c r="K69"/>
  <c r="K68"/>
  <c r="M12" i="18"/>
  <c r="M11"/>
  <c r="M10"/>
  <c r="M9"/>
  <c r="M8"/>
  <c r="M7"/>
  <c r="M6"/>
  <c r="M12" i="20"/>
  <c r="M11"/>
  <c r="M10"/>
  <c r="M9"/>
  <c r="M8"/>
  <c r="M7"/>
  <c r="M6"/>
  <c r="M12" i="31"/>
  <c r="M7"/>
  <c r="K55" i="20"/>
  <c r="K54"/>
  <c r="K52"/>
  <c r="K51"/>
  <c r="F50"/>
  <c r="K49"/>
  <c r="K48"/>
  <c r="F44"/>
  <c r="K43"/>
  <c r="K42"/>
  <c r="K41"/>
  <c r="K40"/>
  <c r="K39"/>
  <c r="K37"/>
  <c r="K36"/>
  <c r="K35"/>
  <c r="K34"/>
  <c r="K33"/>
  <c r="K31"/>
  <c r="K30"/>
  <c r="K29"/>
  <c r="K28"/>
  <c r="K27"/>
  <c r="F38"/>
  <c r="F32"/>
  <c r="F26"/>
  <c r="K25"/>
  <c r="K24"/>
  <c r="K23"/>
  <c r="K22"/>
  <c r="K21"/>
  <c r="K16"/>
  <c r="K15"/>
  <c r="K14"/>
  <c r="K12"/>
  <c r="K11"/>
  <c r="K10"/>
  <c r="K8"/>
  <c r="K7"/>
  <c r="K6"/>
  <c r="F17"/>
  <c r="F13"/>
  <c r="F9"/>
  <c r="K138" l="1"/>
  <c r="K121" i="31"/>
  <c r="K149"/>
  <c r="L149" s="1"/>
  <c r="K132"/>
  <c r="L132" s="1"/>
  <c r="K129"/>
  <c r="L129" s="1"/>
  <c r="L154"/>
  <c r="K103" i="20"/>
  <c r="L103" s="1"/>
  <c r="F53"/>
  <c r="F57"/>
  <c r="F45"/>
  <c r="K57"/>
  <c r="K32"/>
  <c r="L32" s="1"/>
  <c r="K53"/>
  <c r="K50"/>
  <c r="K44"/>
  <c r="K38"/>
  <c r="L38" s="1"/>
  <c r="K26"/>
  <c r="K13"/>
  <c r="L13" s="1"/>
  <c r="K17"/>
  <c r="F18"/>
  <c r="K9"/>
  <c r="L53" l="1"/>
  <c r="F58"/>
  <c r="L57"/>
  <c r="L50"/>
  <c r="K58"/>
  <c r="I27" i="11" s="1"/>
  <c r="L26" i="20"/>
  <c r="K45"/>
  <c r="K18"/>
  <c r="L9"/>
  <c r="K143" i="19" l="1"/>
  <c r="F146"/>
  <c r="K141"/>
  <c r="F142"/>
  <c r="F99"/>
  <c r="F93"/>
  <c r="F87"/>
  <c r="F69"/>
  <c r="F63"/>
  <c r="F133" i="30"/>
  <c r="K75" i="31"/>
  <c r="K74"/>
  <c r="F73"/>
  <c r="F77" s="1"/>
  <c r="K57"/>
  <c r="K56"/>
  <c r="K55"/>
  <c r="K54"/>
  <c r="K53"/>
  <c r="K51"/>
  <c r="K50"/>
  <c r="K49"/>
  <c r="K48"/>
  <c r="K47"/>
  <c r="F25"/>
  <c r="F21"/>
  <c r="F17"/>
  <c r="K24"/>
  <c r="K23"/>
  <c r="K22"/>
  <c r="K16"/>
  <c r="K15"/>
  <c r="K14"/>
  <c r="K12" i="19"/>
  <c r="K13" s="1"/>
  <c r="L13" s="1"/>
  <c r="K10"/>
  <c r="K9"/>
  <c r="K8"/>
  <c r="K7"/>
  <c r="K6"/>
  <c r="F11"/>
  <c r="F14" s="1"/>
  <c r="K58" i="31" l="1"/>
  <c r="L58" s="1"/>
  <c r="F160" i="19"/>
  <c r="K76" i="31"/>
  <c r="K77" s="1"/>
  <c r="F76"/>
  <c r="K146" i="19"/>
  <c r="L146" s="1"/>
  <c r="K142"/>
  <c r="K87"/>
  <c r="K99"/>
  <c r="L99" s="1"/>
  <c r="K93"/>
  <c r="L93" s="1"/>
  <c r="K63"/>
  <c r="K75"/>
  <c r="K69"/>
  <c r="K133" i="30"/>
  <c r="K52" i="31"/>
  <c r="K17"/>
  <c r="L17" s="1"/>
  <c r="F46"/>
  <c r="F13"/>
  <c r="K21"/>
  <c r="L21" s="1"/>
  <c r="F52"/>
  <c r="K25"/>
  <c r="L25" s="1"/>
  <c r="K11" i="19"/>
  <c r="L11" l="1"/>
  <c r="K14"/>
  <c r="K160"/>
  <c r="L142"/>
  <c r="L133" i="30"/>
  <c r="L64" i="31"/>
  <c r="L52"/>
  <c r="F222" i="18" l="1"/>
  <c r="K214"/>
  <c r="K213"/>
  <c r="K212"/>
  <c r="K210"/>
  <c r="F215"/>
  <c r="F97"/>
  <c r="L91"/>
  <c r="F223" l="1"/>
  <c r="J227"/>
  <c r="M241"/>
  <c r="K215"/>
  <c r="K222"/>
  <c r="L222" s="1"/>
  <c r="L206"/>
  <c r="K97"/>
  <c r="L97" s="1"/>
  <c r="L215" l="1"/>
  <c r="K223"/>
  <c r="F85"/>
  <c r="F79"/>
  <c r="F109" i="16"/>
  <c r="K16" i="18"/>
  <c r="K15"/>
  <c r="K14"/>
  <c r="F17"/>
  <c r="F13"/>
  <c r="M11" i="16"/>
  <c r="M10"/>
  <c r="M9"/>
  <c r="M8"/>
  <c r="M7"/>
  <c r="M6"/>
  <c r="K33"/>
  <c r="K32"/>
  <c r="F34"/>
  <c r="K79" i="18" l="1"/>
  <c r="K85"/>
  <c r="L85" s="1"/>
  <c r="K109" i="16"/>
  <c r="L109" s="1"/>
  <c r="K17" i="18"/>
  <c r="L17" s="1"/>
  <c r="K34" i="16"/>
  <c r="L34" s="1"/>
  <c r="K71" l="1"/>
  <c r="F57"/>
  <c r="K165" i="15"/>
  <c r="K130"/>
  <c r="K129"/>
  <c r="K131"/>
  <c r="K127" i="16"/>
  <c r="K126"/>
  <c r="K125"/>
  <c r="F50" i="15"/>
  <c r="K49"/>
  <c r="K48"/>
  <c r="K166" l="1"/>
  <c r="K132"/>
  <c r="L132" s="1"/>
  <c r="M186" i="30"/>
  <c r="J172"/>
  <c r="F168" i="7"/>
  <c r="F173" s="1"/>
  <c r="K57" i="16"/>
  <c r="L57" s="1"/>
  <c r="K50" i="15"/>
  <c r="L166" l="1"/>
  <c r="K193"/>
  <c r="M10" i="8"/>
  <c r="M11"/>
  <c r="M12"/>
  <c r="M9"/>
  <c r="M8"/>
  <c r="M7"/>
  <c r="M12" i="3"/>
  <c r="M11"/>
  <c r="M10"/>
  <c r="M9"/>
  <c r="M8"/>
  <c r="M7"/>
  <c r="M6"/>
  <c r="M12" i="7"/>
  <c r="M11"/>
  <c r="M10"/>
  <c r="M9"/>
  <c r="M8"/>
  <c r="M7"/>
  <c r="M6"/>
  <c r="M12" i="5"/>
  <c r="M11"/>
  <c r="M10"/>
  <c r="M9"/>
  <c r="M8"/>
  <c r="M7"/>
  <c r="M12" i="29"/>
  <c r="M11"/>
  <c r="M10"/>
  <c r="M9"/>
  <c r="M8"/>
  <c r="M6"/>
  <c r="M7"/>
  <c r="M12" i="4"/>
  <c r="M11"/>
  <c r="M10"/>
  <c r="M9"/>
  <c r="M8"/>
  <c r="M7"/>
  <c r="M6"/>
  <c r="M9" i="1"/>
  <c r="M9" i="34"/>
  <c r="M12"/>
  <c r="M11"/>
  <c r="M10"/>
  <c r="M8"/>
  <c r="M7"/>
  <c r="M6"/>
  <c r="M12" i="1"/>
  <c r="M11"/>
  <c r="M10"/>
  <c r="M8"/>
  <c r="M7"/>
  <c r="M6"/>
  <c r="M12" i="12"/>
  <c r="M11"/>
  <c r="M10"/>
  <c r="M9"/>
  <c r="M8"/>
  <c r="M7"/>
  <c r="M6"/>
  <c r="M8" i="30"/>
  <c r="F13"/>
  <c r="M6" i="5"/>
  <c r="M6" i="8"/>
  <c r="M12" i="35"/>
  <c r="M11"/>
  <c r="M10"/>
  <c r="M9"/>
  <c r="M8"/>
  <c r="M7"/>
  <c r="M6"/>
  <c r="M12" i="15"/>
  <c r="M11"/>
  <c r="M10"/>
  <c r="M9"/>
  <c r="M8"/>
  <c r="M7"/>
  <c r="M6"/>
  <c r="M12" i="14"/>
  <c r="M11"/>
  <c r="M10"/>
  <c r="M9"/>
  <c r="M8"/>
  <c r="M7"/>
  <c r="M6"/>
  <c r="M12" i="30"/>
  <c r="M11"/>
  <c r="M10"/>
  <c r="M9"/>
  <c r="M7"/>
  <c r="N6"/>
  <c r="M12" i="13"/>
  <c r="M11"/>
  <c r="M10"/>
  <c r="M9"/>
  <c r="M8"/>
  <c r="M7"/>
  <c r="M6"/>
  <c r="M6" i="30"/>
  <c r="K13" l="1"/>
  <c r="F13" i="15" l="1"/>
  <c r="K8"/>
  <c r="K7"/>
  <c r="K6"/>
  <c r="F9"/>
  <c r="K13" l="1"/>
  <c r="L13" s="1"/>
  <c r="K9"/>
  <c r="F17"/>
  <c r="F18" s="1"/>
  <c r="K17"/>
  <c r="K18" l="1"/>
  <c r="L9"/>
  <c r="L17"/>
  <c r="K151" i="7" l="1"/>
  <c r="K150"/>
  <c r="K153" s="1"/>
  <c r="F71" i="15"/>
  <c r="F133" i="14"/>
  <c r="K129"/>
  <c r="K125"/>
  <c r="K124"/>
  <c r="F126"/>
  <c r="K129" i="30"/>
  <c r="K128"/>
  <c r="F130"/>
  <c r="F127"/>
  <c r="F122"/>
  <c r="K114" i="13"/>
  <c r="K103" i="14"/>
  <c r="K102"/>
  <c r="K101"/>
  <c r="F104"/>
  <c r="L122" i="30" l="1"/>
  <c r="F134"/>
  <c r="K115" i="13"/>
  <c r="L115" s="1"/>
  <c r="L153" i="7"/>
  <c r="K71" i="15"/>
  <c r="K122" s="1"/>
  <c r="K126" i="14"/>
  <c r="K133"/>
  <c r="F130"/>
  <c r="F134" s="1"/>
  <c r="K130"/>
  <c r="K130" i="30"/>
  <c r="L130" s="1"/>
  <c r="K104" i="14"/>
  <c r="K134" l="1"/>
  <c r="F40"/>
  <c r="F41" s="1"/>
  <c r="F120" i="35"/>
  <c r="F91" i="14"/>
  <c r="F85"/>
  <c r="F103" i="30"/>
  <c r="F97"/>
  <c r="F91"/>
  <c r="F96" i="13"/>
  <c r="F90"/>
  <c r="K120" i="35" l="1"/>
  <c r="K90" i="13"/>
  <c r="L90" s="1"/>
  <c r="K97" i="30"/>
  <c r="L97" s="1"/>
  <c r="F13" i="14"/>
  <c r="K103" i="30"/>
  <c r="K91"/>
  <c r="K96" i="13"/>
  <c r="L120" i="35" l="1"/>
  <c r="L96" i="13"/>
  <c r="F9" i="30" l="1"/>
  <c r="F20" s="1"/>
  <c r="K219" i="35" l="1"/>
  <c r="G261" s="1"/>
  <c r="F225"/>
  <c r="F257" s="1"/>
  <c r="K224"/>
  <c r="K223"/>
  <c r="K222"/>
  <c r="F118" i="8"/>
  <c r="F28" i="13"/>
  <c r="F13"/>
  <c r="K12"/>
  <c r="K11"/>
  <c r="K10"/>
  <c r="K8"/>
  <c r="K7"/>
  <c r="K6"/>
  <c r="F70"/>
  <c r="K191" i="10"/>
  <c r="K176"/>
  <c r="K175"/>
  <c r="K174"/>
  <c r="F177"/>
  <c r="F133"/>
  <c r="F108"/>
  <c r="J243" l="1"/>
  <c r="M257"/>
  <c r="M275" i="35"/>
  <c r="J261"/>
  <c r="K225"/>
  <c r="K257" s="1"/>
  <c r="K118" i="8"/>
  <c r="F40" i="13"/>
  <c r="F9"/>
  <c r="F14" s="1"/>
  <c r="K13"/>
  <c r="L13" s="1"/>
  <c r="K9"/>
  <c r="K14" s="1"/>
  <c r="L84"/>
  <c r="K70"/>
  <c r="L70" s="1"/>
  <c r="K177" i="10"/>
  <c r="K108"/>
  <c r="L108" s="1"/>
  <c r="K133"/>
  <c r="L133" s="1"/>
  <c r="K102"/>
  <c r="L225" i="35" l="1"/>
  <c r="L9" i="13"/>
  <c r="K12" i="35" l="1"/>
  <c r="K11"/>
  <c r="K10"/>
  <c r="F129" i="34"/>
  <c r="F121"/>
  <c r="K129" l="1"/>
  <c r="L129" s="1"/>
  <c r="L17" i="11"/>
  <c r="F111" i="35"/>
  <c r="K41" i="8"/>
  <c r="K110" i="12"/>
  <c r="K109"/>
  <c r="K163" i="34"/>
  <c r="K162"/>
  <c r="K161"/>
  <c r="K151" i="1"/>
  <c r="K150"/>
  <c r="K149"/>
  <c r="F158"/>
  <c r="F9" i="8"/>
  <c r="F11" i="5"/>
  <c r="F12" s="1"/>
  <c r="B13" i="11" s="1"/>
  <c r="F52" i="7" l="1"/>
  <c r="F53" s="1"/>
  <c r="K52"/>
  <c r="K53" s="1"/>
  <c r="F19"/>
  <c r="K18"/>
  <c r="K17"/>
  <c r="K16"/>
  <c r="K15"/>
  <c r="K14"/>
  <c r="K156"/>
  <c r="K155"/>
  <c r="K154"/>
  <c r="F144"/>
  <c r="K142"/>
  <c r="K143"/>
  <c r="F110"/>
  <c r="K113"/>
  <c r="K112"/>
  <c r="K111"/>
  <c r="F98"/>
  <c r="K182"/>
  <c r="K181"/>
  <c r="K180"/>
  <c r="K179"/>
  <c r="K178"/>
  <c r="K177"/>
  <c r="K176"/>
  <c r="F183"/>
  <c r="F184" s="1"/>
  <c r="K157" l="1"/>
  <c r="L157" s="1"/>
  <c r="J188"/>
  <c r="K117"/>
  <c r="L117" s="1"/>
  <c r="M202"/>
  <c r="L14" i="11"/>
  <c r="K14"/>
  <c r="L52" i="7"/>
  <c r="F13"/>
  <c r="K19"/>
  <c r="K110"/>
  <c r="L110" s="1"/>
  <c r="K98"/>
  <c r="L98" s="1"/>
  <c r="K183"/>
  <c r="K184" s="1"/>
  <c r="L104" l="1"/>
  <c r="F99" i="5" l="1"/>
  <c r="F109" s="1"/>
  <c r="K114"/>
  <c r="K112"/>
  <c r="J124" l="1"/>
  <c r="M140"/>
  <c r="K99"/>
  <c r="K109" s="1"/>
  <c r="K121" i="29" l="1"/>
  <c r="K120"/>
  <c r="K125"/>
  <c r="K124"/>
  <c r="K123"/>
  <c r="K122"/>
  <c r="K119"/>
  <c r="F126"/>
  <c r="F187" i="4"/>
  <c r="F207" s="1"/>
  <c r="K112" i="29"/>
  <c r="K30"/>
  <c r="K29"/>
  <c r="F22"/>
  <c r="F23" s="1"/>
  <c r="K13"/>
  <c r="K14" s="1"/>
  <c r="F109"/>
  <c r="F106"/>
  <c r="F103"/>
  <c r="F85"/>
  <c r="F62"/>
  <c r="K31" l="1"/>
  <c r="L31" s="1"/>
  <c r="F116"/>
  <c r="K126"/>
  <c r="L115"/>
  <c r="K187" i="4"/>
  <c r="K207" s="1"/>
  <c r="F28" i="29"/>
  <c r="F35" s="1"/>
  <c r="L13"/>
  <c r="K106"/>
  <c r="L106" s="1"/>
  <c r="K85"/>
  <c r="K109"/>
  <c r="K62"/>
  <c r="L109" l="1"/>
  <c r="L187" i="4"/>
  <c r="L112" i="29"/>
  <c r="F163" i="1" l="1"/>
  <c r="K162"/>
  <c r="K160"/>
  <c r="K163" l="1"/>
  <c r="F83" i="4" l="1"/>
  <c r="K71"/>
  <c r="F75"/>
  <c r="F69"/>
  <c r="F63"/>
  <c r="J211" l="1"/>
  <c r="K75"/>
  <c r="L75" s="1"/>
  <c r="K69"/>
  <c r="L69" s="1"/>
  <c r="K63"/>
  <c r="L149"/>
  <c r="K83"/>
  <c r="L83" s="1"/>
  <c r="L63" l="1"/>
  <c r="F36"/>
  <c r="L175" i="3" l="1"/>
  <c r="F147" l="1"/>
  <c r="F152" s="1"/>
  <c r="F140"/>
  <c r="K139"/>
  <c r="K138"/>
  <c r="K137"/>
  <c r="F136"/>
  <c r="K135"/>
  <c r="K134"/>
  <c r="K133"/>
  <c r="F92"/>
  <c r="K69"/>
  <c r="G200" s="1"/>
  <c r="F66"/>
  <c r="J200" l="1"/>
  <c r="M216"/>
  <c r="L151"/>
  <c r="K140"/>
  <c r="K136"/>
  <c r="K92"/>
  <c r="K84"/>
  <c r="K66"/>
  <c r="L207" i="34"/>
  <c r="K46" i="1"/>
  <c r="G192" s="1"/>
  <c r="F110"/>
  <c r="F103"/>
  <c r="K94"/>
  <c r="K93"/>
  <c r="K92"/>
  <c r="F97"/>
  <c r="F91"/>
  <c r="F85"/>
  <c r="F79"/>
  <c r="F73"/>
  <c r="F67"/>
  <c r="K39" i="3"/>
  <c r="K38"/>
  <c r="F13"/>
  <c r="F14" s="1"/>
  <c r="K12"/>
  <c r="K11"/>
  <c r="K10"/>
  <c r="K8"/>
  <c r="K7"/>
  <c r="K6"/>
  <c r="F9"/>
  <c r="K100" i="34"/>
  <c r="K99"/>
  <c r="F101"/>
  <c r="K103"/>
  <c r="K102"/>
  <c r="F104"/>
  <c r="K40" i="3" l="1"/>
  <c r="L40" s="1"/>
  <c r="K101" i="34"/>
  <c r="K121"/>
  <c r="K73" i="1"/>
  <c r="L73" s="1"/>
  <c r="L92" i="3"/>
  <c r="K97" i="1"/>
  <c r="L97" s="1"/>
  <c r="K79"/>
  <c r="L79" s="1"/>
  <c r="K110"/>
  <c r="L110" s="1"/>
  <c r="K104" i="34"/>
  <c r="K103" i="1"/>
  <c r="L103" s="1"/>
  <c r="K91"/>
  <c r="L91" s="1"/>
  <c r="K85"/>
  <c r="L85" s="1"/>
  <c r="K49"/>
  <c r="F37" i="3"/>
  <c r="K9"/>
  <c r="K13"/>
  <c r="I192" i="1" l="1"/>
  <c r="I286" i="34" s="1"/>
  <c r="I200" i="3" s="1"/>
  <c r="I211" i="4" s="1"/>
  <c r="I131" i="29" s="1"/>
  <c r="I124" i="5" s="1"/>
  <c r="I188" i="7" s="1"/>
  <c r="I130" i="8" s="1"/>
  <c r="I261" i="35" s="1"/>
  <c r="I243" i="10" s="1"/>
  <c r="I135" i="13" s="1"/>
  <c r="I172" i="30" s="1"/>
  <c r="I150" i="14" s="1"/>
  <c r="I230" i="15" s="1"/>
  <c r="I174" i="16" s="1"/>
  <c r="M211" i="1"/>
  <c r="J192"/>
  <c r="L13" i="3"/>
  <c r="K14"/>
  <c r="L121" i="34"/>
  <c r="L9" i="3"/>
  <c r="F98" i="34" l="1"/>
  <c r="F105" s="1"/>
  <c r="K73"/>
  <c r="K72"/>
  <c r="K71"/>
  <c r="K70"/>
  <c r="K69"/>
  <c r="F74"/>
  <c r="K67"/>
  <c r="K66"/>
  <c r="K65"/>
  <c r="K64"/>
  <c r="K63"/>
  <c r="F68"/>
  <c r="K68" l="1"/>
  <c r="L68" s="1"/>
  <c r="K74"/>
  <c r="L74" s="1"/>
  <c r="L101" l="1"/>
  <c r="F62"/>
  <c r="F93" s="1"/>
  <c r="K20"/>
  <c r="K19"/>
  <c r="K18"/>
  <c r="K16"/>
  <c r="K15"/>
  <c r="K14"/>
  <c r="K12"/>
  <c r="K11"/>
  <c r="K10"/>
  <c r="F13"/>
  <c r="F17"/>
  <c r="K21" l="1"/>
  <c r="L21" s="1"/>
  <c r="F28" i="1"/>
  <c r="F29" s="1"/>
  <c r="K13" i="34"/>
  <c r="L13" s="1"/>
  <c r="K17"/>
  <c r="L17" s="1"/>
  <c r="F13" i="1"/>
  <c r="M7" i="36" l="1"/>
  <c r="M8"/>
  <c r="M9"/>
  <c r="M10"/>
  <c r="M11"/>
  <c r="M12"/>
  <c r="K127" i="12"/>
  <c r="K126"/>
  <c r="F125"/>
  <c r="K158" i="1" l="1"/>
  <c r="K122" i="12"/>
  <c r="K128"/>
  <c r="L128" s="1"/>
  <c r="K125"/>
  <c r="L125" s="1"/>
  <c r="F97"/>
  <c r="K33"/>
  <c r="K32"/>
  <c r="K27"/>
  <c r="K26"/>
  <c r="K25"/>
  <c r="K24"/>
  <c r="K23"/>
  <c r="K21"/>
  <c r="K20"/>
  <c r="K19"/>
  <c r="K18"/>
  <c r="K17"/>
  <c r="F22"/>
  <c r="F29" s="1"/>
  <c r="L37" i="11"/>
  <c r="K37"/>
  <c r="L36"/>
  <c r="K36"/>
  <c r="L34"/>
  <c r="K34"/>
  <c r="L33"/>
  <c r="K33"/>
  <c r="L29"/>
  <c r="K29"/>
  <c r="L28"/>
  <c r="K28"/>
  <c r="L27"/>
  <c r="K27"/>
  <c r="L26"/>
  <c r="K26"/>
  <c r="L24"/>
  <c r="K24"/>
  <c r="L23"/>
  <c r="K23"/>
  <c r="L22"/>
  <c r="K22"/>
  <c r="L13"/>
  <c r="K13"/>
  <c r="L12"/>
  <c r="K12"/>
  <c r="L11"/>
  <c r="K11"/>
  <c r="L10"/>
  <c r="K10"/>
  <c r="L8"/>
  <c r="K8"/>
  <c r="L7"/>
  <c r="K7"/>
  <c r="K129" i="12" l="1"/>
  <c r="K34"/>
  <c r="K42" s="1"/>
  <c r="K28"/>
  <c r="L28" s="1"/>
  <c r="K97"/>
  <c r="L97" s="1"/>
  <c r="F13"/>
  <c r="F14" s="1"/>
  <c r="K22"/>
  <c r="K29" s="1"/>
  <c r="K13"/>
  <c r="K14" s="1"/>
  <c r="L34" l="1"/>
  <c r="L38"/>
  <c r="L22"/>
  <c r="F152" i="36" l="1"/>
  <c r="K151"/>
  <c r="K150"/>
  <c r="K149"/>
  <c r="K148"/>
  <c r="K177"/>
  <c r="K176"/>
  <c r="K175"/>
  <c r="K173"/>
  <c r="K172"/>
  <c r="K171"/>
  <c r="F178"/>
  <c r="F174"/>
  <c r="K167"/>
  <c r="K169"/>
  <c r="K168"/>
  <c r="F170"/>
  <c r="F166"/>
  <c r="K165"/>
  <c r="K164"/>
  <c r="K163"/>
  <c r="K161"/>
  <c r="K160"/>
  <c r="K158"/>
  <c r="K156"/>
  <c r="K155"/>
  <c r="K154"/>
  <c r="K153"/>
  <c r="F157"/>
  <c r="K135"/>
  <c r="K134"/>
  <c r="K133"/>
  <c r="K131"/>
  <c r="K130"/>
  <c r="K129"/>
  <c r="K127"/>
  <c r="K126"/>
  <c r="K125"/>
  <c r="K123"/>
  <c r="K122"/>
  <c r="K121"/>
  <c r="K119"/>
  <c r="K118"/>
  <c r="K117"/>
  <c r="K176" i="27"/>
  <c r="K175"/>
  <c r="K174"/>
  <c r="K171"/>
  <c r="K172"/>
  <c r="K170"/>
  <c r="K111" i="36"/>
  <c r="K110"/>
  <c r="K109"/>
  <c r="K108"/>
  <c r="K107"/>
  <c r="F112"/>
  <c r="K103"/>
  <c r="K101"/>
  <c r="K102"/>
  <c r="F106"/>
  <c r="K105"/>
  <c r="K104"/>
  <c r="K97"/>
  <c r="K99"/>
  <c r="K98"/>
  <c r="K96"/>
  <c r="K95"/>
  <c r="F100"/>
  <c r="K91"/>
  <c r="K90"/>
  <c r="K89"/>
  <c r="K93"/>
  <c r="K92"/>
  <c r="F94"/>
  <c r="K85"/>
  <c r="K84"/>
  <c r="K87"/>
  <c r="K86"/>
  <c r="K83"/>
  <c r="F88"/>
  <c r="K79"/>
  <c r="K78"/>
  <c r="K77"/>
  <c r="K81"/>
  <c r="K80"/>
  <c r="F82"/>
  <c r="K75"/>
  <c r="K74"/>
  <c r="F76"/>
  <c r="K73"/>
  <c r="K72"/>
  <c r="K71"/>
  <c r="K70"/>
  <c r="K68"/>
  <c r="K67"/>
  <c r="K66"/>
  <c r="K65"/>
  <c r="K64"/>
  <c r="K62"/>
  <c r="K61"/>
  <c r="K60"/>
  <c r="K59"/>
  <c r="M6"/>
  <c r="K45"/>
  <c r="K44"/>
  <c r="K42"/>
  <c r="K41"/>
  <c r="K39"/>
  <c r="K38"/>
  <c r="K36"/>
  <c r="K35"/>
  <c r="K33"/>
  <c r="K32"/>
  <c r="K30"/>
  <c r="K29"/>
  <c r="K27"/>
  <c r="K26"/>
  <c r="F46"/>
  <c r="F43"/>
  <c r="F40"/>
  <c r="F37"/>
  <c r="F34"/>
  <c r="F31"/>
  <c r="F28"/>
  <c r="K20"/>
  <c r="K19"/>
  <c r="K18"/>
  <c r="K17"/>
  <c r="K16"/>
  <c r="K8"/>
  <c r="K7"/>
  <c r="K6"/>
  <c r="K55" i="27"/>
  <c r="K54"/>
  <c r="K53"/>
  <c r="K52"/>
  <c r="K51"/>
  <c r="F56"/>
  <c r="K81"/>
  <c r="K80"/>
  <c r="F79"/>
  <c r="F76"/>
  <c r="K78"/>
  <c r="K77"/>
  <c r="K75"/>
  <c r="K74"/>
  <c r="K69"/>
  <c r="K68"/>
  <c r="F70"/>
  <c r="F50"/>
  <c r="K49"/>
  <c r="K48"/>
  <c r="K47"/>
  <c r="K46"/>
  <c r="K45"/>
  <c r="K43"/>
  <c r="K42"/>
  <c r="K41"/>
  <c r="K40"/>
  <c r="K39"/>
  <c r="K37"/>
  <c r="K36"/>
  <c r="K35"/>
  <c r="K34"/>
  <c r="K33"/>
  <c r="K31"/>
  <c r="K30"/>
  <c r="K29"/>
  <c r="K28"/>
  <c r="K27"/>
  <c r="F44"/>
  <c r="F83" l="1"/>
  <c r="K152" i="36"/>
  <c r="K166"/>
  <c r="L166" s="1"/>
  <c r="K178"/>
  <c r="K174"/>
  <c r="L174" s="1"/>
  <c r="K170"/>
  <c r="L170" s="1"/>
  <c r="K157"/>
  <c r="K142"/>
  <c r="F142"/>
  <c r="K112"/>
  <c r="K70" i="27"/>
  <c r="K76" i="36"/>
  <c r="L76" s="1"/>
  <c r="K106"/>
  <c r="K100"/>
  <c r="L100" s="1"/>
  <c r="K31"/>
  <c r="K43"/>
  <c r="K88"/>
  <c r="L88" s="1"/>
  <c r="K34"/>
  <c r="K46"/>
  <c r="K94"/>
  <c r="L94" s="1"/>
  <c r="K82"/>
  <c r="L82" s="1"/>
  <c r="K40"/>
  <c r="K37"/>
  <c r="K28"/>
  <c r="K79" i="27"/>
  <c r="L79" s="1"/>
  <c r="F82"/>
  <c r="K56"/>
  <c r="L56" s="1"/>
  <c r="K82"/>
  <c r="K76"/>
  <c r="K44"/>
  <c r="L44" s="1"/>
  <c r="K50"/>
  <c r="L50" s="1"/>
  <c r="K83" l="1"/>
  <c r="H36" i="11"/>
  <c r="L152" i="36"/>
  <c r="L106"/>
  <c r="I36" i="11"/>
  <c r="K47" i="36"/>
  <c r="I37" i="11" s="1"/>
  <c r="L28" i="36"/>
  <c r="F47"/>
  <c r="H37" i="11" s="1"/>
  <c r="L31" i="36"/>
  <c r="L73" i="27"/>
  <c r="L76"/>
  <c r="L34" i="36" l="1"/>
  <c r="L37" l="1"/>
  <c r="L40" l="1"/>
  <c r="L43"/>
  <c r="K12" i="27" l="1"/>
  <c r="K8"/>
  <c r="K7"/>
  <c r="K6"/>
  <c r="F546" i="12"/>
  <c r="F547" s="1"/>
  <c r="K545"/>
  <c r="K544"/>
  <c r="K543"/>
  <c r="K542"/>
  <c r="K541"/>
  <c r="K540"/>
  <c r="K539"/>
  <c r="K538"/>
  <c r="K537"/>
  <c r="K536"/>
  <c r="K535"/>
  <c r="F531"/>
  <c r="K249" i="27"/>
  <c r="K248"/>
  <c r="K247"/>
  <c r="K246"/>
  <c r="K250"/>
  <c r="K245"/>
  <c r="K244"/>
  <c r="K237"/>
  <c r="K242"/>
  <c r="K241"/>
  <c r="K240"/>
  <c r="K239"/>
  <c r="K236"/>
  <c r="K251" l="1"/>
  <c r="L251" s="1"/>
  <c r="K11"/>
  <c r="K10"/>
  <c r="K546" i="12"/>
  <c r="K15" i="27" l="1"/>
  <c r="L15" s="1"/>
  <c r="L546" i="12"/>
  <c r="K547"/>
  <c r="K210" i="27" l="1"/>
  <c r="K209"/>
  <c r="K208"/>
  <c r="F161"/>
  <c r="K152"/>
  <c r="K151"/>
  <c r="K149"/>
  <c r="K142"/>
  <c r="K144"/>
  <c r="K143"/>
  <c r="K146"/>
  <c r="K145"/>
  <c r="F147"/>
  <c r="F141"/>
  <c r="F135"/>
  <c r="F127"/>
  <c r="K110"/>
  <c r="K109"/>
  <c r="K37" i="18"/>
  <c r="K36"/>
  <c r="K45" i="17"/>
  <c r="K44"/>
  <c r="K30" i="16"/>
  <c r="K29"/>
  <c r="K59" i="10"/>
  <c r="K58"/>
  <c r="F162" i="27" l="1"/>
  <c r="K113"/>
  <c r="K155"/>
  <c r="L155" s="1"/>
  <c r="K211"/>
  <c r="K147"/>
  <c r="L147" s="1"/>
  <c r="K161"/>
  <c r="K141"/>
  <c r="L141" s="1"/>
  <c r="K135"/>
  <c r="L135" s="1"/>
  <c r="K127"/>
  <c r="L127" s="1"/>
  <c r="L121"/>
  <c r="K162" l="1"/>
  <c r="L161"/>
  <c r="F96" i="25"/>
  <c r="M9" i="17"/>
  <c r="M12"/>
  <c r="F79" i="22"/>
  <c r="F92" s="1"/>
  <c r="K81"/>
  <c r="K80"/>
  <c r="K66" i="24"/>
  <c r="K65"/>
  <c r="K112" i="26"/>
  <c r="K111"/>
  <c r="F101"/>
  <c r="F108" s="1"/>
  <c r="K55"/>
  <c r="K54"/>
  <c r="F56"/>
  <c r="F50"/>
  <c r="F53"/>
  <c r="K52"/>
  <c r="K51"/>
  <c r="K49"/>
  <c r="K48"/>
  <c r="K37"/>
  <c r="K36"/>
  <c r="K35"/>
  <c r="K34"/>
  <c r="K33"/>
  <c r="F25"/>
  <c r="F21"/>
  <c r="F13"/>
  <c r="K28"/>
  <c r="K27"/>
  <c r="K26"/>
  <c r="K24"/>
  <c r="K23"/>
  <c r="K22"/>
  <c r="K20"/>
  <c r="K19"/>
  <c r="K18"/>
  <c r="K12"/>
  <c r="K11"/>
  <c r="K10"/>
  <c r="F63" l="1"/>
  <c r="K38"/>
  <c r="K114"/>
  <c r="K127" s="1"/>
  <c r="K141"/>
  <c r="L141" s="1"/>
  <c r="K67" i="24"/>
  <c r="L67" s="1"/>
  <c r="K82" i="22"/>
  <c r="L82" s="1"/>
  <c r="K96" i="25"/>
  <c r="L96" s="1"/>
  <c r="L107" i="26"/>
  <c r="K50"/>
  <c r="K53"/>
  <c r="K56"/>
  <c r="K29"/>
  <c r="K25"/>
  <c r="L25" s="1"/>
  <c r="K13"/>
  <c r="L17"/>
  <c r="K21"/>
  <c r="L21" s="1"/>
  <c r="F29"/>
  <c r="K63" l="1"/>
  <c r="I35" i="11" s="1"/>
  <c r="L38" i="26"/>
  <c r="K45"/>
  <c r="L50"/>
  <c r="H35" i="11"/>
  <c r="L13" i="26"/>
  <c r="L53" l="1"/>
  <c r="L56" l="1"/>
  <c r="F158" i="25" l="1"/>
  <c r="K157"/>
  <c r="K156"/>
  <c r="F73"/>
  <c r="F74" s="1"/>
  <c r="K66"/>
  <c r="K65"/>
  <c r="K63"/>
  <c r="K62"/>
  <c r="K33"/>
  <c r="K32"/>
  <c r="K31"/>
  <c r="K30"/>
  <c r="K29"/>
  <c r="K12"/>
  <c r="K11"/>
  <c r="K10"/>
  <c r="K8"/>
  <c r="K7"/>
  <c r="K6"/>
  <c r="K109"/>
  <c r="F114"/>
  <c r="F108"/>
  <c r="F102"/>
  <c r="J233" l="1"/>
  <c r="M247"/>
  <c r="K13"/>
  <c r="L13" s="1"/>
  <c r="K46"/>
  <c r="L46" s="1"/>
  <c r="K67"/>
  <c r="L67" s="1"/>
  <c r="K158"/>
  <c r="K64"/>
  <c r="F64"/>
  <c r="F68" s="1"/>
  <c r="F34"/>
  <c r="F59" s="1"/>
  <c r="K34"/>
  <c r="F9"/>
  <c r="F26" s="1"/>
  <c r="K114"/>
  <c r="L114" s="1"/>
  <c r="K108"/>
  <c r="K102"/>
  <c r="L102" s="1"/>
  <c r="K68" l="1"/>
  <c r="K59"/>
  <c r="E34" i="11"/>
  <c r="B34"/>
  <c r="L64" i="25"/>
  <c r="L108"/>
  <c r="F78" i="33" l="1"/>
  <c r="F72"/>
  <c r="F66"/>
  <c r="K78" l="1"/>
  <c r="L78" s="1"/>
  <c r="K72"/>
  <c r="L72" s="1"/>
  <c r="L66"/>
  <c r="K140" i="25" l="1"/>
  <c r="K139"/>
  <c r="K138"/>
  <c r="K135"/>
  <c r="K136"/>
  <c r="K134"/>
  <c r="F133"/>
  <c r="K38" i="33"/>
  <c r="K39" s="1"/>
  <c r="K40" s="1"/>
  <c r="K141" i="25" l="1"/>
  <c r="L141" s="1"/>
  <c r="K133"/>
  <c r="K137"/>
  <c r="L39" i="33"/>
  <c r="K150" i="25" l="1"/>
  <c r="L196"/>
  <c r="F82" i="24" l="1"/>
  <c r="K114" i="33"/>
  <c r="K122" s="1"/>
  <c r="K199" i="24"/>
  <c r="K201" s="1"/>
  <c r="K197"/>
  <c r="K196"/>
  <c r="K98" i="33"/>
  <c r="K97"/>
  <c r="K96"/>
  <c r="K94"/>
  <c r="K93"/>
  <c r="K92"/>
  <c r="K90"/>
  <c r="K89"/>
  <c r="K88"/>
  <c r="K186" i="24"/>
  <c r="K185"/>
  <c r="K184"/>
  <c r="K182"/>
  <c r="K181"/>
  <c r="K180"/>
  <c r="K178"/>
  <c r="K177"/>
  <c r="K176"/>
  <c r="F125" i="23"/>
  <c r="K530" i="12"/>
  <c r="K529"/>
  <c r="K528"/>
  <c r="K527"/>
  <c r="K526"/>
  <c r="K525"/>
  <c r="K524"/>
  <c r="F523"/>
  <c r="F532" s="1"/>
  <c r="K522"/>
  <c r="K521"/>
  <c r="K520"/>
  <c r="K519"/>
  <c r="K518"/>
  <c r="K517"/>
  <c r="K516"/>
  <c r="K515"/>
  <c r="K514"/>
  <c r="K513"/>
  <c r="K512"/>
  <c r="F508"/>
  <c r="K507"/>
  <c r="K506"/>
  <c r="K505"/>
  <c r="K504"/>
  <c r="K503"/>
  <c r="K502"/>
  <c r="K501"/>
  <c r="F500"/>
  <c r="K499"/>
  <c r="K498"/>
  <c r="K497"/>
  <c r="K496"/>
  <c r="K495"/>
  <c r="K494"/>
  <c r="F490"/>
  <c r="F491" s="1"/>
  <c r="K489"/>
  <c r="K488"/>
  <c r="K487"/>
  <c r="K486"/>
  <c r="K485"/>
  <c r="K484"/>
  <c r="K483"/>
  <c r="K482"/>
  <c r="K481"/>
  <c r="K480"/>
  <c r="F476"/>
  <c r="F477" s="1"/>
  <c r="K198" i="23"/>
  <c r="K197"/>
  <c r="K196"/>
  <c r="K195"/>
  <c r="K199" l="1"/>
  <c r="L199" s="1"/>
  <c r="F509" i="12"/>
  <c r="K125" i="23"/>
  <c r="K531" i="12"/>
  <c r="L531" s="1"/>
  <c r="K508"/>
  <c r="L508" s="1"/>
  <c r="K490"/>
  <c r="K523"/>
  <c r="K500"/>
  <c r="L107" i="33" l="1"/>
  <c r="L125" i="23"/>
  <c r="K509" i="12"/>
  <c r="L509" s="1"/>
  <c r="L490"/>
  <c r="K491"/>
  <c r="L491" s="1"/>
  <c r="K532"/>
  <c r="L532" s="1"/>
  <c r="L500"/>
  <c r="L523"/>
  <c r="K138" i="33" l="1"/>
  <c r="K131"/>
  <c r="K133" s="1"/>
  <c r="F84"/>
  <c r="F60"/>
  <c r="L60" s="1"/>
  <c r="K143" l="1"/>
  <c r="L143" s="1"/>
  <c r="G164"/>
  <c r="K84"/>
  <c r="L84" s="1"/>
  <c r="K160" l="1"/>
  <c r="K54"/>
  <c r="K114" i="24" l="1"/>
  <c r="K113"/>
  <c r="K108"/>
  <c r="K107"/>
  <c r="K106"/>
  <c r="F109"/>
  <c r="F102"/>
  <c r="F173" l="1"/>
  <c r="N31" i="11" s="1"/>
  <c r="K115" i="24"/>
  <c r="L115" s="1"/>
  <c r="L94"/>
  <c r="K102"/>
  <c r="K109"/>
  <c r="L109" s="1"/>
  <c r="L102" l="1"/>
  <c r="K173"/>
  <c r="O31" i="11" s="1"/>
  <c r="K21" i="33" l="1"/>
  <c r="K20"/>
  <c r="K19"/>
  <c r="K18"/>
  <c r="K17"/>
  <c r="K12"/>
  <c r="K11"/>
  <c r="K10"/>
  <c r="K8"/>
  <c r="K7"/>
  <c r="K6"/>
  <c r="F52" i="24"/>
  <c r="K63"/>
  <c r="K62"/>
  <c r="F61"/>
  <c r="F55"/>
  <c r="K60"/>
  <c r="K59"/>
  <c r="K57"/>
  <c r="K56"/>
  <c r="K54"/>
  <c r="K53"/>
  <c r="K51"/>
  <c r="K50"/>
  <c r="K33"/>
  <c r="K32"/>
  <c r="K31"/>
  <c r="K30"/>
  <c r="K29"/>
  <c r="K27"/>
  <c r="K26"/>
  <c r="K25"/>
  <c r="K24"/>
  <c r="K23"/>
  <c r="K8"/>
  <c r="K7"/>
  <c r="K6"/>
  <c r="K13" i="33" l="1"/>
  <c r="L13" s="1"/>
  <c r="K9" i="24"/>
  <c r="L9" s="1"/>
  <c r="K34"/>
  <c r="L34" s="1"/>
  <c r="F64"/>
  <c r="K64"/>
  <c r="K61"/>
  <c r="L61" s="1"/>
  <c r="K58"/>
  <c r="K52"/>
  <c r="K55"/>
  <c r="F58"/>
  <c r="F77" l="1"/>
  <c r="H31" i="11" s="1"/>
  <c r="K77" i="24"/>
  <c r="I31" i="11" s="1"/>
  <c r="L64" i="24"/>
  <c r="L52"/>
  <c r="L58"/>
  <c r="L55"/>
  <c r="K171" i="23" l="1"/>
  <c r="K170"/>
  <c r="K173" l="1"/>
  <c r="K182" s="1"/>
  <c r="K165"/>
  <c r="K164"/>
  <c r="K163"/>
  <c r="K161"/>
  <c r="K160"/>
  <c r="K159"/>
  <c r="K156"/>
  <c r="K157"/>
  <c r="K155"/>
  <c r="K116" l="1"/>
  <c r="K118"/>
  <c r="K117"/>
  <c r="K115"/>
  <c r="K114"/>
  <c r="F119"/>
  <c r="K112"/>
  <c r="K111"/>
  <c r="K110"/>
  <c r="K109"/>
  <c r="K108"/>
  <c r="F113"/>
  <c r="F107"/>
  <c r="K92"/>
  <c r="K91"/>
  <c r="K89"/>
  <c r="K88"/>
  <c r="K119" l="1"/>
  <c r="L119" s="1"/>
  <c r="K113"/>
  <c r="L113" s="1"/>
  <c r="K107"/>
  <c r="L107" s="1"/>
  <c r="K74" l="1"/>
  <c r="K73"/>
  <c r="K68"/>
  <c r="K67"/>
  <c r="F66"/>
  <c r="K65"/>
  <c r="K64"/>
  <c r="K59"/>
  <c r="K58"/>
  <c r="K57"/>
  <c r="K56"/>
  <c r="K55"/>
  <c r="K53"/>
  <c r="K52"/>
  <c r="K51"/>
  <c r="K50"/>
  <c r="K49"/>
  <c r="K47"/>
  <c r="K46"/>
  <c r="K45"/>
  <c r="K44"/>
  <c r="K43"/>
  <c r="K78" i="22"/>
  <c r="K77"/>
  <c r="K54"/>
  <c r="K53"/>
  <c r="K52"/>
  <c r="K51"/>
  <c r="K50"/>
  <c r="K48"/>
  <c r="K47"/>
  <c r="K46"/>
  <c r="K45"/>
  <c r="K44"/>
  <c r="K22"/>
  <c r="K21"/>
  <c r="K20"/>
  <c r="K19"/>
  <c r="K18"/>
  <c r="K219"/>
  <c r="K218"/>
  <c r="K222" l="1"/>
  <c r="K79"/>
  <c r="K66" i="23"/>
  <c r="K23" i="22"/>
  <c r="K41" s="1"/>
  <c r="L40"/>
  <c r="F69" i="23"/>
  <c r="K75"/>
  <c r="F75"/>
  <c r="K69"/>
  <c r="K129" i="21"/>
  <c r="K128"/>
  <c r="F214" i="22"/>
  <c r="K213"/>
  <c r="K212"/>
  <c r="K211"/>
  <c r="F76" i="23" l="1"/>
  <c r="K76"/>
  <c r="L66"/>
  <c r="L79" i="22"/>
  <c r="K92"/>
  <c r="L23"/>
  <c r="L69" i="23"/>
  <c r="L75"/>
  <c r="K214" i="22"/>
  <c r="L214" s="1"/>
  <c r="K206" l="1"/>
  <c r="K205"/>
  <c r="K204"/>
  <c r="K202"/>
  <c r="K201"/>
  <c r="K200"/>
  <c r="K198"/>
  <c r="K197"/>
  <c r="K196"/>
  <c r="K116"/>
  <c r="K115"/>
  <c r="F117"/>
  <c r="F193" s="1"/>
  <c r="K110" i="21"/>
  <c r="K109"/>
  <c r="K108"/>
  <c r="F113"/>
  <c r="K112"/>
  <c r="K111"/>
  <c r="K106"/>
  <c r="K105"/>
  <c r="K103"/>
  <c r="G150" s="1"/>
  <c r="F107"/>
  <c r="F102"/>
  <c r="F96"/>
  <c r="K95"/>
  <c r="K94"/>
  <c r="K91"/>
  <c r="K90"/>
  <c r="K88"/>
  <c r="K87"/>
  <c r="J150" l="1"/>
  <c r="M164"/>
  <c r="K107"/>
  <c r="L107" s="1"/>
  <c r="K113"/>
  <c r="L113" s="1"/>
  <c r="K102"/>
  <c r="L102" s="1"/>
  <c r="K96"/>
  <c r="L96" s="1"/>
  <c r="K75" l="1"/>
  <c r="K82"/>
  <c r="K81"/>
  <c r="K144"/>
  <c r="K143"/>
  <c r="K142"/>
  <c r="K141"/>
  <c r="F145"/>
  <c r="F146" s="1"/>
  <c r="F180" i="20"/>
  <c r="K175"/>
  <c r="K173"/>
  <c r="K179"/>
  <c r="K178"/>
  <c r="K177"/>
  <c r="K176"/>
  <c r="K174"/>
  <c r="K167"/>
  <c r="F172"/>
  <c r="K166"/>
  <c r="K171"/>
  <c r="K170"/>
  <c r="K169"/>
  <c r="K168"/>
  <c r="K163"/>
  <c r="K165" s="1"/>
  <c r="F165"/>
  <c r="K183"/>
  <c r="G195" s="1"/>
  <c r="K182"/>
  <c r="K189"/>
  <c r="K188"/>
  <c r="K187"/>
  <c r="K186"/>
  <c r="K185"/>
  <c r="K184"/>
  <c r="K181"/>
  <c r="F190"/>
  <c r="K56" i="21"/>
  <c r="K57"/>
  <c r="K54"/>
  <c r="K53"/>
  <c r="F55"/>
  <c r="F65" s="1"/>
  <c r="K130" i="20"/>
  <c r="K129"/>
  <c r="K128"/>
  <c r="K126"/>
  <c r="K125"/>
  <c r="K124"/>
  <c r="K141" i="31"/>
  <c r="W28" i="11" l="1"/>
  <c r="J195" i="20"/>
  <c r="M209"/>
  <c r="L146" i="31"/>
  <c r="K55" i="21"/>
  <c r="K145"/>
  <c r="K146" s="1"/>
  <c r="K142" i="20"/>
  <c r="K180"/>
  <c r="L180" s="1"/>
  <c r="F147"/>
  <c r="K172"/>
  <c r="L172" s="1"/>
  <c r="K190"/>
  <c r="L190" s="1"/>
  <c r="L165"/>
  <c r="K58" i="21"/>
  <c r="K65" l="1"/>
  <c r="X28" i="11"/>
  <c r="G149" i="21"/>
  <c r="L55"/>
  <c r="L139" i="19"/>
  <c r="L58" i="21"/>
  <c r="G151" l="1"/>
  <c r="L149"/>
  <c r="K161" i="20"/>
  <c r="K160"/>
  <c r="K159"/>
  <c r="K158"/>
  <c r="K157"/>
  <c r="K156"/>
  <c r="K155"/>
  <c r="K154"/>
  <c r="K153"/>
  <c r="K152"/>
  <c r="K151"/>
  <c r="K123" i="19"/>
  <c r="K122"/>
  <c r="K121"/>
  <c r="K119"/>
  <c r="K118"/>
  <c r="K117"/>
  <c r="K115"/>
  <c r="K114"/>
  <c r="K113"/>
  <c r="K106"/>
  <c r="K105"/>
  <c r="K104"/>
  <c r="K110"/>
  <c r="K109"/>
  <c r="K108"/>
  <c r="K123" i="18"/>
  <c r="K122"/>
  <c r="K121"/>
  <c r="K119"/>
  <c r="K118"/>
  <c r="K117"/>
  <c r="K115"/>
  <c r="K114"/>
  <c r="K113"/>
  <c r="B27" i="11"/>
  <c r="E27"/>
  <c r="K124" i="19" l="1"/>
  <c r="L124" s="1"/>
  <c r="G152" i="21"/>
  <c r="L152" s="1"/>
  <c r="F158"/>
  <c r="K124" i="18"/>
  <c r="L124" s="1"/>
  <c r="K116"/>
  <c r="K120"/>
  <c r="F116" i="20" l="1"/>
  <c r="F110"/>
  <c r="F97"/>
  <c r="K90"/>
  <c r="K89"/>
  <c r="K88"/>
  <c r="K87"/>
  <c r="F91"/>
  <c r="F85"/>
  <c r="K77"/>
  <c r="K76"/>
  <c r="K73"/>
  <c r="F78"/>
  <c r="K71"/>
  <c r="K70"/>
  <c r="K67"/>
  <c r="K116" l="1"/>
  <c r="L116" s="1"/>
  <c r="K91"/>
  <c r="L91" s="1"/>
  <c r="K110"/>
  <c r="L110" s="1"/>
  <c r="K97"/>
  <c r="L97" s="1"/>
  <c r="K85"/>
  <c r="K78"/>
  <c r="L78" l="1"/>
  <c r="K124" i="31"/>
  <c r="K123"/>
  <c r="K122"/>
  <c r="F121"/>
  <c r="K116"/>
  <c r="K115"/>
  <c r="K114"/>
  <c r="F117"/>
  <c r="F133" s="1"/>
  <c r="Q26" i="11" l="1"/>
  <c r="K125" i="31"/>
  <c r="L125" s="1"/>
  <c r="K117"/>
  <c r="K133" l="1"/>
  <c r="L117"/>
  <c r="L121"/>
  <c r="L133" l="1"/>
  <c r="R26" i="11"/>
  <c r="K111" i="18"/>
  <c r="K110"/>
  <c r="K109"/>
  <c r="F47"/>
  <c r="W26" i="11"/>
  <c r="K164" i="31"/>
  <c r="K163"/>
  <c r="K162"/>
  <c r="K161"/>
  <c r="K158"/>
  <c r="K185" i="19"/>
  <c r="K184"/>
  <c r="K183"/>
  <c r="K181"/>
  <c r="K180"/>
  <c r="K179"/>
  <c r="F190" i="17"/>
  <c r="F180"/>
  <c r="K179"/>
  <c r="J197" i="19" l="1"/>
  <c r="M224"/>
  <c r="K186"/>
  <c r="K193" s="1"/>
  <c r="K190" i="17"/>
  <c r="L190" s="1"/>
  <c r="K165" i="31"/>
  <c r="K166" s="1"/>
  <c r="K180" i="17"/>
  <c r="L180" s="1"/>
  <c r="L192" i="19"/>
  <c r="F110" i="31"/>
  <c r="F104"/>
  <c r="F81" i="19"/>
  <c r="F75"/>
  <c r="F57"/>
  <c r="F51"/>
  <c r="F45"/>
  <c r="F61" i="18"/>
  <c r="F70" i="31"/>
  <c r="K72"/>
  <c r="K71"/>
  <c r="K69"/>
  <c r="K68"/>
  <c r="K45"/>
  <c r="K44"/>
  <c r="K43"/>
  <c r="K42"/>
  <c r="K41"/>
  <c r="K39"/>
  <c r="K38"/>
  <c r="K37"/>
  <c r="K36"/>
  <c r="K35"/>
  <c r="K33"/>
  <c r="K32"/>
  <c r="K31"/>
  <c r="K30"/>
  <c r="K29"/>
  <c r="K12"/>
  <c r="K11"/>
  <c r="K10"/>
  <c r="K27" i="19"/>
  <c r="K26"/>
  <c r="F28"/>
  <c r="F29" s="1"/>
  <c r="K21"/>
  <c r="K20"/>
  <c r="K19"/>
  <c r="K18"/>
  <c r="K17"/>
  <c r="H26" i="11" l="1"/>
  <c r="E196" i="19"/>
  <c r="L186"/>
  <c r="L165" i="31"/>
  <c r="X26" i="11"/>
  <c r="K73" i="31"/>
  <c r="L73" s="1"/>
  <c r="L87" i="19"/>
  <c r="K45"/>
  <c r="K28"/>
  <c r="K29" s="1"/>
  <c r="K13" i="31"/>
  <c r="K46"/>
  <c r="L46" s="1"/>
  <c r="K70"/>
  <c r="K110"/>
  <c r="L110" s="1"/>
  <c r="K81" i="19"/>
  <c r="L81" s="1"/>
  <c r="K104" i="31"/>
  <c r="L104" s="1"/>
  <c r="L69" i="19"/>
  <c r="L75"/>
  <c r="L63"/>
  <c r="K57"/>
  <c r="L57" s="1"/>
  <c r="K51"/>
  <c r="K61" i="18"/>
  <c r="B25" i="11"/>
  <c r="I26" l="1"/>
  <c r="L13" i="31"/>
  <c r="N25" i="11"/>
  <c r="O25"/>
  <c r="L28" i="19"/>
  <c r="L51"/>
  <c r="L70" i="31"/>
  <c r="L61" i="18"/>
  <c r="F73" l="1"/>
  <c r="F67"/>
  <c r="F41"/>
  <c r="K40"/>
  <c r="K39"/>
  <c r="F38"/>
  <c r="K31"/>
  <c r="K30"/>
  <c r="K29"/>
  <c r="K28"/>
  <c r="K27"/>
  <c r="K25"/>
  <c r="K24"/>
  <c r="K23"/>
  <c r="K22"/>
  <c r="K21"/>
  <c r="K12"/>
  <c r="K11"/>
  <c r="K10"/>
  <c r="K8"/>
  <c r="K7"/>
  <c r="K6"/>
  <c r="F106" l="1"/>
  <c r="E226" s="1"/>
  <c r="F42"/>
  <c r="K13"/>
  <c r="L13" s="1"/>
  <c r="K73"/>
  <c r="L73" s="1"/>
  <c r="L79"/>
  <c r="K67"/>
  <c r="K41"/>
  <c r="K32"/>
  <c r="K38"/>
  <c r="K106" l="1"/>
  <c r="L41"/>
  <c r="K42"/>
  <c r="I24" i="11" s="1"/>
  <c r="H24"/>
  <c r="L67" i="18"/>
  <c r="L38"/>
  <c r="K141" i="17" l="1"/>
  <c r="K140"/>
  <c r="K139"/>
  <c r="K137"/>
  <c r="K136"/>
  <c r="K135"/>
  <c r="K133"/>
  <c r="K132"/>
  <c r="K131"/>
  <c r="K129"/>
  <c r="K128"/>
  <c r="K127"/>
  <c r="K123"/>
  <c r="K122"/>
  <c r="K121"/>
  <c r="K156"/>
  <c r="K139" i="16"/>
  <c r="K138"/>
  <c r="K137"/>
  <c r="K135"/>
  <c r="K134"/>
  <c r="K133"/>
  <c r="K131"/>
  <c r="K130"/>
  <c r="K129"/>
  <c r="F117" i="17"/>
  <c r="F111"/>
  <c r="F105"/>
  <c r="K98"/>
  <c r="K97"/>
  <c r="K94"/>
  <c r="F99"/>
  <c r="F86"/>
  <c r="F80"/>
  <c r="M8"/>
  <c r="M7"/>
  <c r="M6"/>
  <c r="M11"/>
  <c r="M10"/>
  <c r="F52"/>
  <c r="K51"/>
  <c r="K50"/>
  <c r="K54"/>
  <c r="K53"/>
  <c r="F49"/>
  <c r="K48"/>
  <c r="K47"/>
  <c r="F46"/>
  <c r="F40"/>
  <c r="K39"/>
  <c r="K38"/>
  <c r="K37"/>
  <c r="K36"/>
  <c r="K35"/>
  <c r="K33"/>
  <c r="K32"/>
  <c r="K31"/>
  <c r="K30"/>
  <c r="K29"/>
  <c r="K20"/>
  <c r="K19"/>
  <c r="K18"/>
  <c r="K16"/>
  <c r="K15"/>
  <c r="K14"/>
  <c r="F17"/>
  <c r="K12"/>
  <c r="K11"/>
  <c r="K10"/>
  <c r="K8"/>
  <c r="K7"/>
  <c r="K6"/>
  <c r="F13"/>
  <c r="K158" l="1"/>
  <c r="F118"/>
  <c r="K126"/>
  <c r="K142"/>
  <c r="L142" s="1"/>
  <c r="F65"/>
  <c r="K55"/>
  <c r="L55" s="1"/>
  <c r="K21"/>
  <c r="L21" s="1"/>
  <c r="K140" i="16"/>
  <c r="L140" s="1"/>
  <c r="K117" i="17"/>
  <c r="L117" s="1"/>
  <c r="K111"/>
  <c r="L111" s="1"/>
  <c r="K105"/>
  <c r="L105" s="1"/>
  <c r="K86"/>
  <c r="K34"/>
  <c r="K46"/>
  <c r="F34"/>
  <c r="F41" s="1"/>
  <c r="K52"/>
  <c r="L52" s="1"/>
  <c r="K49"/>
  <c r="L49" s="1"/>
  <c r="K40"/>
  <c r="L40" s="1"/>
  <c r="K17"/>
  <c r="L17" s="1"/>
  <c r="K13"/>
  <c r="L13" s="1"/>
  <c r="L158" l="1"/>
  <c r="K162"/>
  <c r="K41"/>
  <c r="K65"/>
  <c r="L46"/>
  <c r="K168" i="16" l="1"/>
  <c r="K167"/>
  <c r="K166"/>
  <c r="K165"/>
  <c r="K164"/>
  <c r="K162" l="1"/>
  <c r="K161"/>
  <c r="K160"/>
  <c r="K159"/>
  <c r="K158"/>
  <c r="F169"/>
  <c r="F170" s="1"/>
  <c r="F103"/>
  <c r="F92"/>
  <c r="F80"/>
  <c r="F74"/>
  <c r="W22" i="11" l="1"/>
  <c r="K103" i="16"/>
  <c r="L103" s="1"/>
  <c r="K92"/>
  <c r="L86"/>
  <c r="K80"/>
  <c r="L80" s="1"/>
  <c r="K74"/>
  <c r="L74" s="1"/>
  <c r="L92" l="1"/>
  <c r="K475" i="12" l="1"/>
  <c r="K474"/>
  <c r="K473"/>
  <c r="K472"/>
  <c r="K471"/>
  <c r="K470"/>
  <c r="K469"/>
  <c r="K468"/>
  <c r="K467"/>
  <c r="K466"/>
  <c r="K465"/>
  <c r="K460"/>
  <c r="K459"/>
  <c r="K458"/>
  <c r="K457"/>
  <c r="K456"/>
  <c r="K455"/>
  <c r="K454"/>
  <c r="K453"/>
  <c r="F453"/>
  <c r="F461" s="1"/>
  <c r="K451"/>
  <c r="K450"/>
  <c r="K449"/>
  <c r="K448"/>
  <c r="K447"/>
  <c r="K446"/>
  <c r="K445"/>
  <c r="F445"/>
  <c r="F452" s="1"/>
  <c r="F441"/>
  <c r="K440"/>
  <c r="K439"/>
  <c r="K438"/>
  <c r="K437"/>
  <c r="K436"/>
  <c r="K435"/>
  <c r="K434"/>
  <c r="K433"/>
  <c r="F432"/>
  <c r="K431"/>
  <c r="K430"/>
  <c r="K429"/>
  <c r="K428"/>
  <c r="K427"/>
  <c r="K426"/>
  <c r="K425"/>
  <c r="K424"/>
  <c r="F420"/>
  <c r="F421" s="1"/>
  <c r="K419"/>
  <c r="K418"/>
  <c r="K417"/>
  <c r="K416"/>
  <c r="K415"/>
  <c r="K414"/>
  <c r="K413"/>
  <c r="K412"/>
  <c r="K411"/>
  <c r="F407"/>
  <c r="K406"/>
  <c r="K405"/>
  <c r="K404"/>
  <c r="K403"/>
  <c r="K402"/>
  <c r="K401"/>
  <c r="K400"/>
  <c r="F399"/>
  <c r="K398"/>
  <c r="K397"/>
  <c r="K396"/>
  <c r="K395"/>
  <c r="K394"/>
  <c r="K393"/>
  <c r="K392"/>
  <c r="F70" i="16"/>
  <c r="F63"/>
  <c r="F31"/>
  <c r="K31"/>
  <c r="K27"/>
  <c r="K26"/>
  <c r="F28"/>
  <c r="K21"/>
  <c r="K20"/>
  <c r="K19"/>
  <c r="K18"/>
  <c r="K17"/>
  <c r="F35" l="1"/>
  <c r="F462" i="12"/>
  <c r="F442"/>
  <c r="K399"/>
  <c r="K407"/>
  <c r="L407" s="1"/>
  <c r="K420"/>
  <c r="L420" s="1"/>
  <c r="F408"/>
  <c r="K476"/>
  <c r="K28" i="16"/>
  <c r="K35" s="1"/>
  <c r="K432" i="12"/>
  <c r="K452"/>
  <c r="K461"/>
  <c r="L461" s="1"/>
  <c r="K441"/>
  <c r="L441" s="1"/>
  <c r="K70" i="16"/>
  <c r="L70" s="1"/>
  <c r="K63"/>
  <c r="L63" s="1"/>
  <c r="L31"/>
  <c r="F549" i="12" l="1"/>
  <c r="K462"/>
  <c r="L13" i="16"/>
  <c r="L28"/>
  <c r="K442" i="12"/>
  <c r="L442" s="1"/>
  <c r="L399"/>
  <c r="K408"/>
  <c r="K421"/>
  <c r="L421" s="1"/>
  <c r="L462"/>
  <c r="L547"/>
  <c r="L476"/>
  <c r="K477"/>
  <c r="L477" s="1"/>
  <c r="L432"/>
  <c r="L452"/>
  <c r="K549" l="1"/>
  <c r="L549" s="1"/>
  <c r="L408"/>
  <c r="K222" i="15"/>
  <c r="K221"/>
  <c r="K220"/>
  <c r="K219"/>
  <c r="K218"/>
  <c r="F214"/>
  <c r="F225" s="1"/>
  <c r="K127"/>
  <c r="K126"/>
  <c r="K125"/>
  <c r="F77"/>
  <c r="F65"/>
  <c r="F59"/>
  <c r="M11" i="10"/>
  <c r="M10"/>
  <c r="M9"/>
  <c r="M8"/>
  <c r="M7"/>
  <c r="M6"/>
  <c r="K43" i="15"/>
  <c r="K42"/>
  <c r="F44"/>
  <c r="F45" s="1"/>
  <c r="K115" i="14"/>
  <c r="K114"/>
  <c r="K113"/>
  <c r="K111"/>
  <c r="K110"/>
  <c r="K109"/>
  <c r="K107"/>
  <c r="K106"/>
  <c r="K105"/>
  <c r="F73"/>
  <c r="F67"/>
  <c r="F61"/>
  <c r="F55"/>
  <c r="K91"/>
  <c r="F79"/>
  <c r="K224" i="15" l="1"/>
  <c r="L224" s="1"/>
  <c r="J230"/>
  <c r="M244"/>
  <c r="K116" i="14"/>
  <c r="L116" s="1"/>
  <c r="K85"/>
  <c r="L85" s="1"/>
  <c r="K214" i="15"/>
  <c r="K65"/>
  <c r="K77"/>
  <c r="L77" s="1"/>
  <c r="K59"/>
  <c r="K44"/>
  <c r="K45" s="1"/>
  <c r="K67" i="14"/>
  <c r="L67" s="1"/>
  <c r="K55"/>
  <c r="K73"/>
  <c r="L73" s="1"/>
  <c r="K61"/>
  <c r="L61" s="1"/>
  <c r="K79"/>
  <c r="L214" i="15" l="1"/>
  <c r="K225"/>
  <c r="L79" i="14"/>
  <c r="L55"/>
  <c r="L44" i="15"/>
  <c r="L59"/>
  <c r="K39" i="13" l="1"/>
  <c r="K38"/>
  <c r="K40" l="1"/>
  <c r="K144" i="14"/>
  <c r="K137"/>
  <c r="F145"/>
  <c r="F146" s="1"/>
  <c r="K143"/>
  <c r="K142"/>
  <c r="K141"/>
  <c r="K140"/>
  <c r="K139"/>
  <c r="K138"/>
  <c r="K113" i="30"/>
  <c r="K112"/>
  <c r="K111"/>
  <c r="F110"/>
  <c r="K109"/>
  <c r="K108"/>
  <c r="K107"/>
  <c r="K106" i="13"/>
  <c r="K105"/>
  <c r="K104"/>
  <c r="K102"/>
  <c r="K101"/>
  <c r="K100"/>
  <c r="K124"/>
  <c r="F130"/>
  <c r="F131" s="1"/>
  <c r="K129"/>
  <c r="K128"/>
  <c r="K127"/>
  <c r="K126"/>
  <c r="K125"/>
  <c r="K123"/>
  <c r="K122"/>
  <c r="K121"/>
  <c r="K39" i="14"/>
  <c r="K38"/>
  <c r="K33"/>
  <c r="K32"/>
  <c r="K31"/>
  <c r="K30"/>
  <c r="K29"/>
  <c r="K27"/>
  <c r="K26"/>
  <c r="K25"/>
  <c r="K24"/>
  <c r="K23"/>
  <c r="K12"/>
  <c r="K11"/>
  <c r="K10"/>
  <c r="K8"/>
  <c r="K7"/>
  <c r="K6"/>
  <c r="M164" l="1"/>
  <c r="J150"/>
  <c r="J135" i="13"/>
  <c r="M149"/>
  <c r="W18" i="11"/>
  <c r="K40" i="14"/>
  <c r="K13"/>
  <c r="L13" s="1"/>
  <c r="K145"/>
  <c r="K146" s="1"/>
  <c r="K110" i="30"/>
  <c r="K130" i="13"/>
  <c r="L40" i="14" l="1"/>
  <c r="K41"/>
  <c r="L110" i="30"/>
  <c r="L130" i="13"/>
  <c r="K131"/>
  <c r="X18" i="11" l="1"/>
  <c r="F113" i="13"/>
  <c r="F118" s="1"/>
  <c r="K127" i="30" l="1"/>
  <c r="K134" s="1"/>
  <c r="K113" i="13"/>
  <c r="K118" s="1"/>
  <c r="F85" i="30"/>
  <c r="F79"/>
  <c r="F73"/>
  <c r="F67"/>
  <c r="F54" i="13"/>
  <c r="L91" i="30" l="1"/>
  <c r="K60" i="13"/>
  <c r="L103" i="30"/>
  <c r="K85"/>
  <c r="L85" s="1"/>
  <c r="K79"/>
  <c r="L79" s="1"/>
  <c r="K73"/>
  <c r="L73" s="1"/>
  <c r="K67"/>
  <c r="K54" i="13"/>
  <c r="K97" l="1"/>
  <c r="K45" i="30"/>
  <c r="K44"/>
  <c r="F43"/>
  <c r="F40"/>
  <c r="K39"/>
  <c r="K38"/>
  <c r="K27"/>
  <c r="K26"/>
  <c r="K25"/>
  <c r="K24"/>
  <c r="K23"/>
  <c r="K8"/>
  <c r="K7"/>
  <c r="K6"/>
  <c r="K36" i="13"/>
  <c r="K35"/>
  <c r="K33"/>
  <c r="K32"/>
  <c r="F34"/>
  <c r="K27"/>
  <c r="K26"/>
  <c r="K25"/>
  <c r="K24"/>
  <c r="K23"/>
  <c r="K21"/>
  <c r="K20"/>
  <c r="K19"/>
  <c r="K18"/>
  <c r="K17"/>
  <c r="K28" i="30" l="1"/>
  <c r="K35" s="1"/>
  <c r="K9"/>
  <c r="K20" s="1"/>
  <c r="K46"/>
  <c r="L13"/>
  <c r="K28" i="13"/>
  <c r="B19" i="11"/>
  <c r="K37" i="13"/>
  <c r="F37"/>
  <c r="F41" s="1"/>
  <c r="F46" i="30"/>
  <c r="F47" s="1"/>
  <c r="K43"/>
  <c r="K40"/>
  <c r="K34" i="13"/>
  <c r="L28" i="30" l="1"/>
  <c r="K47"/>
  <c r="K41" i="13"/>
  <c r="I18" i="11" s="1"/>
  <c r="L28" i="13"/>
  <c r="L9" i="30"/>
  <c r="C19" i="11"/>
  <c r="H18"/>
  <c r="L37" i="13"/>
  <c r="L40" i="30"/>
  <c r="L43"/>
  <c r="L34" i="13"/>
  <c r="K184" i="10" l="1"/>
  <c r="K183"/>
  <c r="K182"/>
  <c r="K180"/>
  <c r="K179"/>
  <c r="K178"/>
  <c r="K168"/>
  <c r="K167"/>
  <c r="K166"/>
  <c r="F96"/>
  <c r="F90"/>
  <c r="K186" l="1"/>
  <c r="L186" s="1"/>
  <c r="L102"/>
  <c r="K90"/>
  <c r="L90" s="1"/>
  <c r="K96"/>
  <c r="L96" s="1"/>
  <c r="K65" l="1"/>
  <c r="K64"/>
  <c r="K62"/>
  <c r="K61"/>
  <c r="F63"/>
  <c r="F60"/>
  <c r="K29"/>
  <c r="K28"/>
  <c r="K27"/>
  <c r="K26"/>
  <c r="K25"/>
  <c r="K89" i="35"/>
  <c r="K88"/>
  <c r="K86"/>
  <c r="K85"/>
  <c r="K83"/>
  <c r="K82"/>
  <c r="F87"/>
  <c r="F84"/>
  <c r="K59"/>
  <c r="K58"/>
  <c r="K57"/>
  <c r="K56"/>
  <c r="K55"/>
  <c r="K8"/>
  <c r="K7"/>
  <c r="K6"/>
  <c r="K30" i="10" l="1"/>
  <c r="L30" s="1"/>
  <c r="F106" i="35"/>
  <c r="F70" i="10"/>
  <c r="K66"/>
  <c r="L66" s="1"/>
  <c r="K90" i="35"/>
  <c r="L90" s="1"/>
  <c r="K60"/>
  <c r="K79" s="1"/>
  <c r="B17" i="11"/>
  <c r="K63" i="10"/>
  <c r="L63" s="1"/>
  <c r="K60"/>
  <c r="K87" i="35"/>
  <c r="K84"/>
  <c r="K13"/>
  <c r="F13"/>
  <c r="K70" i="10" l="1"/>
  <c r="C17" i="11"/>
  <c r="K106" i="35"/>
  <c r="L60"/>
  <c r="L60" i="10"/>
  <c r="L105" i="35"/>
  <c r="L84"/>
  <c r="L87"/>
  <c r="L13"/>
  <c r="K141" i="7" l="1"/>
  <c r="K144" s="1"/>
  <c r="K166" i="35"/>
  <c r="K165"/>
  <c r="K164"/>
  <c r="K162"/>
  <c r="K161"/>
  <c r="K147" i="7"/>
  <c r="K146"/>
  <c r="K145"/>
  <c r="F128" i="35"/>
  <c r="L118" i="8"/>
  <c r="F158" i="35" l="1"/>
  <c r="E260" s="1"/>
  <c r="K125" i="8"/>
  <c r="K126" s="1"/>
  <c r="F125"/>
  <c r="F126" s="1"/>
  <c r="K128" i="35"/>
  <c r="K158" s="1"/>
  <c r="L157"/>
  <c r="L125" i="8" l="1"/>
  <c r="K83" l="1"/>
  <c r="K82"/>
  <c r="K81"/>
  <c r="K79"/>
  <c r="K78"/>
  <c r="K77"/>
  <c r="F43"/>
  <c r="F44" s="1"/>
  <c r="K15" i="11" s="1"/>
  <c r="K36" i="8"/>
  <c r="K35"/>
  <c r="F34"/>
  <c r="K33"/>
  <c r="K32"/>
  <c r="K27"/>
  <c r="K26"/>
  <c r="K25"/>
  <c r="K24"/>
  <c r="K23"/>
  <c r="K18"/>
  <c r="K17"/>
  <c r="K16"/>
  <c r="F19"/>
  <c r="F20" s="1"/>
  <c r="K8"/>
  <c r="K7"/>
  <c r="K6"/>
  <c r="K86" i="5"/>
  <c r="K85"/>
  <c r="K84"/>
  <c r="K82"/>
  <c r="K81"/>
  <c r="K80"/>
  <c r="K86" i="8" l="1"/>
  <c r="K9"/>
  <c r="K34"/>
  <c r="F37"/>
  <c r="F38" s="1"/>
  <c r="K37"/>
  <c r="K19"/>
  <c r="L19" s="1"/>
  <c r="L15"/>
  <c r="L86" l="1"/>
  <c r="K38"/>
  <c r="K20"/>
  <c r="L34"/>
  <c r="L9"/>
  <c r="L37"/>
  <c r="F92" i="7" l="1"/>
  <c r="K168" l="1"/>
  <c r="K173" s="1"/>
  <c r="K92"/>
  <c r="L92" s="1"/>
  <c r="K85"/>
  <c r="L168" l="1"/>
  <c r="F85"/>
  <c r="L85" s="1"/>
  <c r="F79" l="1"/>
  <c r="F73"/>
  <c r="K73" l="1"/>
  <c r="L73" s="1"/>
  <c r="K79"/>
  <c r="L79" s="1"/>
  <c r="F69" i="5" l="1"/>
  <c r="F76"/>
  <c r="K63" l="1"/>
  <c r="K76"/>
  <c r="L76" s="1"/>
  <c r="K69"/>
  <c r="L69" s="1"/>
  <c r="F63"/>
  <c r="L63" l="1"/>
  <c r="F43" i="7" l="1"/>
  <c r="F46"/>
  <c r="K45"/>
  <c r="K44"/>
  <c r="K42"/>
  <c r="K41"/>
  <c r="K39"/>
  <c r="K38"/>
  <c r="F40"/>
  <c r="K33"/>
  <c r="K32"/>
  <c r="K31"/>
  <c r="K30"/>
  <c r="K29"/>
  <c r="K27"/>
  <c r="K26"/>
  <c r="K25"/>
  <c r="K24"/>
  <c r="K23"/>
  <c r="K12"/>
  <c r="K11"/>
  <c r="K10"/>
  <c r="K8"/>
  <c r="K7"/>
  <c r="K6"/>
  <c r="F35" i="5"/>
  <c r="K40"/>
  <c r="K39"/>
  <c r="F41"/>
  <c r="K37"/>
  <c r="K36"/>
  <c r="F38"/>
  <c r="K34"/>
  <c r="K33"/>
  <c r="K31"/>
  <c r="K30"/>
  <c r="F32"/>
  <c r="K25"/>
  <c r="K24"/>
  <c r="K23"/>
  <c r="K22"/>
  <c r="K21"/>
  <c r="K19"/>
  <c r="K18"/>
  <c r="K17"/>
  <c r="K16"/>
  <c r="K15"/>
  <c r="K8"/>
  <c r="K7"/>
  <c r="K6"/>
  <c r="F47" i="7" l="1"/>
  <c r="F42" i="5"/>
  <c r="K11"/>
  <c r="K13" i="7"/>
  <c r="L13" s="1"/>
  <c r="K35" i="5"/>
  <c r="K40" i="7"/>
  <c r="K43"/>
  <c r="K46"/>
  <c r="K32" i="5"/>
  <c r="K38"/>
  <c r="K41"/>
  <c r="L41" s="1"/>
  <c r="K47" i="7" l="1"/>
  <c r="K42" i="5"/>
  <c r="L11"/>
  <c r="K12"/>
  <c r="L35"/>
  <c r="L32"/>
  <c r="L38"/>
  <c r="C13" i="11" l="1"/>
  <c r="L12" i="5"/>
  <c r="F119"/>
  <c r="F120" s="1"/>
  <c r="K118"/>
  <c r="K117"/>
  <c r="K116"/>
  <c r="K115"/>
  <c r="K113"/>
  <c r="F127" i="29"/>
  <c r="K155" i="4"/>
  <c r="K154"/>
  <c r="K153"/>
  <c r="K80" i="29"/>
  <c r="K79"/>
  <c r="K78"/>
  <c r="K27"/>
  <c r="K26"/>
  <c r="K21"/>
  <c r="K20"/>
  <c r="K19"/>
  <c r="K18"/>
  <c r="K17"/>
  <c r="K103" l="1"/>
  <c r="K116" s="1"/>
  <c r="K28"/>
  <c r="K35" s="1"/>
  <c r="K22"/>
  <c r="K23" s="1"/>
  <c r="K119" i="5"/>
  <c r="K120" s="1"/>
  <c r="L28" i="29" l="1"/>
  <c r="L22"/>
  <c r="L103"/>
  <c r="L119" i="5"/>
  <c r="F74" i="29" l="1"/>
  <c r="F68"/>
  <c r="F84" i="3"/>
  <c r="L62" i="29" l="1"/>
  <c r="K68"/>
  <c r="L68" s="1"/>
  <c r="K74"/>
  <c r="L74" s="1"/>
  <c r="L84" i="3"/>
  <c r="K56" i="29" l="1"/>
  <c r="L56" l="1"/>
  <c r="K45" i="4" l="1"/>
  <c r="K46"/>
  <c r="F47"/>
  <c r="F48" s="1"/>
  <c r="K38"/>
  <c r="K37"/>
  <c r="K35"/>
  <c r="K34"/>
  <c r="K29"/>
  <c r="K28"/>
  <c r="K27"/>
  <c r="K26"/>
  <c r="K25"/>
  <c r="K23"/>
  <c r="K22"/>
  <c r="K21"/>
  <c r="K20"/>
  <c r="K19"/>
  <c r="K8"/>
  <c r="K7"/>
  <c r="K6"/>
  <c r="K36" l="1"/>
  <c r="K47"/>
  <c r="F40"/>
  <c r="F41" s="1"/>
  <c r="K40"/>
  <c r="K24"/>
  <c r="K41" l="1"/>
  <c r="I11" i="11" s="1"/>
  <c r="H11"/>
  <c r="L47" i="4"/>
  <c r="K48"/>
  <c r="L36"/>
  <c r="K36" i="3" l="1"/>
  <c r="K35"/>
  <c r="K33"/>
  <c r="K32"/>
  <c r="F34"/>
  <c r="F53" s="1"/>
  <c r="K21"/>
  <c r="K20"/>
  <c r="K19"/>
  <c r="K18"/>
  <c r="K17"/>
  <c r="K22" l="1"/>
  <c r="K37"/>
  <c r="L37" s="1"/>
  <c r="L52"/>
  <c r="K34"/>
  <c r="K53" l="1"/>
  <c r="L22"/>
  <c r="K29"/>
  <c r="L164"/>
  <c r="L34"/>
  <c r="K127" l="1"/>
  <c r="K126"/>
  <c r="K125"/>
  <c r="K131"/>
  <c r="K130"/>
  <c r="K129"/>
  <c r="F78"/>
  <c r="F72"/>
  <c r="F122" l="1"/>
  <c r="E199" s="1"/>
  <c r="L281" i="34"/>
  <c r="K78" i="3"/>
  <c r="L78" s="1"/>
  <c r="K72"/>
  <c r="K122" l="1"/>
  <c r="L72"/>
  <c r="L244" i="34" l="1"/>
  <c r="K175"/>
  <c r="K174"/>
  <c r="K173"/>
  <c r="K171"/>
  <c r="K170"/>
  <c r="K169"/>
  <c r="K167"/>
  <c r="K166"/>
  <c r="K165"/>
  <c r="K9" i="11"/>
  <c r="K143" i="1"/>
  <c r="K142"/>
  <c r="K141"/>
  <c r="K176" i="34" l="1"/>
  <c r="L176" s="1"/>
  <c r="L9" i="11" l="1"/>
  <c r="K97" i="34" l="1"/>
  <c r="K96"/>
  <c r="K61"/>
  <c r="K60"/>
  <c r="K59"/>
  <c r="K58"/>
  <c r="K57"/>
  <c r="K8"/>
  <c r="K7"/>
  <c r="K6"/>
  <c r="K27" i="1"/>
  <c r="K26"/>
  <c r="K21"/>
  <c r="K20"/>
  <c r="K19"/>
  <c r="K18"/>
  <c r="K17"/>
  <c r="K98" i="34" l="1"/>
  <c r="K105" s="1"/>
  <c r="K22" i="1"/>
  <c r="K23" s="1"/>
  <c r="K28"/>
  <c r="K29" s="1"/>
  <c r="L104" i="34"/>
  <c r="K62"/>
  <c r="K93" s="1"/>
  <c r="E9" i="11"/>
  <c r="F9" i="34"/>
  <c r="F54" s="1"/>
  <c r="K9"/>
  <c r="K54" s="1"/>
  <c r="H8" i="11"/>
  <c r="L98" i="34" l="1"/>
  <c r="L62"/>
  <c r="C9" i="11"/>
  <c r="L9" i="34"/>
  <c r="F9" i="11" l="1"/>
  <c r="L93" i="34"/>
  <c r="F157"/>
  <c r="F151"/>
  <c r="F145"/>
  <c r="F137"/>
  <c r="F158" l="1"/>
  <c r="E285" s="1"/>
  <c r="K157"/>
  <c r="K137"/>
  <c r="K151"/>
  <c r="L151" s="1"/>
  <c r="K145"/>
  <c r="L145" s="1"/>
  <c r="K158" l="1"/>
  <c r="K182" i="1"/>
  <c r="K181"/>
  <c r="K180"/>
  <c r="K186"/>
  <c r="K185"/>
  <c r="K184"/>
  <c r="K183"/>
  <c r="K187" l="1"/>
  <c r="L141" i="12"/>
  <c r="K12" i="1"/>
  <c r="K11"/>
  <c r="K10"/>
  <c r="K8"/>
  <c r="K7"/>
  <c r="K6"/>
  <c r="K161"/>
  <c r="K176" s="1"/>
  <c r="F161"/>
  <c r="F176" s="1"/>
  <c r="F122" i="12"/>
  <c r="F129" s="1"/>
  <c r="K107"/>
  <c r="K106"/>
  <c r="K105"/>
  <c r="K103"/>
  <c r="K102"/>
  <c r="K101"/>
  <c r="F61" i="1"/>
  <c r="F55"/>
  <c r="L55" s="1"/>
  <c r="L187" l="1"/>
  <c r="K188"/>
  <c r="K67"/>
  <c r="L67" s="1"/>
  <c r="K13"/>
  <c r="F9"/>
  <c r="F14" s="1"/>
  <c r="K9"/>
  <c r="K61"/>
  <c r="L137"/>
  <c r="K14" l="1"/>
  <c r="L9"/>
  <c r="L61"/>
  <c r="C8" i="11" l="1"/>
  <c r="B8"/>
  <c r="F91" i="12"/>
  <c r="F85"/>
  <c r="F77"/>
  <c r="F71"/>
  <c r="K71" l="1"/>
  <c r="L71" s="1"/>
  <c r="K77"/>
  <c r="L77" s="1"/>
  <c r="K91"/>
  <c r="L91" s="1"/>
  <c r="K85"/>
  <c r="L85" s="1"/>
  <c r="L41" l="1"/>
  <c r="F215" i="36" l="1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F197"/>
  <c r="F216" s="1"/>
  <c r="W37" i="11" s="1"/>
  <c r="K196" i="36"/>
  <c r="K195"/>
  <c r="K194"/>
  <c r="K193"/>
  <c r="K192"/>
  <c r="K191"/>
  <c r="K190"/>
  <c r="K189"/>
  <c r="K188"/>
  <c r="K187"/>
  <c r="K186"/>
  <c r="K185"/>
  <c r="F162"/>
  <c r="F159"/>
  <c r="F132"/>
  <c r="F128"/>
  <c r="F124"/>
  <c r="F120"/>
  <c r="F69"/>
  <c r="F63"/>
  <c r="K58"/>
  <c r="F53"/>
  <c r="F54" s="1"/>
  <c r="K52"/>
  <c r="K51"/>
  <c r="F21"/>
  <c r="F22" s="1"/>
  <c r="E37" i="11" s="1"/>
  <c r="F11" i="36"/>
  <c r="F12" s="1"/>
  <c r="B37" i="11" s="1"/>
  <c r="F243" i="27"/>
  <c r="F261" s="1"/>
  <c r="F219"/>
  <c r="F215"/>
  <c r="F211"/>
  <c r="F177"/>
  <c r="F173"/>
  <c r="N36" i="11"/>
  <c r="F91" i="27"/>
  <c r="F92" s="1"/>
  <c r="K90"/>
  <c r="K89"/>
  <c r="F38"/>
  <c r="F32"/>
  <c r="F9"/>
  <c r="F158" i="26"/>
  <c r="F166" s="1"/>
  <c r="L101"/>
  <c r="E169"/>
  <c r="F69"/>
  <c r="K35" i="11" s="1"/>
  <c r="K67" i="26"/>
  <c r="K68" s="1"/>
  <c r="F9"/>
  <c r="F30" s="1"/>
  <c r="F168" i="25"/>
  <c r="F173" s="1"/>
  <c r="F137"/>
  <c r="F150" s="1"/>
  <c r="F90"/>
  <c r="F84"/>
  <c r="K72"/>
  <c r="K71"/>
  <c r="H34" i="11"/>
  <c r="F99" i="33"/>
  <c r="F95"/>
  <c r="F91"/>
  <c r="F54"/>
  <c r="F48"/>
  <c r="H33" i="11"/>
  <c r="F22" i="33"/>
  <c r="F23" s="1"/>
  <c r="F9"/>
  <c r="F14" s="1"/>
  <c r="K9"/>
  <c r="K14" s="1"/>
  <c r="F222" i="32"/>
  <c r="F207"/>
  <c r="F190"/>
  <c r="F187"/>
  <c r="F184"/>
  <c r="F181"/>
  <c r="F170"/>
  <c r="F166"/>
  <c r="F162"/>
  <c r="F69"/>
  <c r="F151" s="1"/>
  <c r="N32" i="11" s="1"/>
  <c r="F59" i="32"/>
  <c r="F60" s="1"/>
  <c r="K58"/>
  <c r="K59" s="1"/>
  <c r="K57"/>
  <c r="H32" i="11"/>
  <c r="F32" i="32"/>
  <c r="F26"/>
  <c r="F9"/>
  <c r="F18" s="1"/>
  <c r="B32" i="11" s="1"/>
  <c r="W31"/>
  <c r="F198" i="24"/>
  <c r="F202" s="1"/>
  <c r="F187"/>
  <c r="F183"/>
  <c r="F179"/>
  <c r="F83"/>
  <c r="K31" i="11" s="1"/>
  <c r="K81" i="24"/>
  <c r="K82" s="1"/>
  <c r="F28"/>
  <c r="F22"/>
  <c r="B31" i="11"/>
  <c r="F191" i="23"/>
  <c r="K191"/>
  <c r="F173"/>
  <c r="F182" s="1"/>
  <c r="F166"/>
  <c r="F162"/>
  <c r="F158"/>
  <c r="F93"/>
  <c r="F152" s="1"/>
  <c r="H30" i="11"/>
  <c r="F60" i="23"/>
  <c r="F54"/>
  <c r="K54"/>
  <c r="F48"/>
  <c r="B30" i="11"/>
  <c r="W29"/>
  <c r="K243" i="22"/>
  <c r="K248" s="1"/>
  <c r="L248" s="1"/>
  <c r="K231"/>
  <c r="F210"/>
  <c r="F207"/>
  <c r="F203"/>
  <c r="F199"/>
  <c r="K199"/>
  <c r="F97"/>
  <c r="F98" s="1"/>
  <c r="K96"/>
  <c r="K95"/>
  <c r="H29" i="11"/>
  <c r="F55" i="22"/>
  <c r="F49"/>
  <c r="F130" i="21"/>
  <c r="F138" s="1"/>
  <c r="F124"/>
  <c r="F120"/>
  <c r="F89"/>
  <c r="F83"/>
  <c r="F72"/>
  <c r="K70"/>
  <c r="K69"/>
  <c r="K68"/>
  <c r="H28" i="11"/>
  <c r="E28"/>
  <c r="F162" i="20"/>
  <c r="F191" s="1"/>
  <c r="F142"/>
  <c r="F138"/>
  <c r="F131"/>
  <c r="F127"/>
  <c r="F123"/>
  <c r="F72"/>
  <c r="K72"/>
  <c r="F63"/>
  <c r="F64" s="1"/>
  <c r="K62"/>
  <c r="K61"/>
  <c r="H27" i="11"/>
  <c r="F91" i="31"/>
  <c r="F111" s="1"/>
  <c r="E169" s="1"/>
  <c r="F82"/>
  <c r="F83" s="1"/>
  <c r="K81"/>
  <c r="K80"/>
  <c r="F40"/>
  <c r="F34"/>
  <c r="F9"/>
  <c r="F26" s="1"/>
  <c r="F120" i="19"/>
  <c r="F116"/>
  <c r="F112"/>
  <c r="F107"/>
  <c r="F35"/>
  <c r="K25" i="11" s="1"/>
  <c r="K33" i="19"/>
  <c r="K34" s="1"/>
  <c r="H25" i="11"/>
  <c r="F22" i="19"/>
  <c r="F23" s="1"/>
  <c r="F120" i="18"/>
  <c r="F116"/>
  <c r="F112"/>
  <c r="N24" i="11"/>
  <c r="F48" i="18"/>
  <c r="K45"/>
  <c r="K47" s="1"/>
  <c r="F32"/>
  <c r="F26"/>
  <c r="F9"/>
  <c r="F18" s="1"/>
  <c r="K9"/>
  <c r="K18" s="1"/>
  <c r="F171" i="17"/>
  <c r="F191" s="1"/>
  <c r="E194" s="1"/>
  <c r="F138"/>
  <c r="F134"/>
  <c r="F130"/>
  <c r="K93"/>
  <c r="F71"/>
  <c r="F72" s="1"/>
  <c r="K70"/>
  <c r="K69"/>
  <c r="K68"/>
  <c r="H23" i="11"/>
  <c r="E23"/>
  <c r="F9" i="17"/>
  <c r="F26" s="1"/>
  <c r="K163" i="16"/>
  <c r="K169" s="1"/>
  <c r="K170" s="1"/>
  <c r="F136"/>
  <c r="F132"/>
  <c r="F128"/>
  <c r="F50"/>
  <c r="F122" s="1"/>
  <c r="E173" s="1"/>
  <c r="F41"/>
  <c r="F42" s="1"/>
  <c r="K40"/>
  <c r="K39"/>
  <c r="K38"/>
  <c r="H22" i="11"/>
  <c r="F22" i="16"/>
  <c r="F23" s="1"/>
  <c r="B22" i="11"/>
  <c r="L204" i="15"/>
  <c r="F128"/>
  <c r="F161" s="1"/>
  <c r="F51"/>
  <c r="K21" i="11" s="1"/>
  <c r="H21"/>
  <c r="W20"/>
  <c r="F112" i="14"/>
  <c r="F108"/>
  <c r="F121" s="1"/>
  <c r="F97"/>
  <c r="F98" s="1"/>
  <c r="E149" s="1"/>
  <c r="F47"/>
  <c r="K20" i="11" s="1"/>
  <c r="K45" i="14"/>
  <c r="K46" s="1"/>
  <c r="H20" i="11"/>
  <c r="F34" i="14"/>
  <c r="F28"/>
  <c r="F35" s="1"/>
  <c r="F9"/>
  <c r="F20" s="1"/>
  <c r="T19" i="11"/>
  <c r="F114" i="30"/>
  <c r="F115" s="1"/>
  <c r="F61"/>
  <c r="F104" s="1"/>
  <c r="E171" s="1"/>
  <c r="F53"/>
  <c r="K19" i="11" s="1"/>
  <c r="K51" i="30"/>
  <c r="K52" s="1"/>
  <c r="H19" i="11"/>
  <c r="F107" i="13"/>
  <c r="F103"/>
  <c r="F60"/>
  <c r="F97" s="1"/>
  <c r="E134" s="1"/>
  <c r="F22"/>
  <c r="F29" s="1"/>
  <c r="K22"/>
  <c r="K29" s="1"/>
  <c r="B18" i="11"/>
  <c r="F181" i="10"/>
  <c r="F173"/>
  <c r="F169"/>
  <c r="F84"/>
  <c r="F163" s="1"/>
  <c r="F75"/>
  <c r="F76" s="1"/>
  <c r="K17" i="11" s="1"/>
  <c r="M17" s="1"/>
  <c r="K74" i="10"/>
  <c r="K73"/>
  <c r="H17" i="11"/>
  <c r="F204" i="35"/>
  <c r="F216" s="1"/>
  <c r="K170"/>
  <c r="K169"/>
  <c r="K168"/>
  <c r="K171" s="1"/>
  <c r="L171" s="1"/>
  <c r="F167"/>
  <c r="F163"/>
  <c r="F112"/>
  <c r="K16" i="11" s="1"/>
  <c r="K109" i="35"/>
  <c r="K111" s="1"/>
  <c r="H16" i="11"/>
  <c r="F9" i="35"/>
  <c r="F52" s="1"/>
  <c r="F92" i="8"/>
  <c r="F102" s="1"/>
  <c r="F80"/>
  <c r="F87" s="1"/>
  <c r="F52"/>
  <c r="K52"/>
  <c r="K74" s="1"/>
  <c r="K43"/>
  <c r="K44" s="1"/>
  <c r="L15" i="11" s="1"/>
  <c r="H15"/>
  <c r="F28" i="8"/>
  <c r="F29" s="1"/>
  <c r="B15" i="11"/>
  <c r="F148" i="7"/>
  <c r="F162" s="1"/>
  <c r="F61"/>
  <c r="F138" s="1"/>
  <c r="E187" s="1"/>
  <c r="H14" i="11"/>
  <c r="F34" i="7"/>
  <c r="F28"/>
  <c r="F35" s="1"/>
  <c r="F9"/>
  <c r="F20" s="1"/>
  <c r="K9"/>
  <c r="K20" s="1"/>
  <c r="W13" i="11"/>
  <c r="F87" i="5"/>
  <c r="F83"/>
  <c r="F57"/>
  <c r="F77" s="1"/>
  <c r="E123" s="1"/>
  <c r="F48"/>
  <c r="F49" s="1"/>
  <c r="K47"/>
  <c r="K46"/>
  <c r="K45"/>
  <c r="H13" i="11"/>
  <c r="F26" i="5"/>
  <c r="F20"/>
  <c r="F89" i="29"/>
  <c r="F81"/>
  <c r="F98" s="1"/>
  <c r="F50"/>
  <c r="E130" s="1"/>
  <c r="F41"/>
  <c r="F42" s="1"/>
  <c r="K40"/>
  <c r="K39"/>
  <c r="K38"/>
  <c r="H12" i="11"/>
  <c r="T11"/>
  <c r="F156" i="4"/>
  <c r="F169" s="1"/>
  <c r="F57"/>
  <c r="E210" s="1"/>
  <c r="K44"/>
  <c r="L48" s="1"/>
  <c r="F30"/>
  <c r="K30"/>
  <c r="K31" s="1"/>
  <c r="F24"/>
  <c r="F31" s="1"/>
  <c r="F9"/>
  <c r="F16" s="1"/>
  <c r="K9"/>
  <c r="K16" s="1"/>
  <c r="W10" i="11"/>
  <c r="T10"/>
  <c r="F132" i="3"/>
  <c r="F128"/>
  <c r="F57"/>
  <c r="K56"/>
  <c r="K57" s="1"/>
  <c r="H10" i="11"/>
  <c r="B10"/>
  <c r="W9"/>
  <c r="F172" i="34"/>
  <c r="F168"/>
  <c r="F164"/>
  <c r="H9" i="11"/>
  <c r="T8"/>
  <c r="F152" i="1"/>
  <c r="F148"/>
  <c r="F144"/>
  <c r="F153" s="1"/>
  <c r="F49"/>
  <c r="F42"/>
  <c r="F33"/>
  <c r="F34" s="1"/>
  <c r="K32"/>
  <c r="K33" s="1"/>
  <c r="K34" s="1"/>
  <c r="E8" i="11"/>
  <c r="W35" l="1"/>
  <c r="F127" i="25"/>
  <c r="E232" s="1"/>
  <c r="F100" i="33"/>
  <c r="Q33" i="11" s="1"/>
  <c r="F85" i="33"/>
  <c r="E163" s="1"/>
  <c r="F133" i="19"/>
  <c r="Q25" i="11" s="1"/>
  <c r="F65" i="31"/>
  <c r="F148" i="20"/>
  <c r="L178" i="19"/>
  <c r="F151" i="17"/>
  <c r="Q23" i="11" s="1"/>
  <c r="F153" i="18"/>
  <c r="Q24" i="11" s="1"/>
  <c r="F33" i="18"/>
  <c r="E24" i="11" s="1"/>
  <c r="J195" i="17"/>
  <c r="I195"/>
  <c r="I227" i="18" s="1"/>
  <c r="I197" i="19" s="1"/>
  <c r="I170" i="31" s="1"/>
  <c r="I164" i="33" s="1"/>
  <c r="I233" i="25" s="1"/>
  <c r="I170" i="26" s="1"/>
  <c r="M220" i="17"/>
  <c r="K80"/>
  <c r="F147" i="16"/>
  <c r="L168" i="30"/>
  <c r="L167"/>
  <c r="E229" i="15"/>
  <c r="F108" i="13"/>
  <c r="F187" i="10"/>
  <c r="Q17" i="11" s="1"/>
  <c r="E242" i="10"/>
  <c r="F74" i="8"/>
  <c r="E129" s="1"/>
  <c r="F196" i="35"/>
  <c r="F88" i="5"/>
  <c r="Q13" i="11" s="1"/>
  <c r="F27" i="5"/>
  <c r="E13" i="11" s="1"/>
  <c r="F141" i="3"/>
  <c r="Q10" i="11" s="1"/>
  <c r="F197" i="34"/>
  <c r="F138" i="1"/>
  <c r="E191" s="1"/>
  <c r="F39" i="32"/>
  <c r="F188" i="24"/>
  <c r="F47"/>
  <c r="E31" i="11" s="1"/>
  <c r="K209" i="23"/>
  <c r="X30" i="11" s="1"/>
  <c r="F209" i="23"/>
  <c r="F132" i="20"/>
  <c r="K117"/>
  <c r="O27" i="11" s="1"/>
  <c r="F117" i="20"/>
  <c r="N27" i="11" s="1"/>
  <c r="N14"/>
  <c r="E11"/>
  <c r="F57" i="27"/>
  <c r="E36" i="11" s="1"/>
  <c r="F220" i="27"/>
  <c r="F16"/>
  <c r="B36" i="11" s="1"/>
  <c r="F178" i="27"/>
  <c r="O35" i="11"/>
  <c r="T34"/>
  <c r="B35"/>
  <c r="L25" i="25"/>
  <c r="E33" i="11"/>
  <c r="B33"/>
  <c r="E32"/>
  <c r="F197" i="32"/>
  <c r="T32" i="11" s="1"/>
  <c r="F171" i="32"/>
  <c r="Q32" i="11" s="1"/>
  <c r="F223" i="32"/>
  <c r="L196"/>
  <c r="F167" i="23"/>
  <c r="F74" i="22"/>
  <c r="F215"/>
  <c r="Q29" i="11" s="1"/>
  <c r="K233" i="22"/>
  <c r="K9" i="32"/>
  <c r="K32"/>
  <c r="L32" s="1"/>
  <c r="L53"/>
  <c r="L59"/>
  <c r="K60"/>
  <c r="L60" s="1"/>
  <c r="T30" i="11"/>
  <c r="L176" i="23"/>
  <c r="F125" i="21"/>
  <c r="F114"/>
  <c r="N28" i="11" s="1"/>
  <c r="E29"/>
  <c r="F61" i="23"/>
  <c r="E30" i="11" s="1"/>
  <c r="E26"/>
  <c r="E25"/>
  <c r="B26"/>
  <c r="C24"/>
  <c r="B24"/>
  <c r="E21"/>
  <c r="E20"/>
  <c r="Q18"/>
  <c r="E19"/>
  <c r="T15"/>
  <c r="Q15"/>
  <c r="T17"/>
  <c r="K39"/>
  <c r="B16"/>
  <c r="Q16"/>
  <c r="Q12"/>
  <c r="Q11"/>
  <c r="F11"/>
  <c r="C11"/>
  <c r="T28"/>
  <c r="Q28"/>
  <c r="T36"/>
  <c r="T35"/>
  <c r="C33"/>
  <c r="N30"/>
  <c r="Q27"/>
  <c r="T21"/>
  <c r="W16"/>
  <c r="O15"/>
  <c r="Q14"/>
  <c r="T9"/>
  <c r="F179" i="36"/>
  <c r="T37" i="11" s="1"/>
  <c r="F113" i="36"/>
  <c r="N37" i="11" s="1"/>
  <c r="F143" i="36"/>
  <c r="Q37" i="11" s="1"/>
  <c r="W36"/>
  <c r="Q36"/>
  <c r="L178" i="36"/>
  <c r="K63"/>
  <c r="K120"/>
  <c r="L120" s="1"/>
  <c r="L112"/>
  <c r="K215"/>
  <c r="L215" s="1"/>
  <c r="K197"/>
  <c r="K53"/>
  <c r="K124"/>
  <c r="L124" s="1"/>
  <c r="K128"/>
  <c r="L128" s="1"/>
  <c r="K132"/>
  <c r="L132" s="1"/>
  <c r="L142"/>
  <c r="K162"/>
  <c r="L162" s="1"/>
  <c r="K11"/>
  <c r="K12" s="1"/>
  <c r="K21"/>
  <c r="K69"/>
  <c r="L69" s="1"/>
  <c r="K159"/>
  <c r="K179" s="1"/>
  <c r="U37" i="11" s="1"/>
  <c r="L157" i="36"/>
  <c r="L260" i="27"/>
  <c r="K9"/>
  <c r="K16" s="1"/>
  <c r="K38"/>
  <c r="L38" s="1"/>
  <c r="L211"/>
  <c r="K215"/>
  <c r="K243"/>
  <c r="K261" s="1"/>
  <c r="K32"/>
  <c r="K57" s="1"/>
  <c r="K91"/>
  <c r="K173"/>
  <c r="K177"/>
  <c r="L177" s="1"/>
  <c r="O36" i="11"/>
  <c r="K219" i="27"/>
  <c r="L219" s="1"/>
  <c r="O10" i="11"/>
  <c r="T31"/>
  <c r="N35"/>
  <c r="Q35"/>
  <c r="E35"/>
  <c r="L29" i="26"/>
  <c r="L137"/>
  <c r="K9"/>
  <c r="K30" s="1"/>
  <c r="L63"/>
  <c r="K158"/>
  <c r="K166" s="1"/>
  <c r="K73" i="25"/>
  <c r="L73" s="1"/>
  <c r="Q34" i="11"/>
  <c r="K9" i="25"/>
  <c r="K26" s="1"/>
  <c r="L137"/>
  <c r="L228"/>
  <c r="K84"/>
  <c r="L58"/>
  <c r="K90"/>
  <c r="K155"/>
  <c r="K173" s="1"/>
  <c r="L168"/>
  <c r="L158"/>
  <c r="T33" i="11"/>
  <c r="Q31"/>
  <c r="W33"/>
  <c r="L54" i="33"/>
  <c r="K91"/>
  <c r="K48"/>
  <c r="K22"/>
  <c r="K95"/>
  <c r="L95" s="1"/>
  <c r="K99"/>
  <c r="L99" s="1"/>
  <c r="K69" i="32"/>
  <c r="K151" s="1"/>
  <c r="O32" i="11" s="1"/>
  <c r="L158" i="32"/>
  <c r="K162"/>
  <c r="K181"/>
  <c r="L181" s="1"/>
  <c r="K184"/>
  <c r="L184" s="1"/>
  <c r="K222"/>
  <c r="L17"/>
  <c r="K26"/>
  <c r="L38"/>
  <c r="K207"/>
  <c r="K166"/>
  <c r="L166" s="1"/>
  <c r="K170"/>
  <c r="K177"/>
  <c r="K187"/>
  <c r="L187" s="1"/>
  <c r="K190"/>
  <c r="L190" s="1"/>
  <c r="K198" i="24"/>
  <c r="K14"/>
  <c r="C31" i="11" s="1"/>
  <c r="K28" i="24"/>
  <c r="X31" i="11"/>
  <c r="K22" i="24"/>
  <c r="L46"/>
  <c r="K179"/>
  <c r="K183"/>
  <c r="L183" s="1"/>
  <c r="K187"/>
  <c r="L187" s="1"/>
  <c r="L195"/>
  <c r="Q30" i="11"/>
  <c r="L54" i="23"/>
  <c r="K158"/>
  <c r="L158" s="1"/>
  <c r="L101"/>
  <c r="K93"/>
  <c r="K162"/>
  <c r="L162" s="1"/>
  <c r="K166"/>
  <c r="L39"/>
  <c r="K48"/>
  <c r="K60"/>
  <c r="B29" i="11"/>
  <c r="T29"/>
  <c r="L240" i="22"/>
  <c r="K97"/>
  <c r="K225"/>
  <c r="N29" i="11"/>
  <c r="K117" i="22"/>
  <c r="K55"/>
  <c r="L55" s="1"/>
  <c r="K49"/>
  <c r="L111"/>
  <c r="K203"/>
  <c r="L203" s="1"/>
  <c r="K207"/>
  <c r="L207" s="1"/>
  <c r="K210"/>
  <c r="L210" s="1"/>
  <c r="L222"/>
  <c r="K71" i="21"/>
  <c r="K72" s="1"/>
  <c r="W27" i="11"/>
  <c r="B28"/>
  <c r="L137" i="21"/>
  <c r="L145"/>
  <c r="K124"/>
  <c r="K130"/>
  <c r="K138" s="1"/>
  <c r="K83"/>
  <c r="K89"/>
  <c r="L89" s="1"/>
  <c r="C27" i="11"/>
  <c r="L138" i="20"/>
  <c r="F27" i="11"/>
  <c r="L142" i="20"/>
  <c r="T27" i="11"/>
  <c r="K63" i="20"/>
  <c r="K147"/>
  <c r="K162"/>
  <c r="K191" s="1"/>
  <c r="G194" s="1"/>
  <c r="L58"/>
  <c r="L85"/>
  <c r="L123"/>
  <c r="K127"/>
  <c r="L127" s="1"/>
  <c r="K131"/>
  <c r="W24" i="11"/>
  <c r="N26"/>
  <c r="T24"/>
  <c r="W23"/>
  <c r="N23"/>
  <c r="K34" i="31"/>
  <c r="K91"/>
  <c r="K111" s="1"/>
  <c r="K142"/>
  <c r="L142" s="1"/>
  <c r="K9"/>
  <c r="K26" s="1"/>
  <c r="K82"/>
  <c r="K139"/>
  <c r="K40"/>
  <c r="L40" s="1"/>
  <c r="T25" i="11"/>
  <c r="C25"/>
  <c r="K22" i="19"/>
  <c r="K23" s="1"/>
  <c r="K107"/>
  <c r="K112"/>
  <c r="L112" s="1"/>
  <c r="K116"/>
  <c r="L116" s="1"/>
  <c r="K120"/>
  <c r="L120" s="1"/>
  <c r="K48" i="18"/>
  <c r="K112"/>
  <c r="K153" s="1"/>
  <c r="O24" i="11"/>
  <c r="L116" i="18"/>
  <c r="L120"/>
  <c r="L32"/>
  <c r="L185"/>
  <c r="K26"/>
  <c r="K33" s="1"/>
  <c r="T23" i="11"/>
  <c r="N22"/>
  <c r="Q22"/>
  <c r="K99" i="17"/>
  <c r="L99" s="1"/>
  <c r="K71"/>
  <c r="B23" i="11"/>
  <c r="K171" i="17"/>
  <c r="K191" s="1"/>
  <c r="L25"/>
  <c r="K130"/>
  <c r="K134"/>
  <c r="L134" s="1"/>
  <c r="K138"/>
  <c r="L138" s="1"/>
  <c r="L92"/>
  <c r="K9"/>
  <c r="K26" s="1"/>
  <c r="E22" i="11"/>
  <c r="K22" i="16"/>
  <c r="K23" s="1"/>
  <c r="K50"/>
  <c r="K122" s="1"/>
  <c r="L169"/>
  <c r="K41"/>
  <c r="K128"/>
  <c r="K132"/>
  <c r="L132" s="1"/>
  <c r="K136"/>
  <c r="L136" s="1"/>
  <c r="Q21" i="11"/>
  <c r="C21"/>
  <c r="B21"/>
  <c r="N21"/>
  <c r="Q20"/>
  <c r="K128" i="15"/>
  <c r="K161" s="1"/>
  <c r="G229" s="1"/>
  <c r="L160"/>
  <c r="T18" i="11"/>
  <c r="O16"/>
  <c r="N16"/>
  <c r="W19"/>
  <c r="Q19"/>
  <c r="T20"/>
  <c r="N20"/>
  <c r="B20"/>
  <c r="L19" i="14"/>
  <c r="K9"/>
  <c r="K20" s="1"/>
  <c r="K34"/>
  <c r="L130"/>
  <c r="L133"/>
  <c r="K28"/>
  <c r="K108"/>
  <c r="K112"/>
  <c r="L112" s="1"/>
  <c r="L91"/>
  <c r="K97"/>
  <c r="K98" s="1"/>
  <c r="K114" i="30"/>
  <c r="K115" s="1"/>
  <c r="T13" i="11"/>
  <c r="E18"/>
  <c r="F18"/>
  <c r="K103" i="13"/>
  <c r="K107"/>
  <c r="L107" s="1"/>
  <c r="L19" i="30"/>
  <c r="L67"/>
  <c r="K61"/>
  <c r="K104" s="1"/>
  <c r="L127"/>
  <c r="N18" i="11"/>
  <c r="L60" i="13"/>
  <c r="E17" i="11"/>
  <c r="W17"/>
  <c r="K75" i="10"/>
  <c r="K169"/>
  <c r="N17" i="11"/>
  <c r="L173" i="10"/>
  <c r="L177"/>
  <c r="K181"/>
  <c r="L181" s="1"/>
  <c r="K192"/>
  <c r="K84"/>
  <c r="K163" s="1"/>
  <c r="E16" i="11"/>
  <c r="T16"/>
  <c r="K9" i="35"/>
  <c r="K52" s="1"/>
  <c r="K163"/>
  <c r="K167"/>
  <c r="L167" s="1"/>
  <c r="L201"/>
  <c r="L128"/>
  <c r="K204"/>
  <c r="L215"/>
  <c r="L101" i="8"/>
  <c r="E15" i="11"/>
  <c r="W15"/>
  <c r="L43" i="8"/>
  <c r="N13" i="11"/>
  <c r="W14"/>
  <c r="K28" i="8"/>
  <c r="K29" s="1"/>
  <c r="K80"/>
  <c r="K87" s="1"/>
  <c r="C15" i="11"/>
  <c r="K92" i="8"/>
  <c r="K102" s="1"/>
  <c r="L111"/>
  <c r="B14" i="11"/>
  <c r="E14"/>
  <c r="K48" i="5"/>
  <c r="L99"/>
  <c r="L40" i="7"/>
  <c r="L183"/>
  <c r="T14" i="11"/>
  <c r="K34" i="7"/>
  <c r="L34" s="1"/>
  <c r="X14" i="11"/>
  <c r="L19" i="7"/>
  <c r="K28"/>
  <c r="K148"/>
  <c r="K162" s="1"/>
  <c r="K61"/>
  <c r="K138" s="1"/>
  <c r="K127" i="29"/>
  <c r="K57" i="5"/>
  <c r="K77" s="1"/>
  <c r="K26"/>
  <c r="L26" s="1"/>
  <c r="K20"/>
  <c r="K83"/>
  <c r="K87"/>
  <c r="L87" s="1"/>
  <c r="N12" i="11"/>
  <c r="N11"/>
  <c r="E12"/>
  <c r="W12"/>
  <c r="T12"/>
  <c r="B12"/>
  <c r="K41" i="29"/>
  <c r="K81"/>
  <c r="L85"/>
  <c r="K89"/>
  <c r="L89" s="1"/>
  <c r="L97"/>
  <c r="K50"/>
  <c r="W11" i="11"/>
  <c r="L30" i="4"/>
  <c r="K156"/>
  <c r="K169" s="1"/>
  <c r="K57"/>
  <c r="L15"/>
  <c r="L179"/>
  <c r="L206"/>
  <c r="E10" i="11"/>
  <c r="N9"/>
  <c r="O9"/>
  <c r="N10"/>
  <c r="K128" i="3"/>
  <c r="K132"/>
  <c r="L132" s="1"/>
  <c r="L136"/>
  <c r="L140"/>
  <c r="L66"/>
  <c r="Q8" i="11"/>
  <c r="X10"/>
  <c r="Q9"/>
  <c r="K164" i="34"/>
  <c r="K168"/>
  <c r="L168" s="1"/>
  <c r="L28" i="1"/>
  <c r="I8" i="11"/>
  <c r="L137" i="34"/>
  <c r="K172"/>
  <c r="L172" s="1"/>
  <c r="L196"/>
  <c r="K202"/>
  <c r="K232" s="1"/>
  <c r="L157"/>
  <c r="L34" i="1"/>
  <c r="L13"/>
  <c r="L161"/>
  <c r="L163"/>
  <c r="L33"/>
  <c r="L49"/>
  <c r="K42"/>
  <c r="K138" s="1"/>
  <c r="K144"/>
  <c r="L148"/>
  <c r="K152"/>
  <c r="L152" s="1"/>
  <c r="L46" i="36"/>
  <c r="L47"/>
  <c r="L113" i="27"/>
  <c r="L83" i="26"/>
  <c r="L34" i="25"/>
  <c r="L133"/>
  <c r="L9" i="33"/>
  <c r="L40"/>
  <c r="L26" i="32"/>
  <c r="L172" i="24"/>
  <c r="L13"/>
  <c r="L76"/>
  <c r="L77"/>
  <c r="L48" i="23"/>
  <c r="L191"/>
  <c r="L199" i="22"/>
  <c r="L64" i="21"/>
  <c r="L146"/>
  <c r="L72" i="20"/>
  <c r="L76" i="31"/>
  <c r="L77"/>
  <c r="L166"/>
  <c r="L45" i="19"/>
  <c r="L9" i="18"/>
  <c r="L42"/>
  <c r="L64" i="17"/>
  <c r="L34"/>
  <c r="L65" i="15"/>
  <c r="L145" i="14"/>
  <c r="L126"/>
  <c r="L34" i="30"/>
  <c r="L46"/>
  <c r="L40" i="13"/>
  <c r="L41"/>
  <c r="L22"/>
  <c r="L113"/>
  <c r="L22" i="10"/>
  <c r="L69"/>
  <c r="L256" i="35"/>
  <c r="L52" i="8"/>
  <c r="L144" i="7"/>
  <c r="L9"/>
  <c r="L24" i="4"/>
  <c r="L9"/>
  <c r="L40"/>
  <c r="L41"/>
  <c r="L57" i="3"/>
  <c r="L54" i="34"/>
  <c r="L92"/>
  <c r="K127" i="25" l="1"/>
  <c r="O34" i="11" s="1"/>
  <c r="N34"/>
  <c r="K100" i="33"/>
  <c r="L48"/>
  <c r="K85"/>
  <c r="O33" i="11" s="1"/>
  <c r="L9" i="25"/>
  <c r="W34" i="11"/>
  <c r="L22" i="33"/>
  <c r="K23"/>
  <c r="N33" i="11"/>
  <c r="L107" i="19"/>
  <c r="K133"/>
  <c r="R25" i="11" s="1"/>
  <c r="K155" i="31"/>
  <c r="K65"/>
  <c r="T26" i="11"/>
  <c r="L209" i="23"/>
  <c r="K152"/>
  <c r="L194" i="20"/>
  <c r="G196"/>
  <c r="L179" i="24"/>
  <c r="L170" i="32"/>
  <c r="W32" i="11"/>
  <c r="W25"/>
  <c r="L112" i="18"/>
  <c r="G171" i="30"/>
  <c r="L130" i="17"/>
  <c r="K151"/>
  <c r="L161"/>
  <c r="L171"/>
  <c r="K118"/>
  <c r="C23" i="11"/>
  <c r="K147" i="16"/>
  <c r="X22" i="11"/>
  <c r="W21"/>
  <c r="K121" i="14"/>
  <c r="K35"/>
  <c r="L34"/>
  <c r="L103" i="13"/>
  <c r="K108"/>
  <c r="G134" s="1"/>
  <c r="N8" i="11"/>
  <c r="K187" i="10"/>
  <c r="R17" i="11" s="1"/>
  <c r="S17" s="1"/>
  <c r="L192" i="10"/>
  <c r="K204"/>
  <c r="L204" s="1"/>
  <c r="L54"/>
  <c r="N15" i="11"/>
  <c r="L204" i="35"/>
  <c r="K216"/>
  <c r="L163"/>
  <c r="K196"/>
  <c r="R16" i="11" s="1"/>
  <c r="S16" s="1"/>
  <c r="K35" i="7"/>
  <c r="K88" i="5"/>
  <c r="K27"/>
  <c r="K98" i="29"/>
  <c r="R12" i="11" s="1"/>
  <c r="G210" i="4"/>
  <c r="L210" s="1"/>
  <c r="L128" i="3"/>
  <c r="K141"/>
  <c r="R10" i="11" s="1"/>
  <c r="L28" i="3"/>
  <c r="K197" i="34"/>
  <c r="G285" s="1"/>
  <c r="K153" i="1"/>
  <c r="G191" s="1"/>
  <c r="W8" i="11"/>
  <c r="L158" i="26"/>
  <c r="L166"/>
  <c r="L91" i="33"/>
  <c r="W30" i="11"/>
  <c r="L233" i="22"/>
  <c r="K249"/>
  <c r="G252" s="1"/>
  <c r="K74"/>
  <c r="F29" i="11" s="1"/>
  <c r="L147" i="20"/>
  <c r="K148"/>
  <c r="G187" i="7"/>
  <c r="G189" s="1"/>
  <c r="C36" i="11"/>
  <c r="K220" i="27"/>
  <c r="K178"/>
  <c r="L9" i="26"/>
  <c r="K39" i="32"/>
  <c r="L9"/>
  <c r="K18"/>
  <c r="C32" i="11" s="1"/>
  <c r="L177" i="32"/>
  <c r="K197"/>
  <c r="U32" i="11" s="1"/>
  <c r="L162" i="32"/>
  <c r="K171"/>
  <c r="R32" i="11" s="1"/>
  <c r="S32" s="1"/>
  <c r="L222" i="32"/>
  <c r="K223"/>
  <c r="L207"/>
  <c r="L171"/>
  <c r="L69"/>
  <c r="L225" i="22"/>
  <c r="K228"/>
  <c r="L22" i="24"/>
  <c r="K47"/>
  <c r="L198"/>
  <c r="K202"/>
  <c r="U31" i="11" s="1"/>
  <c r="K188" i="24"/>
  <c r="R31" i="11" s="1"/>
  <c r="S31" s="1"/>
  <c r="L14" i="24"/>
  <c r="L166" i="18"/>
  <c r="G226"/>
  <c r="L166" i="23"/>
  <c r="K167"/>
  <c r="K215" i="22"/>
  <c r="L215" s="1"/>
  <c r="L117"/>
  <c r="K193"/>
  <c r="O29" i="11" s="1"/>
  <c r="L173" i="23"/>
  <c r="L124" i="21"/>
  <c r="K125"/>
  <c r="L49" i="22"/>
  <c r="L60" i="23"/>
  <c r="K61"/>
  <c r="F30" i="11" s="1"/>
  <c r="L83" i="21"/>
  <c r="K114"/>
  <c r="O28" i="11" s="1"/>
  <c r="L139" i="31"/>
  <c r="L131" i="20"/>
  <c r="K132"/>
  <c r="O26" i="11"/>
  <c r="C26"/>
  <c r="L45" i="20"/>
  <c r="L162"/>
  <c r="L128" i="16"/>
  <c r="L50"/>
  <c r="F24" i="11"/>
  <c r="L170" i="16"/>
  <c r="L192" i="15"/>
  <c r="L193"/>
  <c r="L128"/>
  <c r="L161"/>
  <c r="L18"/>
  <c r="L108" i="14"/>
  <c r="L9"/>
  <c r="L61" i="30"/>
  <c r="L80" i="8"/>
  <c r="R15" i="11"/>
  <c r="L238" i="10"/>
  <c r="L169"/>
  <c r="L84"/>
  <c r="C16" i="11"/>
  <c r="L9" i="35"/>
  <c r="L175" i="1"/>
  <c r="U8" i="11"/>
  <c r="L83" i="5"/>
  <c r="L28" i="7"/>
  <c r="L148"/>
  <c r="L162"/>
  <c r="L57" i="5"/>
  <c r="I12" i="11"/>
  <c r="L81" i="29"/>
  <c r="L16" i="4"/>
  <c r="L147" i="3"/>
  <c r="L42" i="1"/>
  <c r="O8" i="11"/>
  <c r="U36"/>
  <c r="L160" i="18"/>
  <c r="X19" i="11"/>
  <c r="L29" i="13"/>
  <c r="L195" i="3"/>
  <c r="L26" i="18"/>
  <c r="L159" i="36"/>
  <c r="L179"/>
  <c r="L215" i="27"/>
  <c r="L173"/>
  <c r="R36" i="11"/>
  <c r="S36" s="1"/>
  <c r="K143" i="36"/>
  <c r="R37" i="11" s="1"/>
  <c r="S37" s="1"/>
  <c r="L63" i="36"/>
  <c r="K113"/>
  <c r="O37" i="11" s="1"/>
  <c r="K216" i="36"/>
  <c r="L197"/>
  <c r="L11"/>
  <c r="L12"/>
  <c r="C37" i="11"/>
  <c r="L21" i="36"/>
  <c r="K22"/>
  <c r="L53"/>
  <c r="K54"/>
  <c r="L54" s="1"/>
  <c r="L70" i="27"/>
  <c r="F36" i="11"/>
  <c r="L32" i="27"/>
  <c r="L9"/>
  <c r="L243"/>
  <c r="X36" i="11"/>
  <c r="L57" i="27"/>
  <c r="L90" i="25"/>
  <c r="L91" i="27"/>
  <c r="K92"/>
  <c r="L92" s="1"/>
  <c r="L155" i="25"/>
  <c r="C34" i="11"/>
  <c r="L22" i="19"/>
  <c r="L133" i="26"/>
  <c r="L114"/>
  <c r="R35" i="11"/>
  <c r="S35" s="1"/>
  <c r="F35"/>
  <c r="C35"/>
  <c r="L68" i="26"/>
  <c r="K69"/>
  <c r="L188" i="25"/>
  <c r="K74"/>
  <c r="L74" s="1"/>
  <c r="L68"/>
  <c r="I34" i="11"/>
  <c r="L84" i="25"/>
  <c r="L149"/>
  <c r="X34" i="11"/>
  <c r="L229" i="25"/>
  <c r="L114" i="33"/>
  <c r="L201" i="24"/>
  <c r="L225"/>
  <c r="L133" i="33"/>
  <c r="I33" i="11"/>
  <c r="L82" i="24"/>
  <c r="K83"/>
  <c r="L31" i="11" s="1"/>
  <c r="L14" i="33"/>
  <c r="L28" i="24"/>
  <c r="L182" i="23"/>
  <c r="U30" i="11"/>
  <c r="L93" i="23"/>
  <c r="O30" i="11"/>
  <c r="L76" i="23"/>
  <c r="I30" i="11"/>
  <c r="L84" i="23"/>
  <c r="L85"/>
  <c r="L73" i="22"/>
  <c r="L97"/>
  <c r="K98"/>
  <c r="L98" s="1"/>
  <c r="L130" i="21"/>
  <c r="L92" i="22"/>
  <c r="I29" i="11"/>
  <c r="U29"/>
  <c r="L120" i="21"/>
  <c r="L71"/>
  <c r="L50"/>
  <c r="L65"/>
  <c r="I28" i="11"/>
  <c r="L72" i="21"/>
  <c r="L17" i="20"/>
  <c r="L191"/>
  <c r="X27" i="11"/>
  <c r="L44" i="20"/>
  <c r="L63"/>
  <c r="K64"/>
  <c r="L18"/>
  <c r="L91" i="31"/>
  <c r="L71" i="17"/>
  <c r="K72"/>
  <c r="L72" s="1"/>
  <c r="L211" i="34"/>
  <c r="U9" i="11"/>
  <c r="L9" i="31"/>
  <c r="L82"/>
  <c r="K83"/>
  <c r="L83" s="1"/>
  <c r="L34" i="19"/>
  <c r="K35"/>
  <c r="L101"/>
  <c r="L29"/>
  <c r="I25" i="11"/>
  <c r="L34" i="31"/>
  <c r="L14" i="19"/>
  <c r="L47" i="18"/>
  <c r="L106"/>
  <c r="L18"/>
  <c r="L48"/>
  <c r="L80" i="17"/>
  <c r="L41" i="16"/>
  <c r="K42"/>
  <c r="L42" s="1"/>
  <c r="L126" i="17"/>
  <c r="L9"/>
  <c r="L41"/>
  <c r="F23" i="11"/>
  <c r="L65" i="17"/>
  <c r="I23" i="11"/>
  <c r="L22" i="16"/>
  <c r="F22" i="11"/>
  <c r="L35" i="16"/>
  <c r="I22" i="11"/>
  <c r="L225" i="15"/>
  <c r="L71"/>
  <c r="O21" i="11"/>
  <c r="L50" i="15"/>
  <c r="K51"/>
  <c r="F21" i="11"/>
  <c r="L45" i="15"/>
  <c r="I21" i="11"/>
  <c r="L104" i="14"/>
  <c r="L97"/>
  <c r="O20" i="11"/>
  <c r="L117" i="13"/>
  <c r="L118"/>
  <c r="L111" i="35"/>
  <c r="K112"/>
  <c r="L114" i="30"/>
  <c r="U19" i="11"/>
  <c r="L20" i="14"/>
  <c r="C20" i="11"/>
  <c r="L28" i="14"/>
  <c r="L41"/>
  <c r="I20" i="11"/>
  <c r="L46" i="14"/>
  <c r="K47"/>
  <c r="G149" s="1"/>
  <c r="L45" i="13"/>
  <c r="L46"/>
  <c r="L52" i="30"/>
  <c r="K53"/>
  <c r="L19" i="11" s="1"/>
  <c r="L156" i="4"/>
  <c r="O19" i="11"/>
  <c r="N19"/>
  <c r="L75" i="10"/>
  <c r="K76"/>
  <c r="L76" s="1"/>
  <c r="O18" i="11"/>
  <c r="L54" i="13"/>
  <c r="L131"/>
  <c r="F19" i="11"/>
  <c r="L47" i="30"/>
  <c r="I19" i="11"/>
  <c r="L14" i="13"/>
  <c r="C18" i="11"/>
  <c r="L20" i="30"/>
  <c r="O17" i="11"/>
  <c r="L95" i="5"/>
  <c r="L239" i="10"/>
  <c r="X17" i="11"/>
  <c r="F17"/>
  <c r="L70" i="10"/>
  <c r="I17" i="11"/>
  <c r="L106" i="35"/>
  <c r="I16" i="11"/>
  <c r="L52" i="35"/>
  <c r="L257"/>
  <c r="L173" i="7"/>
  <c r="L92" i="8"/>
  <c r="L28"/>
  <c r="F15" i="11"/>
  <c r="L38" i="8"/>
  <c r="I15" i="11"/>
  <c r="L20" i="8"/>
  <c r="O13" i="11"/>
  <c r="L53" i="7"/>
  <c r="L61"/>
  <c r="O14" i="11"/>
  <c r="L44" i="8"/>
  <c r="L48" i="5"/>
  <c r="K49"/>
  <c r="L49" s="1"/>
  <c r="F14" i="11"/>
  <c r="L20" i="7"/>
  <c r="L184"/>
  <c r="L27" i="5"/>
  <c r="L20"/>
  <c r="L42"/>
  <c r="I13" i="11"/>
  <c r="L50" i="29"/>
  <c r="L126"/>
  <c r="L120" i="5"/>
  <c r="X13" i="11"/>
  <c r="L35" i="29"/>
  <c r="L176" i="4"/>
  <c r="U11" i="11"/>
  <c r="O12"/>
  <c r="L57" i="4"/>
  <c r="L41" i="29"/>
  <c r="K42"/>
  <c r="L42" s="1"/>
  <c r="L31" i="4"/>
  <c r="L53" i="3"/>
  <c r="I10" i="11"/>
  <c r="C10"/>
  <c r="X9"/>
  <c r="L196" i="3"/>
  <c r="L122"/>
  <c r="L58"/>
  <c r="L144" i="1"/>
  <c r="L202" i="34"/>
  <c r="L164"/>
  <c r="L105"/>
  <c r="I9" i="11"/>
  <c r="L22" i="1"/>
  <c r="L188"/>
  <c r="L14"/>
  <c r="L29"/>
  <c r="L158"/>
  <c r="L162" i="27"/>
  <c r="L108" i="26"/>
  <c r="L151" i="32"/>
  <c r="L173" i="24"/>
  <c r="L152" i="23"/>
  <c r="L117" i="20"/>
  <c r="L104" i="30"/>
  <c r="L97" i="13"/>
  <c r="L158" i="35"/>
  <c r="L74" i="8"/>
  <c r="L158" i="34"/>
  <c r="L69" i="26" l="1"/>
  <c r="L35" i="11"/>
  <c r="G169" i="26"/>
  <c r="X35" i="11"/>
  <c r="U34"/>
  <c r="G232" i="25"/>
  <c r="G234" s="1"/>
  <c r="L100" i="33"/>
  <c r="G163"/>
  <c r="G165" s="1"/>
  <c r="F33" i="11"/>
  <c r="M178" i="33"/>
  <c r="J164"/>
  <c r="G169" i="31"/>
  <c r="L169" s="1"/>
  <c r="G214" i="23"/>
  <c r="L212"/>
  <c r="G254" i="22"/>
  <c r="L252"/>
  <c r="L249"/>
  <c r="G197" i="20"/>
  <c r="L197" s="1"/>
  <c r="F203"/>
  <c r="L188" i="24"/>
  <c r="J229"/>
  <c r="M243"/>
  <c r="G230"/>
  <c r="F237" s="1"/>
  <c r="X32" i="11"/>
  <c r="L35" i="19"/>
  <c r="L25" i="11"/>
  <c r="G196" i="19"/>
  <c r="X25" i="11"/>
  <c r="G228" i="18"/>
  <c r="L226"/>
  <c r="G194" i="17"/>
  <c r="G196" s="1"/>
  <c r="G173" i="16"/>
  <c r="L173" s="1"/>
  <c r="O23" i="11"/>
  <c r="L26" i="17"/>
  <c r="O22" i="11"/>
  <c r="G231" i="15"/>
  <c r="G151" i="14"/>
  <c r="L149"/>
  <c r="L47"/>
  <c r="L20" i="11"/>
  <c r="L53" i="30"/>
  <c r="L134" i="13"/>
  <c r="G136"/>
  <c r="R8" i="11"/>
  <c r="S8" s="1"/>
  <c r="G242" i="10"/>
  <c r="G260" i="35"/>
  <c r="G262" s="1"/>
  <c r="G130" i="29"/>
  <c r="L130" s="1"/>
  <c r="G129" i="8"/>
  <c r="G131" s="1"/>
  <c r="L102"/>
  <c r="L187" i="7"/>
  <c r="F196"/>
  <c r="G190"/>
  <c r="L190" s="1"/>
  <c r="Z36" i="11"/>
  <c r="G123" i="5"/>
  <c r="G212" i="4"/>
  <c r="G213" s="1"/>
  <c r="L213" s="1"/>
  <c r="M228"/>
  <c r="G199" i="3"/>
  <c r="L199" s="1"/>
  <c r="U10" i="11"/>
  <c r="R9"/>
  <c r="S9" s="1"/>
  <c r="L285" i="34"/>
  <c r="G287"/>
  <c r="F294" s="1"/>
  <c r="L18" i="32"/>
  <c r="L16" i="27"/>
  <c r="L173" i="25"/>
  <c r="L85" i="33"/>
  <c r="L26" i="25"/>
  <c r="L54" i="32"/>
  <c r="I32" i="11"/>
  <c r="L39" i="32"/>
  <c r="F32" i="11"/>
  <c r="L197" i="32"/>
  <c r="L223"/>
  <c r="X29" i="11"/>
  <c r="R29"/>
  <c r="S29" s="1"/>
  <c r="L114" i="21"/>
  <c r="L26" i="31"/>
  <c r="L111"/>
  <c r="L193" i="19"/>
  <c r="L51" i="15"/>
  <c r="L21" i="11"/>
  <c r="L98" i="14"/>
  <c r="L112" i="35"/>
  <c r="L16" i="11"/>
  <c r="L152" i="3"/>
  <c r="L122" i="15"/>
  <c r="L134" i="30"/>
  <c r="L216" i="36"/>
  <c r="X37" i="11"/>
  <c r="L178" i="27"/>
  <c r="L143" i="36"/>
  <c r="L113"/>
  <c r="L22"/>
  <c r="F37" i="11"/>
  <c r="L83" i="27"/>
  <c r="L82"/>
  <c r="L261"/>
  <c r="L220"/>
  <c r="U35" i="11"/>
  <c r="L149" i="26"/>
  <c r="L83" i="24"/>
  <c r="L127" i="26"/>
  <c r="L45"/>
  <c r="L30"/>
  <c r="L150" i="25"/>
  <c r="R34" i="11"/>
  <c r="S34" s="1"/>
  <c r="L59" i="25"/>
  <c r="F34" i="11"/>
  <c r="L127" i="25"/>
  <c r="R33" i="11"/>
  <c r="S33" s="1"/>
  <c r="L122" i="33"/>
  <c r="U33" i="11"/>
  <c r="L202" i="24"/>
  <c r="L160" i="33"/>
  <c r="X33" i="11"/>
  <c r="L23" i="33"/>
  <c r="L35"/>
  <c r="L47" i="24"/>
  <c r="F31" i="11"/>
  <c r="Z31" s="1"/>
  <c r="R30"/>
  <c r="S30" s="1"/>
  <c r="L167" i="23"/>
  <c r="L61"/>
  <c r="L40"/>
  <c r="C30" i="11"/>
  <c r="Z30" s="1"/>
  <c r="L74" i="22"/>
  <c r="L41"/>
  <c r="C29" i="11"/>
  <c r="L228" i="22"/>
  <c r="L193"/>
  <c r="L125" i="21"/>
  <c r="R28" i="11"/>
  <c r="S28" s="1"/>
  <c r="L138" i="21"/>
  <c r="U28" i="11"/>
  <c r="F28"/>
  <c r="L64" i="20"/>
  <c r="L23" i="21"/>
  <c r="C28" i="11"/>
  <c r="L160" i="19"/>
  <c r="U25" i="11"/>
  <c r="L132" i="20"/>
  <c r="R27" i="11"/>
  <c r="L148" i="20"/>
  <c r="U27" i="11"/>
  <c r="L133" i="19"/>
  <c r="S25" i="11"/>
  <c r="L155" i="31"/>
  <c r="U26" i="11"/>
  <c r="S26"/>
  <c r="L65" i="31"/>
  <c r="F26" i="11"/>
  <c r="L23" i="19"/>
  <c r="F25" i="11"/>
  <c r="L186" i="18"/>
  <c r="U24" i="11"/>
  <c r="L223" i="18"/>
  <c r="X24" i="11"/>
  <c r="L153" i="18"/>
  <c r="R24" i="11"/>
  <c r="S24" s="1"/>
  <c r="L33" i="18"/>
  <c r="L191" i="17"/>
  <c r="X23" i="11"/>
  <c r="L151" i="17"/>
  <c r="R23" i="11"/>
  <c r="L162" i="17"/>
  <c r="U23" i="11"/>
  <c r="L147" i="16"/>
  <c r="R22" i="11"/>
  <c r="S22" s="1"/>
  <c r="L118" i="17"/>
  <c r="L86"/>
  <c r="L23" i="16"/>
  <c r="L122"/>
  <c r="L14"/>
  <c r="C22" i="11"/>
  <c r="X21"/>
  <c r="R21"/>
  <c r="S21" s="1"/>
  <c r="U21"/>
  <c r="L39" i="15"/>
  <c r="L134" i="14"/>
  <c r="U20" i="11"/>
  <c r="L121" i="14"/>
  <c r="R20" i="11"/>
  <c r="S20" s="1"/>
  <c r="L146" i="14"/>
  <c r="X20" i="11"/>
  <c r="L115" i="30"/>
  <c r="R19" i="11"/>
  <c r="S19" s="1"/>
  <c r="L108" i="13"/>
  <c r="R18" i="11"/>
  <c r="S18" s="1"/>
  <c r="L35" i="14"/>
  <c r="F20" i="11"/>
  <c r="U18"/>
  <c r="L35" i="30"/>
  <c r="U17" i="11"/>
  <c r="Z17" s="1"/>
  <c r="L187" i="10"/>
  <c r="L163"/>
  <c r="F49" i="11"/>
  <c r="L55" i="10"/>
  <c r="F16" i="11"/>
  <c r="L79" i="35"/>
  <c r="X16" i="11"/>
  <c r="U16"/>
  <c r="L216" i="35"/>
  <c r="L196"/>
  <c r="U14" i="11"/>
  <c r="U15"/>
  <c r="L138" i="7"/>
  <c r="L77" i="5"/>
  <c r="S15" i="11"/>
  <c r="L29" i="8"/>
  <c r="L87"/>
  <c r="L126"/>
  <c r="X15" i="11"/>
  <c r="L88" i="5"/>
  <c r="R13" i="11"/>
  <c r="S13" s="1"/>
  <c r="L109" i="5"/>
  <c r="U13" i="11"/>
  <c r="R14"/>
  <c r="S14" s="1"/>
  <c r="C14"/>
  <c r="L35" i="7"/>
  <c r="L46"/>
  <c r="L43"/>
  <c r="F13" i="11"/>
  <c r="L98" i="29"/>
  <c r="L180" i="4"/>
  <c r="L116" i="29"/>
  <c r="U12" i="11"/>
  <c r="L127" i="29"/>
  <c r="X12" i="11"/>
  <c r="L23" i="29"/>
  <c r="F12" i="11"/>
  <c r="L14" i="29"/>
  <c r="C12" i="11"/>
  <c r="L169" i="4"/>
  <c r="R11" i="11"/>
  <c r="S11" s="1"/>
  <c r="L207" i="4"/>
  <c r="X11" i="11"/>
  <c r="S12"/>
  <c r="L150" i="4"/>
  <c r="O11" i="11"/>
  <c r="L75" i="29"/>
  <c r="L14" i="3"/>
  <c r="S10" i="11"/>
  <c r="L29" i="3"/>
  <c r="F10" i="11"/>
  <c r="Z10" s="1"/>
  <c r="L141" i="3"/>
  <c r="L282" i="34"/>
  <c r="L153" i="1"/>
  <c r="L232" i="34"/>
  <c r="L197"/>
  <c r="L23" i="1"/>
  <c r="F8" i="11"/>
  <c r="X8"/>
  <c r="L176" i="1"/>
  <c r="L138"/>
  <c r="Z35" i="11" l="1"/>
  <c r="J170" i="26"/>
  <c r="M184"/>
  <c r="J43" i="11"/>
  <c r="G171" i="26"/>
  <c r="F178" s="1"/>
  <c r="L169"/>
  <c r="F172" i="33"/>
  <c r="L232" i="25"/>
  <c r="G235"/>
  <c r="L235" s="1"/>
  <c r="F241"/>
  <c r="L163" i="33"/>
  <c r="G166"/>
  <c r="L166" s="1"/>
  <c r="G171" i="31"/>
  <c r="G172" s="1"/>
  <c r="L172" s="1"/>
  <c r="Z26" i="11"/>
  <c r="Z32"/>
  <c r="G231" i="24"/>
  <c r="L231" s="1"/>
  <c r="G215" i="23"/>
  <c r="L215" s="1"/>
  <c r="F221"/>
  <c r="G255" i="22"/>
  <c r="L255" s="1"/>
  <c r="F261"/>
  <c r="M241" i="32"/>
  <c r="J227"/>
  <c r="G228"/>
  <c r="F235" s="1"/>
  <c r="L226"/>
  <c r="G198" i="19"/>
  <c r="L196"/>
  <c r="F235" i="18"/>
  <c r="G229"/>
  <c r="L229" s="1"/>
  <c r="L194" i="17"/>
  <c r="Z23" i="11"/>
  <c r="G197" i="17"/>
  <c r="L197" s="1"/>
  <c r="F203"/>
  <c r="M188" i="16"/>
  <c r="J174"/>
  <c r="Z22" i="11"/>
  <c r="G175" i="16"/>
  <c r="L229" i="15"/>
  <c r="F238"/>
  <c r="G232"/>
  <c r="L232" s="1"/>
  <c r="F158" i="14"/>
  <c r="G152"/>
  <c r="L152" s="1"/>
  <c r="L39" i="11"/>
  <c r="Z20"/>
  <c r="G173" i="30"/>
  <c r="L171"/>
  <c r="F143" i="13"/>
  <c r="G137"/>
  <c r="L137" s="1"/>
  <c r="L242" i="10"/>
  <c r="G244"/>
  <c r="L260" i="35"/>
  <c r="F269"/>
  <c r="G263"/>
  <c r="L263" s="1"/>
  <c r="Z12" i="11"/>
  <c r="L129" i="8"/>
  <c r="Z15" i="11"/>
  <c r="F138" i="8"/>
  <c r="G132"/>
  <c r="L132" s="1"/>
  <c r="Z25" i="11"/>
  <c r="Z34"/>
  <c r="Z16"/>
  <c r="Z8"/>
  <c r="Z37"/>
  <c r="S27"/>
  <c r="Z27"/>
  <c r="Z28"/>
  <c r="Z33"/>
  <c r="Z21"/>
  <c r="Z29"/>
  <c r="Z18"/>
  <c r="Z24"/>
  <c r="Z19"/>
  <c r="Z11"/>
  <c r="Z9"/>
  <c r="L123" i="5"/>
  <c r="G125"/>
  <c r="Z13" i="11"/>
  <c r="G132" i="29"/>
  <c r="F139" s="1"/>
  <c r="F219" i="4"/>
  <c r="G201" i="3"/>
  <c r="G288" i="34"/>
  <c r="G193" i="1"/>
  <c r="L191"/>
  <c r="S23" i="11"/>
  <c r="K326" i="33"/>
  <c r="K325"/>
  <c r="K324"/>
  <c r="K323"/>
  <c r="K322"/>
  <c r="K321"/>
  <c r="F321"/>
  <c r="F327" s="1"/>
  <c r="K318"/>
  <c r="K317"/>
  <c r="K316"/>
  <c r="K315"/>
  <c r="K314"/>
  <c r="K313"/>
  <c r="K312"/>
  <c r="F312"/>
  <c r="F319" s="1"/>
  <c r="G172" i="26" l="1"/>
  <c r="L172" s="1"/>
  <c r="F178" i="31"/>
  <c r="G229" i="32"/>
  <c r="L229" s="1"/>
  <c r="G199" i="19"/>
  <c r="L199" s="1"/>
  <c r="F205"/>
  <c r="F182" i="16"/>
  <c r="G176"/>
  <c r="L176" s="1"/>
  <c r="G174" i="30"/>
  <c r="L174" s="1"/>
  <c r="F180"/>
  <c r="F251" i="10"/>
  <c r="G245"/>
  <c r="L245" s="1"/>
  <c r="F132" i="5"/>
  <c r="G126"/>
  <c r="L126" s="1"/>
  <c r="G133" i="29"/>
  <c r="L133" s="1"/>
  <c r="F208" i="3"/>
  <c r="G202"/>
  <c r="L202" s="1"/>
  <c r="F200" i="1"/>
  <c r="L288" i="34"/>
  <c r="G194" i="1"/>
  <c r="K319" i="33"/>
  <c r="L319" s="1"/>
  <c r="I14" i="11"/>
  <c r="Z14" s="1"/>
  <c r="L47" i="7"/>
  <c r="K327" i="33"/>
  <c r="L327" s="1"/>
  <c r="L194" i="1" l="1"/>
  <c r="L330" i="33"/>
  <c r="F341" i="27"/>
  <c r="F354" s="1"/>
  <c r="K353"/>
  <c r="K352"/>
  <c r="K351"/>
  <c r="K350"/>
  <c r="K349"/>
  <c r="K348"/>
  <c r="K347"/>
  <c r="K346"/>
  <c r="K345"/>
  <c r="K344"/>
  <c r="K343"/>
  <c r="K342"/>
  <c r="K341"/>
  <c r="K339"/>
  <c r="K338"/>
  <c r="K337"/>
  <c r="K336"/>
  <c r="K335"/>
  <c r="K334"/>
  <c r="K333"/>
  <c r="K332"/>
  <c r="K331"/>
  <c r="K330"/>
  <c r="K329"/>
  <c r="K328"/>
  <c r="K327"/>
  <c r="F327"/>
  <c r="F340" s="1"/>
  <c r="K325"/>
  <c r="K324"/>
  <c r="K323"/>
  <c r="K322"/>
  <c r="K321"/>
  <c r="K320"/>
  <c r="K319"/>
  <c r="K318"/>
  <c r="K317"/>
  <c r="K316"/>
  <c r="K315"/>
  <c r="F315"/>
  <c r="F326" s="1"/>
  <c r="K313"/>
  <c r="K312"/>
  <c r="K311"/>
  <c r="K310"/>
  <c r="K309"/>
  <c r="K308"/>
  <c r="K307"/>
  <c r="K306"/>
  <c r="K305"/>
  <c r="K304"/>
  <c r="F304"/>
  <c r="F314" s="1"/>
  <c r="K302"/>
  <c r="F303"/>
  <c r="F355" l="1"/>
  <c r="K340"/>
  <c r="L340" s="1"/>
  <c r="K354"/>
  <c r="K314"/>
  <c r="L314" s="1"/>
  <c r="K326"/>
  <c r="L326" s="1"/>
  <c r="K303"/>
  <c r="L303" s="1"/>
  <c r="K355" l="1"/>
  <c r="I239" i="13" l="1"/>
  <c r="I238"/>
  <c r="I237"/>
  <c r="I236"/>
  <c r="I235"/>
  <c r="I234"/>
  <c r="I233"/>
  <c r="I231"/>
  <c r="I230"/>
  <c r="I229"/>
  <c r="I227"/>
  <c r="I226"/>
  <c r="I220" i="7"/>
  <c r="I218"/>
  <c r="I291" i="4" l="1"/>
  <c r="I290"/>
  <c r="I289"/>
  <c r="I288"/>
  <c r="I287"/>
  <c r="I286"/>
  <c r="I285"/>
  <c r="I283"/>
  <c r="I279"/>
  <c r="I282"/>
  <c r="I281"/>
  <c r="I280"/>
  <c r="I278"/>
  <c r="F111" i="12" l="1"/>
  <c r="K46"/>
  <c r="F47"/>
  <c r="F48" s="1"/>
  <c r="K45"/>
  <c r="L119" l="1"/>
  <c r="K111"/>
  <c r="K47"/>
  <c r="K48" s="1"/>
  <c r="L111" l="1"/>
  <c r="P9" i="11"/>
  <c r="P23"/>
  <c r="P32"/>
  <c r="P28"/>
  <c r="P16"/>
  <c r="Y16" l="1"/>
  <c r="Y33"/>
  <c r="Y35"/>
  <c r="Y37"/>
  <c r="D37"/>
  <c r="F314" i="22"/>
  <c r="K313"/>
  <c r="K312"/>
  <c r="K311"/>
  <c r="K310"/>
  <c r="K309"/>
  <c r="K308"/>
  <c r="K307"/>
  <c r="K306"/>
  <c r="K305"/>
  <c r="K304"/>
  <c r="K293"/>
  <c r="F303"/>
  <c r="K302"/>
  <c r="K301"/>
  <c r="K300"/>
  <c r="K299"/>
  <c r="K298"/>
  <c r="K297"/>
  <c r="K296"/>
  <c r="K295"/>
  <c r="K294"/>
  <c r="F292"/>
  <c r="K291"/>
  <c r="K290"/>
  <c r="P37" i="11" l="1"/>
  <c r="M37"/>
  <c r="K314" i="22"/>
  <c r="L314" s="1"/>
  <c r="K303"/>
  <c r="L303" s="1"/>
  <c r="K292"/>
  <c r="L292" s="1"/>
  <c r="V37" i="11" l="1"/>
  <c r="G37"/>
  <c r="J37"/>
  <c r="K182" i="13"/>
  <c r="K181"/>
  <c r="K180"/>
  <c r="K170"/>
  <c r="K169"/>
  <c r="F204"/>
  <c r="K203"/>
  <c r="K202"/>
  <c r="K201"/>
  <c r="K200"/>
  <c r="K199"/>
  <c r="K198"/>
  <c r="K197"/>
  <c r="K196"/>
  <c r="K195"/>
  <c r="F194"/>
  <c r="K193"/>
  <c r="K192"/>
  <c r="K191"/>
  <c r="K190"/>
  <c r="K189"/>
  <c r="K188"/>
  <c r="K187"/>
  <c r="K186"/>
  <c r="K185"/>
  <c r="K184"/>
  <c r="K183"/>
  <c r="K204" l="1"/>
  <c r="L204" s="1"/>
  <c r="K194"/>
  <c r="L194" s="1"/>
  <c r="F108" i="12" l="1"/>
  <c r="K168" i="13"/>
  <c r="K171"/>
  <c r="K172"/>
  <c r="K173"/>
  <c r="F315" i="22"/>
  <c r="K108" i="12" l="1"/>
  <c r="L13"/>
  <c r="L47"/>
  <c r="K315" i="22"/>
  <c r="Y28" i="11"/>
  <c r="Y27"/>
  <c r="V33" l="1"/>
  <c r="P33"/>
  <c r="W7"/>
  <c r="W39" s="1"/>
  <c r="S49" s="1"/>
  <c r="Y25"/>
  <c r="Y31"/>
  <c r="Y26"/>
  <c r="M33"/>
  <c r="G26"/>
  <c r="L108" i="12"/>
  <c r="J32" i="11"/>
  <c r="G32"/>
  <c r="Y20"/>
  <c r="L354" i="27"/>
  <c r="Y32" i="11"/>
  <c r="M32"/>
  <c r="L355" i="27"/>
  <c r="Y36" i="11"/>
  <c r="J33"/>
  <c r="G33"/>
  <c r="Y30"/>
  <c r="D26"/>
  <c r="Y23"/>
  <c r="Y22"/>
  <c r="P26" l="1"/>
  <c r="J16"/>
  <c r="Y14"/>
  <c r="Y9"/>
  <c r="V26"/>
  <c r="V19"/>
  <c r="V16"/>
  <c r="Y34"/>
  <c r="J26"/>
  <c r="M26"/>
  <c r="Y19"/>
  <c r="V32"/>
  <c r="D32"/>
  <c r="M19"/>
  <c r="G19"/>
  <c r="D33"/>
  <c r="L315" i="22"/>
  <c r="Y29" i="11"/>
  <c r="G16"/>
  <c r="J9"/>
  <c r="L142" i="12"/>
  <c r="X7" i="11"/>
  <c r="Y7" l="1"/>
  <c r="X39"/>
  <c r="P19"/>
  <c r="P14"/>
  <c r="P12"/>
  <c r="J19"/>
  <c r="M9"/>
  <c r="D19"/>
  <c r="Y12"/>
  <c r="M16"/>
  <c r="D16"/>
  <c r="Y15"/>
  <c r="Y11"/>
  <c r="V9"/>
  <c r="G9"/>
  <c r="D9"/>
  <c r="Y39" l="1"/>
  <c r="F47" s="1"/>
  <c r="T49"/>
  <c r="Y24"/>
  <c r="U49" l="1"/>
  <c r="J52"/>
  <c r="Y21"/>
  <c r="F179" i="13" l="1"/>
  <c r="F205" s="1"/>
  <c r="K178"/>
  <c r="K177"/>
  <c r="K176"/>
  <c r="K175"/>
  <c r="K174"/>
  <c r="K167"/>
  <c r="K179" l="1"/>
  <c r="K205" s="1"/>
  <c r="L179" l="1"/>
  <c r="L205"/>
  <c r="Y18" i="11"/>
  <c r="Y17" l="1"/>
  <c r="Y13" l="1"/>
  <c r="M12" l="1"/>
  <c r="G12"/>
  <c r="V12" l="1"/>
  <c r="J12"/>
  <c r="D12"/>
  <c r="Y8" l="1"/>
  <c r="Y10" l="1"/>
  <c r="V36" l="1"/>
  <c r="J36"/>
  <c r="M36"/>
  <c r="P36" l="1"/>
  <c r="G36"/>
  <c r="D36"/>
  <c r="V35" l="1"/>
  <c r="P35" l="1"/>
  <c r="M35"/>
  <c r="J35"/>
  <c r="G35"/>
  <c r="D35"/>
  <c r="G34"/>
  <c r="P34" l="1"/>
  <c r="J34"/>
  <c r="M34"/>
  <c r="D34"/>
  <c r="V34"/>
  <c r="J31" l="1"/>
  <c r="P31" l="1"/>
  <c r="P29"/>
  <c r="G31"/>
  <c r="D31"/>
  <c r="V31"/>
  <c r="M31"/>
  <c r="V30" l="1"/>
  <c r="P30" l="1"/>
  <c r="G30"/>
  <c r="D30"/>
  <c r="V29"/>
  <c r="M30"/>
  <c r="J30"/>
  <c r="M29"/>
  <c r="D29"/>
  <c r="J29"/>
  <c r="D27" l="1"/>
  <c r="V27"/>
  <c r="G28"/>
  <c r="P27" l="1"/>
  <c r="M28"/>
  <c r="M27"/>
  <c r="G27"/>
  <c r="J27"/>
  <c r="J28"/>
  <c r="V28"/>
  <c r="D28"/>
  <c r="P24" l="1"/>
  <c r="G25"/>
  <c r="J24"/>
  <c r="P25" l="1"/>
  <c r="J25"/>
  <c r="M25"/>
  <c r="V25"/>
  <c r="D25"/>
  <c r="D24"/>
  <c r="V24"/>
  <c r="M24"/>
  <c r="G24"/>
  <c r="J23" l="1"/>
  <c r="D23"/>
  <c r="F104" i="12"/>
  <c r="F112" s="1"/>
  <c r="Q7" i="11" l="1"/>
  <c r="Q39" s="1"/>
  <c r="S47" s="1"/>
  <c r="M23"/>
  <c r="V23"/>
  <c r="G23"/>
  <c r="K104" i="12"/>
  <c r="K112" s="1"/>
  <c r="L112" l="1"/>
  <c r="J22" i="11"/>
  <c r="G22"/>
  <c r="L104" i="12"/>
  <c r="R7" i="11" l="1"/>
  <c r="P22"/>
  <c r="M22"/>
  <c r="V22"/>
  <c r="D22"/>
  <c r="S7" l="1"/>
  <c r="R39"/>
  <c r="G21"/>
  <c r="G20"/>
  <c r="J20"/>
  <c r="D20"/>
  <c r="T47" l="1"/>
  <c r="S39"/>
  <c r="P21"/>
  <c r="M20"/>
  <c r="P20"/>
  <c r="V20"/>
  <c r="D21"/>
  <c r="M21"/>
  <c r="V21"/>
  <c r="J21"/>
  <c r="H7"/>
  <c r="H39" s="1"/>
  <c r="S45" s="1"/>
  <c r="F63" i="12"/>
  <c r="F98" s="1"/>
  <c r="E145" s="1"/>
  <c r="U47" i="11" l="1"/>
  <c r="J50"/>
  <c r="N7"/>
  <c r="N39" s="1"/>
  <c r="T7"/>
  <c r="T39" s="1"/>
  <c r="S48" s="1"/>
  <c r="E7"/>
  <c r="E39" s="1"/>
  <c r="S44" s="1"/>
  <c r="D18"/>
  <c r="B7"/>
  <c r="B39" s="1"/>
  <c r="S43" s="1"/>
  <c r="D17"/>
  <c r="K63" i="12"/>
  <c r="K98" s="1"/>
  <c r="G145" s="1"/>
  <c r="I202" i="3" s="1"/>
  <c r="L145" i="12" l="1"/>
  <c r="G147"/>
  <c r="Q41" i="11"/>
  <c r="S46"/>
  <c r="L42" i="12"/>
  <c r="G29" i="11"/>
  <c r="O7"/>
  <c r="O39" s="1"/>
  <c r="P18"/>
  <c r="P17"/>
  <c r="L63" i="12"/>
  <c r="M18" i="11"/>
  <c r="G18"/>
  <c r="V18"/>
  <c r="T50"/>
  <c r="J53" s="1"/>
  <c r="S50"/>
  <c r="J18"/>
  <c r="F7"/>
  <c r="F39" s="1"/>
  <c r="L29" i="12"/>
  <c r="L122"/>
  <c r="I7" i="11"/>
  <c r="I39" s="1"/>
  <c r="I193" i="1" l="1"/>
  <c r="I287" i="34" s="1"/>
  <c r="J44" i="11"/>
  <c r="I201" i="3"/>
  <c r="I212" i="4" s="1"/>
  <c r="I132" i="29" s="1"/>
  <c r="I125" i="5" s="1"/>
  <c r="I189" i="7" s="1"/>
  <c r="I131" i="8" s="1"/>
  <c r="I262" i="35" s="1"/>
  <c r="I244" i="10" s="1"/>
  <c r="I136" i="13" s="1"/>
  <c r="G148" i="12"/>
  <c r="F154"/>
  <c r="U50" i="11"/>
  <c r="R41"/>
  <c r="T46"/>
  <c r="M39"/>
  <c r="F43" s="1"/>
  <c r="P39"/>
  <c r="S41" s="1"/>
  <c r="P7"/>
  <c r="J7"/>
  <c r="G7"/>
  <c r="L98" i="12"/>
  <c r="M7" i="11"/>
  <c r="U7"/>
  <c r="L129" i="12"/>
  <c r="L14"/>
  <c r="L48"/>
  <c r="V17" i="11"/>
  <c r="G17"/>
  <c r="J17"/>
  <c r="J54" l="1"/>
  <c r="L43"/>
  <c r="I228" i="13"/>
  <c r="I173" i="30"/>
  <c r="I151" i="14" s="1"/>
  <c r="I231" i="15" s="1"/>
  <c r="I175" i="16" s="1"/>
  <c r="I196" i="17" s="1"/>
  <c r="I228" i="18" s="1"/>
  <c r="I198" i="19" s="1"/>
  <c r="I171" i="31" s="1"/>
  <c r="I165" i="33" s="1"/>
  <c r="I234" i="25" s="1"/>
  <c r="I171" i="26" s="1"/>
  <c r="L148" i="12"/>
  <c r="I194" i="1"/>
  <c r="I288" i="34" s="1"/>
  <c r="C39" i="11"/>
  <c r="H41" s="1"/>
  <c r="Z7"/>
  <c r="Z39" s="1"/>
  <c r="U46"/>
  <c r="J49"/>
  <c r="J39"/>
  <c r="T45"/>
  <c r="G39"/>
  <c r="T44"/>
  <c r="F44"/>
  <c r="V7"/>
  <c r="U39"/>
  <c r="D7"/>
  <c r="P15"/>
  <c r="D15"/>
  <c r="T43" l="1"/>
  <c r="J46" s="1"/>
  <c r="U45"/>
  <c r="J48"/>
  <c r="U44"/>
  <c r="J47"/>
  <c r="V39"/>
  <c r="F46" s="1"/>
  <c r="T48"/>
  <c r="D39"/>
  <c r="M47" s="1"/>
  <c r="F41"/>
  <c r="F50" s="1"/>
  <c r="F51" s="1"/>
  <c r="M15"/>
  <c r="J15"/>
  <c r="V15"/>
  <c r="G15"/>
  <c r="L46" l="1"/>
  <c r="U43"/>
  <c r="U48"/>
  <c r="S51" s="1"/>
  <c r="S52" s="1"/>
  <c r="J51"/>
  <c r="T51"/>
  <c r="T52" s="1"/>
  <c r="F45"/>
  <c r="F48" s="1"/>
  <c r="F42"/>
  <c r="J14"/>
  <c r="U52" l="1"/>
  <c r="U51"/>
  <c r="M14"/>
  <c r="V14"/>
  <c r="D14"/>
  <c r="G14"/>
  <c r="J13" l="1"/>
  <c r="G13"/>
  <c r="D13"/>
  <c r="P13" l="1"/>
  <c r="V13"/>
  <c r="M13"/>
  <c r="P11" l="1"/>
  <c r="G11"/>
  <c r="M11" l="1"/>
  <c r="J11"/>
  <c r="V11"/>
  <c r="D11"/>
  <c r="V10" l="1"/>
  <c r="P10" l="1"/>
  <c r="M10"/>
  <c r="G10"/>
  <c r="D10"/>
  <c r="J10"/>
  <c r="J8" l="1"/>
  <c r="G8"/>
  <c r="D8"/>
  <c r="M8" l="1"/>
  <c r="V8" l="1"/>
  <c r="P8" l="1"/>
</calcChain>
</file>

<file path=xl/sharedStrings.xml><?xml version="1.0" encoding="utf-8"?>
<sst xmlns="http://schemas.openxmlformats.org/spreadsheetml/2006/main" count="15489" uniqueCount="1273">
  <si>
    <t>Ref. #</t>
  </si>
  <si>
    <t>Fab. Qty.</t>
  </si>
  <si>
    <t>Name of Dyes / Chemicals</t>
  </si>
  <si>
    <t>Quantity</t>
  </si>
  <si>
    <t>Rate</t>
  </si>
  <si>
    <t>Amount</t>
  </si>
  <si>
    <t>Remarks</t>
  </si>
  <si>
    <t>Order #</t>
  </si>
  <si>
    <t>Color</t>
  </si>
  <si>
    <t>Total :</t>
  </si>
  <si>
    <t>Acetic Acid</t>
  </si>
  <si>
    <t>Stenter :</t>
  </si>
  <si>
    <t>Cost/Yds.</t>
  </si>
  <si>
    <t>Buyer</t>
  </si>
  <si>
    <t>Construction</t>
  </si>
  <si>
    <t>Liquar</t>
  </si>
  <si>
    <t>Jigger :</t>
  </si>
  <si>
    <t>Soda Ash</t>
  </si>
  <si>
    <t>Hydrogen Peroxide</t>
  </si>
  <si>
    <t>Caustic</t>
  </si>
  <si>
    <t>Fluo White-4BK</t>
  </si>
  <si>
    <t>Singing/De-Sizing:</t>
  </si>
  <si>
    <t>Mercerizing :</t>
  </si>
  <si>
    <t>Scouring / Bleaching :</t>
  </si>
  <si>
    <t xml:space="preserve">Caustic </t>
  </si>
  <si>
    <t>Hydrose</t>
  </si>
  <si>
    <t>Perrostal-VNO</t>
  </si>
  <si>
    <t>Glauber Salt</t>
  </si>
  <si>
    <t>Urea</t>
  </si>
  <si>
    <t>Binder</t>
  </si>
  <si>
    <t>Grand Total:</t>
  </si>
  <si>
    <t>Date</t>
  </si>
  <si>
    <t>Sinzing/Desizing</t>
  </si>
  <si>
    <t>Scouring/Bleaching</t>
  </si>
  <si>
    <t>Mercerizing</t>
  </si>
  <si>
    <t>Jigger</t>
  </si>
  <si>
    <t>Stenter</t>
  </si>
  <si>
    <t>Prodn.</t>
  </si>
  <si>
    <t>Con. TK.</t>
  </si>
  <si>
    <t>TotaL :</t>
  </si>
  <si>
    <t>Pad Steam :</t>
  </si>
  <si>
    <t>Dutex Red-DABG</t>
  </si>
  <si>
    <t>Printing :</t>
  </si>
  <si>
    <t>Dutex Orange-DARR</t>
  </si>
  <si>
    <t>Fixer-810</t>
  </si>
  <si>
    <t>Liquer Amonia</t>
  </si>
  <si>
    <t>Zamoprint</t>
  </si>
  <si>
    <t>PVA</t>
  </si>
  <si>
    <t>Printing</t>
  </si>
  <si>
    <t>Soda</t>
  </si>
  <si>
    <t>Hy.G.Yellow-F3R</t>
  </si>
  <si>
    <t>Hy.T.Blue-FBN</t>
  </si>
  <si>
    <t>Titanium</t>
  </si>
  <si>
    <t xml:space="preserve">Kerosin </t>
  </si>
  <si>
    <t>Pig.Black-KBN</t>
  </si>
  <si>
    <t>Hy.Black-KBN</t>
  </si>
  <si>
    <t>HY.Blue-FFG</t>
  </si>
  <si>
    <t>Dutex Pink-BR</t>
  </si>
  <si>
    <t>Hy.Lt.Yelloe-F2G</t>
  </si>
  <si>
    <t>Dutex Violet-DAB</t>
  </si>
  <si>
    <t>Du.Orange-DARR</t>
  </si>
  <si>
    <t>P.YDS.</t>
  </si>
  <si>
    <t>Dyapol-New</t>
  </si>
  <si>
    <t>Prepared by,</t>
  </si>
  <si>
    <t>Store Manager</t>
  </si>
  <si>
    <t>Section,Incarge</t>
  </si>
  <si>
    <t xml:space="preserve">         G,M(Production)</t>
  </si>
  <si>
    <t>D,M,D</t>
  </si>
  <si>
    <t>M D/Chairman, Sir</t>
  </si>
  <si>
    <t>Tissocly-RBL</t>
  </si>
  <si>
    <t>Redustab-OS</t>
  </si>
  <si>
    <t>Thermosol</t>
  </si>
  <si>
    <t>Thermosol:</t>
  </si>
  <si>
    <t>CF-</t>
  </si>
  <si>
    <t>20x16/128x60</t>
  </si>
  <si>
    <t>Cyclanon XC-W</t>
  </si>
  <si>
    <t>Glauber Salt(na2 s04)</t>
  </si>
  <si>
    <t>OXI-Black-TF</t>
  </si>
  <si>
    <t>Dutex G.Yellow-DARX</t>
  </si>
  <si>
    <t>L/Yellow-DAGG</t>
  </si>
  <si>
    <t>T/Blue-DABN</t>
  </si>
  <si>
    <t>Binder,</t>
  </si>
  <si>
    <t>Eurofix-P.D</t>
  </si>
  <si>
    <t>Zamoprint P T</t>
  </si>
  <si>
    <t>Blanket Gum-PVA</t>
  </si>
  <si>
    <t>New ,Mesh-155</t>
  </si>
  <si>
    <t>Pcs</t>
  </si>
  <si>
    <t>Old,Mesh-155</t>
  </si>
  <si>
    <t>Old,Mesh-125</t>
  </si>
  <si>
    <t>White Past-LP-25</t>
  </si>
  <si>
    <t>Dutex  Red-DABG</t>
  </si>
  <si>
    <t>Dutex-Black-DABN</t>
  </si>
  <si>
    <t xml:space="preserve"> Dutex-Blue-DAB</t>
  </si>
  <si>
    <t>Print</t>
  </si>
  <si>
    <t>Dutex ,Orang-DARR</t>
  </si>
  <si>
    <t>KG</t>
  </si>
  <si>
    <t>Inde. Diret Black-RBS</t>
  </si>
  <si>
    <t>Microstop X-100</t>
  </si>
  <si>
    <t>Fimbil-VB-30</t>
  </si>
  <si>
    <t>Invalon-DAM</t>
  </si>
  <si>
    <t>Inde.Brown -BR</t>
  </si>
  <si>
    <t>Tan</t>
  </si>
  <si>
    <t>Navy</t>
  </si>
  <si>
    <t>Natron PG</t>
  </si>
  <si>
    <t>Apritone</t>
  </si>
  <si>
    <t>Beleacing Powder</t>
  </si>
  <si>
    <t>Rongalit Reducer 2-PH-A</t>
  </si>
  <si>
    <t>Rongalit Reducer 2-PH-B</t>
  </si>
  <si>
    <t>Solvitose-C-5</t>
  </si>
  <si>
    <t>Amoniam Salfite</t>
  </si>
  <si>
    <t>Antifoam Agent</t>
  </si>
  <si>
    <t>Eropon-OS</t>
  </si>
  <si>
    <t>Gleysaring</t>
  </si>
  <si>
    <t>10x10/72x42</t>
  </si>
  <si>
    <t>Olive</t>
  </si>
  <si>
    <t>Super Fab</t>
  </si>
  <si>
    <t>Grey</t>
  </si>
  <si>
    <t>DK,Blue</t>
  </si>
  <si>
    <t>White FC-500 R</t>
  </si>
  <si>
    <t>40x40/150x100</t>
  </si>
  <si>
    <t>30x30/130x70</t>
  </si>
  <si>
    <t>H &amp; M</t>
  </si>
  <si>
    <t>30X30/130X70</t>
  </si>
  <si>
    <t>Dutex Blue-DAB</t>
  </si>
  <si>
    <t>20X16/128X60</t>
  </si>
  <si>
    <t>Auxi,Black-GF</t>
  </si>
  <si>
    <t>DK,Grey</t>
  </si>
  <si>
    <t>Khaki</t>
  </si>
  <si>
    <t>SF-102</t>
  </si>
  <si>
    <t>76-217</t>
  </si>
  <si>
    <t>Camo Print</t>
  </si>
  <si>
    <t>M G Sharting</t>
  </si>
  <si>
    <t>09-090</t>
  </si>
  <si>
    <t>16x10/108x56</t>
  </si>
  <si>
    <t>Inde. Red-FBB</t>
  </si>
  <si>
    <t>SF-107</t>
  </si>
  <si>
    <t>Hossain Dying</t>
  </si>
  <si>
    <t>CF-226</t>
  </si>
  <si>
    <t>Paramount</t>
  </si>
  <si>
    <t>40x32/110x50</t>
  </si>
  <si>
    <t>Grand Total:/Tharmosal/Pad Stim =</t>
  </si>
  <si>
    <t>Average cost per Yds. (Dyeing + Print) :</t>
  </si>
  <si>
    <t>Average cost per Yds. (Only:Dyeing) :</t>
  </si>
  <si>
    <t>Average cost per Yds. (Only:Finising) :</t>
  </si>
  <si>
    <t>Average cost per Yds. All Over:Dyeing) :</t>
  </si>
  <si>
    <t>Average cost per Yds. (Only,Print) :</t>
  </si>
  <si>
    <t>Mithela Textile Ltd.</t>
  </si>
  <si>
    <t>Khanpara,Duptara, Araihazar, Narayanganj.</t>
  </si>
  <si>
    <t>Subject : Machine, Wise,Costing, Report.</t>
  </si>
  <si>
    <t>Total,Dys,&amp;,Che, Consumption :Taka</t>
  </si>
  <si>
    <t>x</t>
  </si>
  <si>
    <t>Average cost per Yds. Sin:,Ble:,Mer:</t>
  </si>
  <si>
    <t>Average cost per Yds. Wash/Jigger</t>
  </si>
  <si>
    <t>Total,E,T,P,/W,T,P/Gene:Consumption :Taka</t>
  </si>
  <si>
    <t>Total,Dys,&amp;,Che,E,T,C Consumption :Taka</t>
  </si>
  <si>
    <t>Average cost per Yds. All Over:Costing) :</t>
  </si>
  <si>
    <t>For the Month of : Fevruary'18</t>
  </si>
  <si>
    <t>ETP</t>
  </si>
  <si>
    <t>WTP</t>
  </si>
  <si>
    <t>Generator</t>
  </si>
  <si>
    <t>Salary</t>
  </si>
  <si>
    <t>Unit KG</t>
  </si>
  <si>
    <t>Con.TK</t>
  </si>
  <si>
    <t>P,Date</t>
  </si>
  <si>
    <t>P,Day Cost</t>
  </si>
  <si>
    <t>Unite:</t>
  </si>
  <si>
    <t xml:space="preserve">Unite: </t>
  </si>
  <si>
    <t>MR Fashion</t>
  </si>
  <si>
    <t>20x16/108x58</t>
  </si>
  <si>
    <t>LP-00092</t>
  </si>
  <si>
    <t>Megalase-H,T(Enzyme)</t>
  </si>
  <si>
    <t>Sullafon-PED(Weate)</t>
  </si>
  <si>
    <t>Seqoion-FE</t>
  </si>
  <si>
    <t>Enzyme</t>
  </si>
  <si>
    <t>Weatting</t>
  </si>
  <si>
    <t>H202</t>
  </si>
  <si>
    <t>Stablizer-WB</t>
  </si>
  <si>
    <t>Scouring/Bleaching :</t>
  </si>
  <si>
    <t>Thermosol :C P B</t>
  </si>
  <si>
    <t>MP-00088</t>
  </si>
  <si>
    <t>30X30/152X80</t>
  </si>
  <si>
    <t>Stablizer -WB</t>
  </si>
  <si>
    <t>Nova,Yellow NP</t>
  </si>
  <si>
    <t>Levafix,Red-CAN</t>
  </si>
  <si>
    <t>Sera Gal,MIP</t>
  </si>
  <si>
    <t>Albaflow PAD</t>
  </si>
  <si>
    <t>Bez:,Blue-S-RN</t>
  </si>
  <si>
    <t>MP-00081</t>
  </si>
  <si>
    <t>30x16/152x68</t>
  </si>
  <si>
    <t>Mikael Blz</t>
  </si>
  <si>
    <t>Nova,G.Yellow ,S-3R</t>
  </si>
  <si>
    <t>Sunfron, Blue-CR</t>
  </si>
  <si>
    <t>Nova,D/Red, EC-D</t>
  </si>
  <si>
    <t>Nova,Navy,EC-R</t>
  </si>
  <si>
    <t xml:space="preserve">Sunfix Dk/ Blue SS </t>
  </si>
  <si>
    <t>Sunfix Red  MFCN</t>
  </si>
  <si>
    <t>Sunfix ,Yellow-SN-2R</t>
  </si>
  <si>
    <t>76-112</t>
  </si>
  <si>
    <t>Levafix,,Blue-CA</t>
  </si>
  <si>
    <t xml:space="preserve">Nova,Super Black-G </t>
  </si>
  <si>
    <t>MP-00085</t>
  </si>
  <si>
    <t>AOP</t>
  </si>
  <si>
    <t>Primasol-NF</t>
  </si>
  <si>
    <t>LP-00089</t>
  </si>
  <si>
    <t>Optifix,EC</t>
  </si>
  <si>
    <t>DK,Brown</t>
  </si>
  <si>
    <t>Sepamine-C S N</t>
  </si>
  <si>
    <t xml:space="preserve">Thrmosol/Padstim </t>
  </si>
  <si>
    <t>MP-00071</t>
  </si>
  <si>
    <t>Dutex Black -14</t>
  </si>
  <si>
    <t>Dutex,Red -DABG</t>
  </si>
  <si>
    <t>(Binder,N-54)</t>
  </si>
  <si>
    <t>Refix-PNF-100</t>
  </si>
  <si>
    <t>Reprint-THC N</t>
  </si>
  <si>
    <t>Pig: Whitw Past-FC-500 R</t>
  </si>
  <si>
    <t>Dutex T,Blue DABN</t>
  </si>
  <si>
    <t>Koritex,Green-PGE</t>
  </si>
  <si>
    <t>H&amp;M</t>
  </si>
  <si>
    <t>LP-000</t>
  </si>
  <si>
    <t>P018/</t>
  </si>
  <si>
    <t>P02018108</t>
  </si>
  <si>
    <t>Koritex,Yellow-PGY</t>
  </si>
  <si>
    <t>AJ,Fashion</t>
  </si>
  <si>
    <t>SJ Knit</t>
  </si>
  <si>
    <t>N ,Z Fab:</t>
  </si>
  <si>
    <t>LP-00037</t>
  </si>
  <si>
    <t>40X40/110X70</t>
  </si>
  <si>
    <t>Koritex,Fuschia-PBL-3</t>
  </si>
  <si>
    <t>Koritex,Red-PRG-3</t>
  </si>
  <si>
    <t>LP-00087</t>
  </si>
  <si>
    <t>Twill</t>
  </si>
  <si>
    <t>MP-00086</t>
  </si>
  <si>
    <t>Black</t>
  </si>
  <si>
    <t>C&amp;A</t>
  </si>
  <si>
    <t>ABA</t>
  </si>
  <si>
    <t>Leucophor-BBU</t>
  </si>
  <si>
    <t>R,F,D</t>
  </si>
  <si>
    <t>50x40/100x84</t>
  </si>
  <si>
    <t>MP-00079</t>
  </si>
  <si>
    <t xml:space="preserve"> </t>
  </si>
  <si>
    <t>Costing Officer,</t>
  </si>
  <si>
    <t>Printing,Manager</t>
  </si>
  <si>
    <t>Director Sir</t>
  </si>
  <si>
    <t>19-213</t>
  </si>
  <si>
    <t>Bez:,Navy-SCR</t>
  </si>
  <si>
    <t>Remazol,Ulta,Yellow-RGBN</t>
  </si>
  <si>
    <t>Knit Fab</t>
  </si>
  <si>
    <t>Aop</t>
  </si>
  <si>
    <t>Koritex,Yellow-PY-3</t>
  </si>
  <si>
    <t>P,P</t>
  </si>
  <si>
    <t>Ceralube-S V N</t>
  </si>
  <si>
    <t>Optifix,RSL</t>
  </si>
  <si>
    <t>Production Date : 05.03.18</t>
  </si>
  <si>
    <t>Dipa</t>
  </si>
  <si>
    <t>30x16/133x76</t>
  </si>
  <si>
    <t>30X30/120X80</t>
  </si>
  <si>
    <t>Amanat Shah</t>
  </si>
  <si>
    <t>Camel</t>
  </si>
  <si>
    <t>Nova,G.Yellow ,C-NC</t>
  </si>
  <si>
    <t>Nova,Brown, EC-NC</t>
  </si>
  <si>
    <t>Nova,Olive,EC- NC</t>
  </si>
  <si>
    <t>19-123</t>
  </si>
  <si>
    <t>Beige</t>
  </si>
  <si>
    <t>20x16+70D/128X60</t>
  </si>
  <si>
    <t>Bez:,Yellow-F3GC EPS</t>
  </si>
  <si>
    <t>Nova,Grey,EC - NC</t>
  </si>
  <si>
    <t>Slub S/J Knit</t>
  </si>
  <si>
    <t>Super Fab:</t>
  </si>
  <si>
    <t>Roverco</t>
  </si>
  <si>
    <t>Sample</t>
  </si>
  <si>
    <t>13-232</t>
  </si>
  <si>
    <t>B&amp;B</t>
  </si>
  <si>
    <t>Dutex T,Blue B-ECO</t>
  </si>
  <si>
    <t>20+20x20/120x50</t>
  </si>
  <si>
    <t>40x40/133x72</t>
  </si>
  <si>
    <t>LP-00096</t>
  </si>
  <si>
    <t>Angel</t>
  </si>
  <si>
    <t>MP-000</t>
  </si>
  <si>
    <t>Standard</t>
  </si>
  <si>
    <t>Nova, B,Turq: EC-GN</t>
  </si>
  <si>
    <t>N,Z</t>
  </si>
  <si>
    <t xml:space="preserve">Sunfix,D,Red-MFCN </t>
  </si>
  <si>
    <t>Sunfron,N,Blue,C-R</t>
  </si>
  <si>
    <t>Nova, D,Navy  Blue,S-GL</t>
  </si>
  <si>
    <t>Blue</t>
  </si>
  <si>
    <t>Rea,Yellow-RN</t>
  </si>
  <si>
    <t>Sunfix , Blue SSR</t>
  </si>
  <si>
    <t>Li &amp; Fung</t>
  </si>
  <si>
    <t xml:space="preserve">Nova,B Red EC-4B </t>
  </si>
  <si>
    <t>PO-18/145</t>
  </si>
  <si>
    <t>30x30/136x68</t>
  </si>
  <si>
    <t>PO-18/</t>
  </si>
  <si>
    <t>Production Date : 09.03.18</t>
  </si>
  <si>
    <t>MS-18/</t>
  </si>
  <si>
    <t>Koritex,Violet-PV-3</t>
  </si>
  <si>
    <t>30x20/120x70</t>
  </si>
  <si>
    <t>10x7/70x38</t>
  </si>
  <si>
    <t>20x20/100x50</t>
  </si>
  <si>
    <t>Solusoft-SIS</t>
  </si>
  <si>
    <t>40x150D/104X68</t>
  </si>
  <si>
    <t>Total=</t>
  </si>
  <si>
    <t>All Over Dying</t>
  </si>
  <si>
    <t>Standardr</t>
  </si>
  <si>
    <t>MP-00089</t>
  </si>
  <si>
    <t>MP-00063</t>
  </si>
  <si>
    <t>A B A</t>
  </si>
  <si>
    <t>30x20/160x86</t>
  </si>
  <si>
    <t>20x16+70D/106X58</t>
  </si>
  <si>
    <t>30X30/148X84</t>
  </si>
  <si>
    <t>Mithela</t>
  </si>
  <si>
    <t>White</t>
  </si>
  <si>
    <t>Koritex,Orange-PNO-3</t>
  </si>
  <si>
    <t>Six Season</t>
  </si>
  <si>
    <t>LP-00099</t>
  </si>
  <si>
    <t>Bezaktiv,Yellow-SW</t>
  </si>
  <si>
    <t>Nova,Blue ,EC-R</t>
  </si>
  <si>
    <t>09-105</t>
  </si>
  <si>
    <t>Neamine-PRS</t>
  </si>
  <si>
    <t>30x30/166x80</t>
  </si>
  <si>
    <t>Lim</t>
  </si>
  <si>
    <t>Koritex,Pink-</t>
  </si>
  <si>
    <t>Oxford</t>
  </si>
  <si>
    <t>40X40/133X72</t>
  </si>
  <si>
    <t>73-210</t>
  </si>
  <si>
    <t>30X30/136X68</t>
  </si>
  <si>
    <t>Sand</t>
  </si>
  <si>
    <t>Night Sky</t>
  </si>
  <si>
    <t>MP-00053</t>
  </si>
  <si>
    <t>Dutex ,Yellow -DAGG</t>
  </si>
  <si>
    <t>Sunfron,Yellow-C-4G</t>
  </si>
  <si>
    <t>30x10/128x70</t>
  </si>
  <si>
    <t>Production Date : 03.3.17</t>
  </si>
  <si>
    <t>Production Date : 12.03.18</t>
  </si>
  <si>
    <t>Knit Fab:</t>
  </si>
  <si>
    <t>20x20/108x58</t>
  </si>
  <si>
    <t>Koritex,Yellow-PGY-5</t>
  </si>
  <si>
    <t>Production Date : 17.03.18</t>
  </si>
  <si>
    <t>P:C:</t>
  </si>
  <si>
    <t>LP-00102</t>
  </si>
  <si>
    <t>Aman Grafe</t>
  </si>
  <si>
    <t>40X40/143X112</t>
  </si>
  <si>
    <t>MS-18</t>
  </si>
  <si>
    <t>Dutex T,Blue -BECO</t>
  </si>
  <si>
    <t>D,NO,227</t>
  </si>
  <si>
    <t>D,NO,223</t>
  </si>
  <si>
    <t>Production Date : 21.03.18</t>
  </si>
  <si>
    <t>Nova,Yellow C-5G</t>
  </si>
  <si>
    <t>Dutex Blue-BECO</t>
  </si>
  <si>
    <t>MP-00091</t>
  </si>
  <si>
    <t>Super</t>
  </si>
  <si>
    <t>16x12/112x50</t>
  </si>
  <si>
    <t>P,P,Sample</t>
  </si>
  <si>
    <t>Blue+Dying</t>
  </si>
  <si>
    <t>D,NO,232</t>
  </si>
  <si>
    <t>D,NO,231</t>
  </si>
  <si>
    <t>S/J,Knit Fab</t>
  </si>
  <si>
    <t>Sera Wet,Das,MIS</t>
  </si>
  <si>
    <t>MP-00102</t>
  </si>
  <si>
    <t>MP-00096</t>
  </si>
  <si>
    <t>MP-00122</t>
  </si>
  <si>
    <t>JB-Texbd</t>
  </si>
  <si>
    <t>30x12/124x55</t>
  </si>
  <si>
    <t>MP-00121</t>
  </si>
  <si>
    <t>Production Date : 27.03.18</t>
  </si>
  <si>
    <t>30x30/133x72</t>
  </si>
  <si>
    <t>PO-18/352</t>
  </si>
  <si>
    <t>Bershka</t>
  </si>
  <si>
    <t>MP-00128</t>
  </si>
  <si>
    <t>9sx7/82x42</t>
  </si>
  <si>
    <t>30x30/152x80</t>
  </si>
  <si>
    <t>(Olive)</t>
  </si>
  <si>
    <t>LS-18/</t>
  </si>
  <si>
    <t>Dutex ,Red B-ECO</t>
  </si>
  <si>
    <t>Kiwadye Pink-SV-17</t>
  </si>
  <si>
    <t>MS-18/00</t>
  </si>
  <si>
    <t>ARA</t>
  </si>
  <si>
    <t>Hydrocol-WRF</t>
  </si>
  <si>
    <t>Reprint -RW</t>
  </si>
  <si>
    <t>07-103</t>
  </si>
  <si>
    <t>14-128</t>
  </si>
  <si>
    <t>MP-00119</t>
  </si>
  <si>
    <t>Srooty</t>
  </si>
  <si>
    <t>LP-00105</t>
  </si>
  <si>
    <t>GranTotal,(Dyeing+Print)</t>
  </si>
  <si>
    <t>30x30/133x70</t>
  </si>
  <si>
    <t>LP-00088</t>
  </si>
  <si>
    <t>Asian Tex</t>
  </si>
  <si>
    <t>30x150/+40D/120x65</t>
  </si>
  <si>
    <t>LP-00108</t>
  </si>
  <si>
    <t>R,S,T</t>
  </si>
  <si>
    <t>20X20/68X58</t>
  </si>
  <si>
    <t>30x20/130x70</t>
  </si>
  <si>
    <t>MP-00049</t>
  </si>
  <si>
    <t>MP-00100</t>
  </si>
  <si>
    <t>MS-18/374</t>
  </si>
  <si>
    <t>86-202</t>
  </si>
  <si>
    <t>MS-18/375</t>
  </si>
  <si>
    <t>19-129</t>
  </si>
  <si>
    <t>PO-18/343</t>
  </si>
  <si>
    <t>DK,Camel</t>
  </si>
  <si>
    <t>MP-00123</t>
  </si>
  <si>
    <t>33-304</t>
  </si>
  <si>
    <t>(Navy)</t>
  </si>
  <si>
    <t>Production Date : 30.03.18</t>
  </si>
  <si>
    <t>08-237</t>
  </si>
  <si>
    <t>Levafix,,Amber-CA-N</t>
  </si>
  <si>
    <t>MS-18/370</t>
  </si>
  <si>
    <t>Mid Yellow</t>
  </si>
  <si>
    <t>7200(Beige)</t>
  </si>
  <si>
    <t>Yellow</t>
  </si>
  <si>
    <t>Red</t>
  </si>
  <si>
    <t>Director</t>
  </si>
  <si>
    <t>.</t>
  </si>
  <si>
    <t>MP-00138</t>
  </si>
  <si>
    <t>Cherry</t>
  </si>
  <si>
    <t>30x20/140x70</t>
  </si>
  <si>
    <t>T,S,C</t>
  </si>
  <si>
    <t>MP-00097</t>
  </si>
  <si>
    <t>MP-00129</t>
  </si>
  <si>
    <t>Koritex,Black-PBT</t>
  </si>
  <si>
    <t>Deva</t>
  </si>
  <si>
    <t>MP-00094</t>
  </si>
  <si>
    <t>30x30/152x84</t>
  </si>
  <si>
    <t>Production Date : 31.03.18</t>
  </si>
  <si>
    <t>LP-00110</t>
  </si>
  <si>
    <t>20x20/104x58</t>
  </si>
  <si>
    <t>30x16+70D/120X72</t>
  </si>
  <si>
    <t>20X16+70D/106X58</t>
  </si>
  <si>
    <t>Cromax</t>
  </si>
  <si>
    <t>20x10/120x60</t>
  </si>
  <si>
    <t>PO-18/017</t>
  </si>
  <si>
    <t>20x20+10/118x60</t>
  </si>
  <si>
    <t>LP-00104</t>
  </si>
  <si>
    <t>Wind</t>
  </si>
  <si>
    <t>MS-18/352</t>
  </si>
  <si>
    <t>20x20+20/128x68</t>
  </si>
  <si>
    <t>MS-18/359</t>
  </si>
  <si>
    <t>Soorty</t>
  </si>
  <si>
    <t>10x10/16+70D/82X40</t>
  </si>
  <si>
    <t>B,D Desing</t>
  </si>
  <si>
    <t>George Boys</t>
  </si>
  <si>
    <t>Production Date : 01.04.18</t>
  </si>
  <si>
    <t>20x20/138x82</t>
  </si>
  <si>
    <t>14-310</t>
  </si>
  <si>
    <t>P0-18/</t>
  </si>
  <si>
    <t>MP00093</t>
  </si>
  <si>
    <t>MP00083</t>
  </si>
  <si>
    <t>MP00120</t>
  </si>
  <si>
    <t>20x20/104x50</t>
  </si>
  <si>
    <t>MP-00147</t>
  </si>
  <si>
    <t>P018/17</t>
  </si>
  <si>
    <t>MP-00133</t>
  </si>
  <si>
    <t>45/2x45/2/114x60</t>
  </si>
  <si>
    <t>20X16/130X60</t>
  </si>
  <si>
    <t>Tak Munni</t>
  </si>
  <si>
    <t>Gomax</t>
  </si>
  <si>
    <t>LP-00111</t>
  </si>
  <si>
    <t>Furop Tex</t>
  </si>
  <si>
    <t>R,S,T Tex</t>
  </si>
  <si>
    <t>Green</t>
  </si>
  <si>
    <t>Synozol-Turquoise-HF-G</t>
  </si>
  <si>
    <t>Terasil,Yellow W-6GS</t>
  </si>
  <si>
    <t>Terasil, Red- WW-3BS</t>
  </si>
  <si>
    <t>Terasil, Blue - WW-2GS</t>
  </si>
  <si>
    <t>Carry Four</t>
  </si>
  <si>
    <t>20x20/60x60</t>
  </si>
  <si>
    <t>Dutex,Red -BGECO</t>
  </si>
  <si>
    <t>10x20+70D/92X60</t>
  </si>
  <si>
    <t>30X16/152X70</t>
  </si>
  <si>
    <t>20X20/96X50</t>
  </si>
  <si>
    <t>Indochina</t>
  </si>
  <si>
    <t xml:space="preserve">Unite:KWH </t>
  </si>
  <si>
    <t>Synocron-Black,-GN</t>
  </si>
  <si>
    <t>Levafix,Olive-CA</t>
  </si>
  <si>
    <t>MP-00115</t>
  </si>
  <si>
    <t>MP-00156</t>
  </si>
  <si>
    <t>MP-00144</t>
  </si>
  <si>
    <t>MP-00163</t>
  </si>
  <si>
    <t>MP-00162</t>
  </si>
  <si>
    <t>Mashin, Wise Costing &amp; Production Report:</t>
  </si>
  <si>
    <t>PO,18/3076</t>
  </si>
  <si>
    <t>20x20/85x58</t>
  </si>
  <si>
    <t>CIA Hearing</t>
  </si>
  <si>
    <t>17-1045</t>
  </si>
  <si>
    <t>20X16+70D/140X58</t>
  </si>
  <si>
    <t>MP00133</t>
  </si>
  <si>
    <t>20X20/100X50</t>
  </si>
  <si>
    <t>Bez:,Brown BR</t>
  </si>
  <si>
    <t>Bez:,Grey-RBN PS</t>
  </si>
  <si>
    <t>Sera Sperse,MIS</t>
  </si>
  <si>
    <t>20x20/60x54</t>
  </si>
  <si>
    <t>10x20+70D/74X58</t>
  </si>
  <si>
    <t>Just Jems</t>
  </si>
  <si>
    <t>MP-00132</t>
  </si>
  <si>
    <t>Europtex</t>
  </si>
  <si>
    <t>30x16/152x85</t>
  </si>
  <si>
    <t>(DK,Grey)</t>
  </si>
  <si>
    <t>Sharmin</t>
  </si>
  <si>
    <t>Hydrous</t>
  </si>
  <si>
    <t>Beige AOP</t>
  </si>
  <si>
    <t>Water Dot</t>
  </si>
  <si>
    <t>Any Navy</t>
  </si>
  <si>
    <t>MP-00145</t>
  </si>
  <si>
    <t>20x16+70D/130X60</t>
  </si>
  <si>
    <t>MP-00087</t>
  </si>
  <si>
    <t>20x20+10/124x40</t>
  </si>
  <si>
    <t>(Black)</t>
  </si>
  <si>
    <t>08-220</t>
  </si>
  <si>
    <t>Orang</t>
  </si>
  <si>
    <t>Nova,Scarlet ,EC-6G</t>
  </si>
  <si>
    <t>30x16/160x70</t>
  </si>
  <si>
    <t>MP-00164</t>
  </si>
  <si>
    <t>Optifix -RSL</t>
  </si>
  <si>
    <t>Best Seller</t>
  </si>
  <si>
    <t>30x30/130X70</t>
  </si>
  <si>
    <t>Europ Tex</t>
  </si>
  <si>
    <t>Texco</t>
  </si>
  <si>
    <t>MP-00179</t>
  </si>
  <si>
    <t>MS-18/337</t>
  </si>
  <si>
    <t>Cherry Field</t>
  </si>
  <si>
    <t>MP-00180</t>
  </si>
  <si>
    <t>30x30/114x80</t>
  </si>
  <si>
    <t>LP-00117</t>
  </si>
  <si>
    <t>Super Fsb</t>
  </si>
  <si>
    <t>20x16/100x50</t>
  </si>
  <si>
    <t>Dekko</t>
  </si>
  <si>
    <t>20x16+70D/104x58</t>
  </si>
  <si>
    <t>30x20+70D/152X78</t>
  </si>
  <si>
    <t>30x20+70D/160X66</t>
  </si>
  <si>
    <t>MP-00112</t>
  </si>
  <si>
    <t>Eurotex</t>
  </si>
  <si>
    <t>Loutis Tex</t>
  </si>
  <si>
    <t>Sunzal,Black-GN</t>
  </si>
  <si>
    <t>MP-00178</t>
  </si>
  <si>
    <t>30x30/133x74</t>
  </si>
  <si>
    <t>MP-00198</t>
  </si>
  <si>
    <t>20x20/112x56</t>
  </si>
  <si>
    <t>MP-00188</t>
  </si>
  <si>
    <t>Boro Bhaiya</t>
  </si>
  <si>
    <t>20x16+70D/114X58</t>
  </si>
  <si>
    <t>40x40/133x100</t>
  </si>
  <si>
    <t>LP-00118</t>
  </si>
  <si>
    <t>Boro Bhayea</t>
  </si>
  <si>
    <t>MP-00204</t>
  </si>
  <si>
    <t>Go Max</t>
  </si>
  <si>
    <t>20x10/128x60</t>
  </si>
  <si>
    <t>MP-00158</t>
  </si>
  <si>
    <t>Team Sourcing</t>
  </si>
  <si>
    <t>20x30/130x78</t>
  </si>
  <si>
    <t>MP-00152</t>
  </si>
  <si>
    <t>Indochine</t>
  </si>
  <si>
    <t>MP-00173</t>
  </si>
  <si>
    <t>MP-00184</t>
  </si>
  <si>
    <t>BD Design</t>
  </si>
  <si>
    <t>10x10+70D/80X42</t>
  </si>
  <si>
    <t>S,A Enter:</t>
  </si>
  <si>
    <t>40x16+70D/186X69</t>
  </si>
  <si>
    <t>Reduan Tex</t>
  </si>
  <si>
    <t>16x16/100x54</t>
  </si>
  <si>
    <t>MP-00205</t>
  </si>
  <si>
    <t>MP-00204/205</t>
  </si>
  <si>
    <t>14-4121</t>
  </si>
  <si>
    <t>Nova,Ocean - SR</t>
  </si>
  <si>
    <t>07-105</t>
  </si>
  <si>
    <t>Cia Hering</t>
  </si>
  <si>
    <t>LP-00122</t>
  </si>
  <si>
    <t>S,A Fab</t>
  </si>
  <si>
    <t>MP-00203</t>
  </si>
  <si>
    <t>20x10/128x62</t>
  </si>
  <si>
    <t>Khaki Green</t>
  </si>
  <si>
    <t>MP-00176</t>
  </si>
  <si>
    <t>19-205</t>
  </si>
  <si>
    <t>MP-00177</t>
  </si>
  <si>
    <t>MS-18/0341</t>
  </si>
  <si>
    <t>Tesco</t>
  </si>
  <si>
    <t>30x20/152x75</t>
  </si>
  <si>
    <t>AU-8</t>
  </si>
  <si>
    <t>MS-18/4108</t>
  </si>
  <si>
    <t>16x16/96x50</t>
  </si>
  <si>
    <t>18-0933</t>
  </si>
  <si>
    <t>Louie Tex</t>
  </si>
  <si>
    <t>MP-00117</t>
  </si>
  <si>
    <t>MP-00141/142/143</t>
  </si>
  <si>
    <t>MP-00137</t>
  </si>
  <si>
    <t>MP-00150</t>
  </si>
  <si>
    <t>MP-00199</t>
  </si>
  <si>
    <t>Dk,Navy</t>
  </si>
  <si>
    <t>Rucofin-SIQ</t>
  </si>
  <si>
    <t>LP-00185</t>
  </si>
  <si>
    <t>MP-00161</t>
  </si>
  <si>
    <t>T,SC</t>
  </si>
  <si>
    <t>7X10/64X48</t>
  </si>
  <si>
    <t>MP-00110</t>
  </si>
  <si>
    <t>CiaHearing</t>
  </si>
  <si>
    <t>20X30/120X76</t>
  </si>
  <si>
    <t>30X30/130X80</t>
  </si>
  <si>
    <t>MP-00175</t>
  </si>
  <si>
    <t>30X20/152X80</t>
  </si>
  <si>
    <t>MP-00193/94</t>
  </si>
  <si>
    <t>20x16+70D/116X50</t>
  </si>
  <si>
    <t>Po-18/087</t>
  </si>
  <si>
    <t>Berhalea</t>
  </si>
  <si>
    <t>20x20+16/124x54</t>
  </si>
  <si>
    <t>Po-18/095</t>
  </si>
  <si>
    <t>Po-18/141</t>
  </si>
  <si>
    <t>Po-18/140</t>
  </si>
  <si>
    <t>Kan Paka</t>
  </si>
  <si>
    <t>30X30+40D/128X78</t>
  </si>
  <si>
    <t>MP-00159</t>
  </si>
  <si>
    <t>Tem Soursing</t>
  </si>
  <si>
    <t>20x30/130x76</t>
  </si>
  <si>
    <t>MP-00171</t>
  </si>
  <si>
    <t>B S K</t>
  </si>
  <si>
    <t>20X20+16/120X54</t>
  </si>
  <si>
    <t>MP-00140</t>
  </si>
  <si>
    <t>10X7+70D/58x42</t>
  </si>
  <si>
    <t>PS-18/023</t>
  </si>
  <si>
    <t>PS-18/018</t>
  </si>
  <si>
    <t>PS-18/021</t>
  </si>
  <si>
    <t>30x30/130X76</t>
  </si>
  <si>
    <t>PS-18/068</t>
  </si>
  <si>
    <t>16x16+70D/84X50</t>
  </si>
  <si>
    <t>PS-18/137</t>
  </si>
  <si>
    <t>20X20/120X60</t>
  </si>
  <si>
    <t>PS-18/144</t>
  </si>
  <si>
    <t>PS-18/202</t>
  </si>
  <si>
    <t>Rizza Italiea</t>
  </si>
  <si>
    <t>MP-00174</t>
  </si>
  <si>
    <t>LP-00120</t>
  </si>
  <si>
    <t>13-225</t>
  </si>
  <si>
    <t>17-0630</t>
  </si>
  <si>
    <t>Style Tex</t>
  </si>
  <si>
    <t>30x20/150x82</t>
  </si>
  <si>
    <t>20-790</t>
  </si>
  <si>
    <t>7x7+7/72x42</t>
  </si>
  <si>
    <t>Brown</t>
  </si>
  <si>
    <t>30x30/140x72</t>
  </si>
  <si>
    <t>Sky,rose</t>
  </si>
  <si>
    <t>30x30/150x82</t>
  </si>
  <si>
    <t>17-1312</t>
  </si>
  <si>
    <t>14-118</t>
  </si>
  <si>
    <t>Ash</t>
  </si>
  <si>
    <t>LP-00123</t>
  </si>
  <si>
    <t>ARAEnter:</t>
  </si>
  <si>
    <t>19-3920</t>
  </si>
  <si>
    <t>MS-18/4091</t>
  </si>
  <si>
    <t>20x10/130x60</t>
  </si>
  <si>
    <t>19-1534</t>
  </si>
  <si>
    <t>20x30/133x78</t>
  </si>
  <si>
    <t>MP-00109</t>
  </si>
  <si>
    <t>IC</t>
  </si>
  <si>
    <t>PS-18/40147</t>
  </si>
  <si>
    <t>PS-18/40137</t>
  </si>
  <si>
    <t>73-215</t>
  </si>
  <si>
    <t>PS-18/40141</t>
  </si>
  <si>
    <t>MP-00206</t>
  </si>
  <si>
    <t>Team</t>
  </si>
  <si>
    <t>MP-00227</t>
  </si>
  <si>
    <t>20X16+70D/155x54</t>
  </si>
  <si>
    <t>20x16/112x54</t>
  </si>
  <si>
    <t>30X30/142X70</t>
  </si>
  <si>
    <t>40X30+40D/122X95</t>
  </si>
  <si>
    <t>Soorty Tex</t>
  </si>
  <si>
    <t>10x7+70D/72x42</t>
  </si>
  <si>
    <t>20X16+70D/106X66</t>
  </si>
  <si>
    <t>Aman Graphic</t>
  </si>
  <si>
    <t>MP-00200</t>
  </si>
  <si>
    <t>S,A Inter:</t>
  </si>
  <si>
    <t>40x16+10+70D/176X72</t>
  </si>
  <si>
    <t>MP-00185</t>
  </si>
  <si>
    <t>76-230</t>
  </si>
  <si>
    <t>13-222</t>
  </si>
  <si>
    <t>Coral</t>
  </si>
  <si>
    <t>17-1553</t>
  </si>
  <si>
    <t>S/J KNIT Fab</t>
  </si>
  <si>
    <t>Sky Ross</t>
  </si>
  <si>
    <t>LS-18/00</t>
  </si>
  <si>
    <t>Dutex,Yellow-DAGG</t>
  </si>
  <si>
    <t>20X10/130X60</t>
  </si>
  <si>
    <t>20X20+70D/140X57</t>
  </si>
  <si>
    <t>Koritex,Orange-SV-314</t>
  </si>
  <si>
    <t>45/2x45/2/116x62</t>
  </si>
  <si>
    <t>Hydose</t>
  </si>
  <si>
    <t>MP-00232</t>
  </si>
  <si>
    <t>7x7+7/86x30</t>
  </si>
  <si>
    <t>MP-00208</t>
  </si>
  <si>
    <t>MP-00114</t>
  </si>
  <si>
    <t>Cia Hearing</t>
  </si>
  <si>
    <t>LP-00125</t>
  </si>
  <si>
    <t>10x7/72x42</t>
  </si>
  <si>
    <t>20X20/138X82</t>
  </si>
  <si>
    <t>MP-00181</t>
  </si>
  <si>
    <t>7x7+70D/86x30</t>
  </si>
  <si>
    <t>MP-00218</t>
  </si>
  <si>
    <t>LT,Blue</t>
  </si>
  <si>
    <t>MS-18/3052</t>
  </si>
  <si>
    <t>20x20+16/128x68</t>
  </si>
  <si>
    <t>BenshKa</t>
  </si>
  <si>
    <t>Apriton, EM</t>
  </si>
  <si>
    <t>40X40/142X104</t>
  </si>
  <si>
    <t>George</t>
  </si>
  <si>
    <t>MP-00250</t>
  </si>
  <si>
    <t>20x16+70D/140X52</t>
  </si>
  <si>
    <t>16X16+70d/84x50</t>
  </si>
  <si>
    <t>AliF Qazoar</t>
  </si>
  <si>
    <t>MP-00241</t>
  </si>
  <si>
    <t>14-105</t>
  </si>
  <si>
    <t>MP-00242</t>
  </si>
  <si>
    <t>40X30+40D/164X98</t>
  </si>
  <si>
    <t>Boro Bhiya</t>
  </si>
  <si>
    <t>MS-00138</t>
  </si>
  <si>
    <t>Cherry Filed</t>
  </si>
  <si>
    <t>MP-00215</t>
  </si>
  <si>
    <t>Dusty Ross</t>
  </si>
  <si>
    <t>MP-00118</t>
  </si>
  <si>
    <t>MS-18/4112</t>
  </si>
  <si>
    <t>45-304</t>
  </si>
  <si>
    <t>40X30+40/164X98</t>
  </si>
  <si>
    <t>MS-18/40139</t>
  </si>
  <si>
    <t>MP-00172</t>
  </si>
  <si>
    <t>20x20+16/120x54</t>
  </si>
  <si>
    <t>POS</t>
  </si>
  <si>
    <t>30X20/126X78</t>
  </si>
  <si>
    <t>30X20/142X80</t>
  </si>
  <si>
    <t>30X30/94X72</t>
  </si>
  <si>
    <t>Uniqlo</t>
  </si>
  <si>
    <t>PO-18/129</t>
  </si>
  <si>
    <t>PO-18/125</t>
  </si>
  <si>
    <t>PO-18/168</t>
  </si>
  <si>
    <t>MP-00216</t>
  </si>
  <si>
    <t>CheirmanSir</t>
  </si>
  <si>
    <t>For the Month of : August'18</t>
  </si>
  <si>
    <t>01.8.18</t>
  </si>
  <si>
    <t>02.8.18</t>
  </si>
  <si>
    <t>03.8.18</t>
  </si>
  <si>
    <t>04.8.18</t>
  </si>
  <si>
    <t>05.8.18</t>
  </si>
  <si>
    <t>06.8.18</t>
  </si>
  <si>
    <t>07.8.18</t>
  </si>
  <si>
    <t>08.8.18</t>
  </si>
  <si>
    <t>09.8.18</t>
  </si>
  <si>
    <t>10.8.18</t>
  </si>
  <si>
    <t>11.8.18</t>
  </si>
  <si>
    <t>12.8.18</t>
  </si>
  <si>
    <t>13.8.18</t>
  </si>
  <si>
    <t>14.8.18</t>
  </si>
  <si>
    <t>15.8.18</t>
  </si>
  <si>
    <t>16.8.18</t>
  </si>
  <si>
    <t>17.8.18</t>
  </si>
  <si>
    <t>18.8.18</t>
  </si>
  <si>
    <t>19.8.18</t>
  </si>
  <si>
    <t>20.8.18</t>
  </si>
  <si>
    <t>21.8.18</t>
  </si>
  <si>
    <t>22.8.18</t>
  </si>
  <si>
    <t>23.8.18</t>
  </si>
  <si>
    <t>24.8.18</t>
  </si>
  <si>
    <t>25.8.18</t>
  </si>
  <si>
    <t>26.8.18</t>
  </si>
  <si>
    <t>27.8.18</t>
  </si>
  <si>
    <t>28.8.18</t>
  </si>
  <si>
    <t>29.8.18</t>
  </si>
  <si>
    <t>30.8.18</t>
  </si>
  <si>
    <t>31.8.18</t>
  </si>
  <si>
    <t>Production Date : 01.08.18</t>
  </si>
  <si>
    <t>Sestion Incherg</t>
  </si>
  <si>
    <t>Store  Incherg</t>
  </si>
  <si>
    <t>Aspire</t>
  </si>
  <si>
    <t>MP-00371</t>
  </si>
  <si>
    <t>MP-00453</t>
  </si>
  <si>
    <t>MP-00394</t>
  </si>
  <si>
    <t>Castro</t>
  </si>
  <si>
    <t>MP-00365</t>
  </si>
  <si>
    <t>10x10+7/88x33</t>
  </si>
  <si>
    <t>MP-00356</t>
  </si>
  <si>
    <t>Stradi Varius</t>
  </si>
  <si>
    <t>7x10/72x42</t>
  </si>
  <si>
    <t>SM-00298</t>
  </si>
  <si>
    <t>20X10/114X56</t>
  </si>
  <si>
    <t>Boiler</t>
  </si>
  <si>
    <t>Olive Night</t>
  </si>
  <si>
    <t>MP-00415</t>
  </si>
  <si>
    <t>Dress Blue</t>
  </si>
  <si>
    <t>MP-00265</t>
  </si>
  <si>
    <t>20X30/133X78</t>
  </si>
  <si>
    <t xml:space="preserve">Olive  </t>
  </si>
  <si>
    <t>Academy</t>
  </si>
  <si>
    <t>MP-00405</t>
  </si>
  <si>
    <t>Sundreed Tamato</t>
  </si>
  <si>
    <t>Standard Group</t>
  </si>
  <si>
    <t>Sunfix,D,Red  MFCN</t>
  </si>
  <si>
    <t>9x7/82x40</t>
  </si>
  <si>
    <t>LP-18/179</t>
  </si>
  <si>
    <t>N Z</t>
  </si>
  <si>
    <t>Gris</t>
  </si>
  <si>
    <t>20X20+70D/140x70</t>
  </si>
  <si>
    <t>MP-00408</t>
  </si>
  <si>
    <t>MP-00660</t>
  </si>
  <si>
    <t>20X16+70d/140x58</t>
  </si>
  <si>
    <t>Albasix-R</t>
  </si>
  <si>
    <t>K,M,N-400</t>
  </si>
  <si>
    <t>MP-00362/387</t>
  </si>
  <si>
    <t>10x10+6/88x33</t>
  </si>
  <si>
    <t>P0-18/226</t>
  </si>
  <si>
    <t>30X16/130X70</t>
  </si>
  <si>
    <t>MP-00556</t>
  </si>
  <si>
    <t>Stradiveriur</t>
  </si>
  <si>
    <t>70X7+7/80X33</t>
  </si>
  <si>
    <t>MP-00398</t>
  </si>
  <si>
    <t>19-0414</t>
  </si>
  <si>
    <t>MS-18/402</t>
  </si>
  <si>
    <t>76-330</t>
  </si>
  <si>
    <t>76-104</t>
  </si>
  <si>
    <t>MS-18/400</t>
  </si>
  <si>
    <t>20X16+70D/130X64</t>
  </si>
  <si>
    <t>19-4006</t>
  </si>
  <si>
    <t>MP-00364</t>
  </si>
  <si>
    <t>MS-18/393</t>
  </si>
  <si>
    <t>79-209</t>
  </si>
  <si>
    <t>MS-18/389</t>
  </si>
  <si>
    <t>91-302</t>
  </si>
  <si>
    <t>MS-18/336</t>
  </si>
  <si>
    <t>40X20+70D/156X65</t>
  </si>
  <si>
    <t>14-331</t>
  </si>
  <si>
    <t>MS-18/163</t>
  </si>
  <si>
    <t>Re-Dying</t>
  </si>
  <si>
    <t>MS-18/368</t>
  </si>
  <si>
    <t>16x12/108x56</t>
  </si>
  <si>
    <t>MP-00202</t>
  </si>
  <si>
    <t>P0-18/426</t>
  </si>
  <si>
    <t>Re-</t>
  </si>
  <si>
    <t>MP-00349</t>
  </si>
  <si>
    <t xml:space="preserve">R F D </t>
  </si>
  <si>
    <t xml:space="preserve">Leucophor,-BBU </t>
  </si>
  <si>
    <t>Store:Requisition:</t>
  </si>
  <si>
    <t>Store:Requisition:Dying:</t>
  </si>
  <si>
    <t>Store:Requisition:E T P/W T P</t>
  </si>
  <si>
    <t>Store:Requisition:Total-</t>
  </si>
  <si>
    <t>Common Salt</t>
  </si>
  <si>
    <t>Caustic Soda</t>
  </si>
  <si>
    <t>A,Acid</t>
  </si>
  <si>
    <t>Verolan-N B A</t>
  </si>
  <si>
    <t>Hydosen Peroxid</t>
  </si>
  <si>
    <t>Kelanon- Xtana</t>
  </si>
  <si>
    <t>Total:-</t>
  </si>
  <si>
    <t>Chemicals Name:</t>
  </si>
  <si>
    <t>Price:</t>
  </si>
  <si>
    <t>KG:</t>
  </si>
  <si>
    <t>Chemicals:Stok=</t>
  </si>
  <si>
    <t>Seragol Mip</t>
  </si>
  <si>
    <t>Caustick Soda</t>
  </si>
  <si>
    <t>PVA Gum</t>
  </si>
  <si>
    <t>Production Date : 02.08.18</t>
  </si>
  <si>
    <t>Store:Requisition:Dying:Chemicals</t>
  </si>
  <si>
    <t>All- Chemical &amp; Dyes =</t>
  </si>
  <si>
    <t>All-Use Chemical</t>
  </si>
  <si>
    <t>All-Use Dyes</t>
  </si>
  <si>
    <t>Production Date : 03.08.18</t>
  </si>
  <si>
    <t>20x20/60x60/</t>
  </si>
  <si>
    <t>MP-00373</t>
  </si>
  <si>
    <t>MP-00332</t>
  </si>
  <si>
    <t>MP-00342</t>
  </si>
  <si>
    <t>Indochian</t>
  </si>
  <si>
    <t>30x16/140x62</t>
  </si>
  <si>
    <t>LP-00202</t>
  </si>
  <si>
    <t>30x30/122x70</t>
  </si>
  <si>
    <t>MP-00460</t>
  </si>
  <si>
    <t>LP-00180</t>
  </si>
  <si>
    <t>20X20+70D/140X70</t>
  </si>
  <si>
    <t>10X20+70D/76X60</t>
  </si>
  <si>
    <t>20x16+70D/130X64</t>
  </si>
  <si>
    <t>MP-00399</t>
  </si>
  <si>
    <t>MP-00358</t>
  </si>
  <si>
    <t>40x40/128x80</t>
  </si>
  <si>
    <t>MP-00294</t>
  </si>
  <si>
    <t>13-118</t>
  </si>
  <si>
    <t>MP-00452</t>
  </si>
  <si>
    <t>Quiet Shade</t>
  </si>
  <si>
    <t>MP-00387</t>
  </si>
  <si>
    <t>Caviar</t>
  </si>
  <si>
    <t>R F D</t>
  </si>
  <si>
    <t>Arristan-64</t>
  </si>
  <si>
    <t>MP-00382</t>
  </si>
  <si>
    <t>P D S</t>
  </si>
  <si>
    <t>30X20/130X75</t>
  </si>
  <si>
    <t>MP-00385</t>
  </si>
  <si>
    <t>20x16+70D/</t>
  </si>
  <si>
    <t>Dutex T,Blue-DABN</t>
  </si>
  <si>
    <t>30X20/140X66</t>
  </si>
  <si>
    <t>Dutex ,Red-DABG</t>
  </si>
  <si>
    <t>30X30/155X92</t>
  </si>
  <si>
    <t>Production Date : 04.08.18</t>
  </si>
  <si>
    <t>MP-00337</t>
  </si>
  <si>
    <t>MP-00368</t>
  </si>
  <si>
    <t>16x12/104x58</t>
  </si>
  <si>
    <t>MP-00336</t>
  </si>
  <si>
    <t>MP-00293</t>
  </si>
  <si>
    <t>LP-18/180</t>
  </si>
  <si>
    <t>MP-00381</t>
  </si>
  <si>
    <t>Indin Fab</t>
  </si>
  <si>
    <t>Sodiam bicorbonet</t>
  </si>
  <si>
    <t>20x20/98x50</t>
  </si>
  <si>
    <t>30x16/145x62</t>
  </si>
  <si>
    <t>Dusty Green</t>
  </si>
  <si>
    <t>40x20+70D/116X65</t>
  </si>
  <si>
    <t>MP-00451</t>
  </si>
  <si>
    <t>20X16/+70D/130X64</t>
  </si>
  <si>
    <t>Total Re-Proses-</t>
  </si>
  <si>
    <t>Perosid H202</t>
  </si>
  <si>
    <t xml:space="preserve">R </t>
  </si>
  <si>
    <t>E</t>
  </si>
  <si>
    <t>P</t>
  </si>
  <si>
    <t>S</t>
  </si>
  <si>
    <t>O</t>
  </si>
  <si>
    <t>Chemicals:</t>
  </si>
  <si>
    <t>Dyes :</t>
  </si>
  <si>
    <t>Singing</t>
  </si>
  <si>
    <t>Bleaching :</t>
  </si>
  <si>
    <t>MP-00383</t>
  </si>
  <si>
    <t>P,D,S</t>
  </si>
  <si>
    <t>Euro Apperal</t>
  </si>
  <si>
    <t>20x16+70D/136X60</t>
  </si>
  <si>
    <t>MP-00386</t>
  </si>
  <si>
    <t>Unigd</t>
  </si>
  <si>
    <t>30x30+40D</t>
  </si>
  <si>
    <t>MS-18/293</t>
  </si>
  <si>
    <t>93-107</t>
  </si>
  <si>
    <t>Nova,Red, EC-2BL</t>
  </si>
  <si>
    <t>MP-00402/406/410/414</t>
  </si>
  <si>
    <t>85-113</t>
  </si>
  <si>
    <t>MP-00404</t>
  </si>
  <si>
    <t>15-213</t>
  </si>
  <si>
    <t>45-206</t>
  </si>
  <si>
    <t>MP-00361</t>
  </si>
  <si>
    <t>75-205</t>
  </si>
  <si>
    <t>MP-00403</t>
  </si>
  <si>
    <t>MP-00402</t>
  </si>
  <si>
    <t>MP-00359</t>
  </si>
  <si>
    <t>Geonge</t>
  </si>
  <si>
    <t>T,Brown</t>
  </si>
  <si>
    <t>20X20/60X60</t>
  </si>
  <si>
    <t>30x20+70D/140X66</t>
  </si>
  <si>
    <t>40X16+70D/190X70</t>
  </si>
  <si>
    <t>MP-00463</t>
  </si>
  <si>
    <t>30X30/122X70</t>
  </si>
  <si>
    <t>MP-00434</t>
  </si>
  <si>
    <t>MP-00406</t>
  </si>
  <si>
    <t>40x40/124x96</t>
  </si>
  <si>
    <t>MP-00459</t>
  </si>
  <si>
    <t>11-120</t>
  </si>
  <si>
    <t>MS-18/303</t>
  </si>
  <si>
    <t>Kitt</t>
  </si>
  <si>
    <t>MS-18/308</t>
  </si>
  <si>
    <t>19-215</t>
  </si>
  <si>
    <t>To,Brown</t>
  </si>
  <si>
    <t>MP-00420</t>
  </si>
  <si>
    <t>Euro Tex</t>
  </si>
  <si>
    <t>20x16/70D/135x60</t>
  </si>
  <si>
    <t>Production Date : 06.08.18</t>
  </si>
  <si>
    <t>Production Date : 07.08.18</t>
  </si>
  <si>
    <t>MP-00800</t>
  </si>
  <si>
    <t>PO-18/000</t>
  </si>
  <si>
    <t>30X30/128X80</t>
  </si>
  <si>
    <t>Can Coal</t>
  </si>
  <si>
    <t>MP-00456</t>
  </si>
  <si>
    <t>Jat Black</t>
  </si>
  <si>
    <t>MP-00354</t>
  </si>
  <si>
    <t>MP-00380</t>
  </si>
  <si>
    <t>40x20/160x98</t>
  </si>
  <si>
    <t>Pig:Whitw Past-FC-500R</t>
  </si>
  <si>
    <t>Gran:Total:-</t>
  </si>
  <si>
    <t>Production Date : 08.08.18</t>
  </si>
  <si>
    <t>07-206</t>
  </si>
  <si>
    <t>MP-00407</t>
  </si>
  <si>
    <t>Dress And</t>
  </si>
  <si>
    <t>19-4118</t>
  </si>
  <si>
    <t>40X30/130X70</t>
  </si>
  <si>
    <t>MS-18/451</t>
  </si>
  <si>
    <t xml:space="preserve"> (Navy)</t>
  </si>
  <si>
    <t xml:space="preserve">Peacoat </t>
  </si>
  <si>
    <t>Jet Black</t>
  </si>
  <si>
    <t>MS-18/456</t>
  </si>
  <si>
    <t>MS-18/457</t>
  </si>
  <si>
    <t>Camo</t>
  </si>
  <si>
    <t>MS-18/458</t>
  </si>
  <si>
    <t>Tobaco</t>
  </si>
  <si>
    <t>MS-18/800</t>
  </si>
  <si>
    <t>Bez:,Brown BR EPS</t>
  </si>
  <si>
    <t>Inden,Olive -T</t>
  </si>
  <si>
    <t>Sitamol-WS</t>
  </si>
  <si>
    <t>Bez:,Black-RB EPS</t>
  </si>
  <si>
    <t>MP-00372</t>
  </si>
  <si>
    <t>LP-18/</t>
  </si>
  <si>
    <t>Vai Vai</t>
  </si>
  <si>
    <t>80x80/110x76</t>
  </si>
  <si>
    <t xml:space="preserve"> Black</t>
  </si>
  <si>
    <t>Sund:,Tamato</t>
  </si>
  <si>
    <t>MP-00369</t>
  </si>
  <si>
    <t>AC-Acid</t>
  </si>
  <si>
    <t>LP-00211</t>
  </si>
  <si>
    <t>30X30/140X90</t>
  </si>
  <si>
    <t>Date Wise</t>
  </si>
  <si>
    <t>Total Taka:</t>
  </si>
  <si>
    <t>Production Date : 09.08.18</t>
  </si>
  <si>
    <t>Any Pink</t>
  </si>
  <si>
    <t>Re-Proses:Dyise</t>
  </si>
  <si>
    <t>9x7/82x42</t>
  </si>
  <si>
    <t>MP-00384</t>
  </si>
  <si>
    <t>Fashion Desiger</t>
  </si>
  <si>
    <t>20x20+70D/135X50</t>
  </si>
  <si>
    <t>Grand Total:Production</t>
  </si>
  <si>
    <t>Production Date : 10.08.18</t>
  </si>
  <si>
    <t>Production Date : 11.08.18</t>
  </si>
  <si>
    <t>Silver</t>
  </si>
  <si>
    <t>MP-00375</t>
  </si>
  <si>
    <t>LP-00210</t>
  </si>
  <si>
    <t>410(B-Blue)</t>
  </si>
  <si>
    <t>32X32/140X90</t>
  </si>
  <si>
    <t>LP-18/210</t>
  </si>
  <si>
    <t>LP00113</t>
  </si>
  <si>
    <t>30X30/102X63</t>
  </si>
  <si>
    <t>LP00110</t>
  </si>
  <si>
    <t>Dutex,Orang-DARR</t>
  </si>
  <si>
    <t>MP00417</t>
  </si>
  <si>
    <t>JT,Black</t>
  </si>
  <si>
    <t>LP-00179/181</t>
  </si>
  <si>
    <t>20x20+70D/140X70</t>
  </si>
  <si>
    <t>Arzin Fas:</t>
  </si>
  <si>
    <t>LP-00212</t>
  </si>
  <si>
    <t>MP-00437</t>
  </si>
  <si>
    <t>MP-00427</t>
  </si>
  <si>
    <t>MP-00419</t>
  </si>
  <si>
    <t>20X16+70D/135X60</t>
  </si>
  <si>
    <t>Shart Fould</t>
  </si>
  <si>
    <t>Anika</t>
  </si>
  <si>
    <t>30x16+40D/148X72</t>
  </si>
  <si>
    <t>MP-00467</t>
  </si>
  <si>
    <t>LP-00217</t>
  </si>
  <si>
    <t>LP-00207</t>
  </si>
  <si>
    <t>MP-00469</t>
  </si>
  <si>
    <t>Total,Dyes:Chemicals:</t>
  </si>
  <si>
    <t>C &amp; A</t>
  </si>
  <si>
    <t>MP-00370</t>
  </si>
  <si>
    <t>MP-00376</t>
  </si>
  <si>
    <t>20x16+70D/116X52</t>
  </si>
  <si>
    <t>LT,Olive</t>
  </si>
  <si>
    <t>LP-00208</t>
  </si>
  <si>
    <t>LP-00206</t>
  </si>
  <si>
    <t>LP-00204</t>
  </si>
  <si>
    <t>DK,Green</t>
  </si>
  <si>
    <t>MP-00465</t>
  </si>
  <si>
    <t>MP-00466</t>
  </si>
  <si>
    <t>30X20/133X78</t>
  </si>
  <si>
    <t>Navy/Black</t>
  </si>
  <si>
    <t>MP-00409</t>
  </si>
  <si>
    <t>40x20+70D/156X65</t>
  </si>
  <si>
    <t>MP-00700</t>
  </si>
  <si>
    <t>Sun Dreid</t>
  </si>
  <si>
    <t>Tomato</t>
  </si>
  <si>
    <t>40X20/+70D/130X64</t>
  </si>
  <si>
    <t>B &amp; B Cor:</t>
  </si>
  <si>
    <t>20X16+70D/140x58</t>
  </si>
  <si>
    <t>LP-18/201</t>
  </si>
  <si>
    <t xml:space="preserve"> Soda-Ash</t>
  </si>
  <si>
    <t>20x16/145x92</t>
  </si>
  <si>
    <t>MP00337</t>
  </si>
  <si>
    <t>Seqoion-NBA</t>
  </si>
  <si>
    <t>Stablizer -OKM</t>
  </si>
  <si>
    <t>Karalon EXta(Wetting)</t>
  </si>
  <si>
    <t>Megalase-H,T I(Enzyme)</t>
  </si>
  <si>
    <t xml:space="preserve"> Soda-ASH</t>
  </si>
  <si>
    <t>Megalase-H,T,I (Enzyme)</t>
  </si>
  <si>
    <t>Production Date : 12.08.18</t>
  </si>
  <si>
    <t>Antheracite</t>
  </si>
  <si>
    <t>MP-00475</t>
  </si>
  <si>
    <t>Lufibrol -2UD</t>
  </si>
  <si>
    <t>Azrin</t>
  </si>
  <si>
    <t>Production Date : 13.08.18</t>
  </si>
  <si>
    <t>MP-00462</t>
  </si>
  <si>
    <t>Istam Garments</t>
  </si>
  <si>
    <t>30x12+40D/128x72</t>
  </si>
  <si>
    <t>MP-00441</t>
  </si>
  <si>
    <t>LP-00225/228</t>
  </si>
  <si>
    <t>LP-00227</t>
  </si>
  <si>
    <t>LP-00213</t>
  </si>
  <si>
    <t>Anik</t>
  </si>
  <si>
    <t>30x16+70D/148X72</t>
  </si>
  <si>
    <t>De:Blue</t>
  </si>
  <si>
    <t>MP-00424</t>
  </si>
  <si>
    <t>13-129</t>
  </si>
  <si>
    <t>MP-00344</t>
  </si>
  <si>
    <t>LP-00143</t>
  </si>
  <si>
    <t>30x16+16+70D/140X68</t>
  </si>
  <si>
    <t>MP-00326</t>
  </si>
  <si>
    <t>20x20+16/120x58</t>
  </si>
  <si>
    <t>19-131</t>
  </si>
  <si>
    <t>Best S eller</t>
  </si>
  <si>
    <t>Kangaro</t>
  </si>
  <si>
    <t xml:space="preserve">Sunfix,Red-MFCN </t>
  </si>
  <si>
    <t>MP-18/396</t>
  </si>
  <si>
    <t>MP-18/336</t>
  </si>
  <si>
    <t>40X20+70D/128X60</t>
  </si>
  <si>
    <t>MP-00377</t>
  </si>
  <si>
    <t>Slcet Grey</t>
  </si>
  <si>
    <t>MP-00479</t>
  </si>
  <si>
    <t>F,Night</t>
  </si>
  <si>
    <t>LP-00209</t>
  </si>
  <si>
    <t>Production Date : 14.08.18</t>
  </si>
  <si>
    <t>LP-00231</t>
  </si>
  <si>
    <t>LP-00232</t>
  </si>
  <si>
    <t>30x20+70D/128X66</t>
  </si>
  <si>
    <t>Production Date : 15.08.18</t>
  </si>
  <si>
    <t>MP-00458</t>
  </si>
  <si>
    <t>Moon Rock</t>
  </si>
  <si>
    <t>I, V, Y, Green</t>
  </si>
  <si>
    <t>MP-00461</t>
  </si>
  <si>
    <t>Stcet Grey</t>
  </si>
  <si>
    <t>30X30133X70</t>
  </si>
  <si>
    <t>40x20+70/156x65</t>
  </si>
  <si>
    <t>MP-00476</t>
  </si>
  <si>
    <t>(Binder,RB-40)</t>
  </si>
  <si>
    <t>MP-00494</t>
  </si>
  <si>
    <t>LP-00233</t>
  </si>
  <si>
    <t>LP-00234</t>
  </si>
  <si>
    <t>Unitex-B L H</t>
  </si>
  <si>
    <t>Unitex-B B T</t>
  </si>
  <si>
    <t>Merlet</t>
  </si>
  <si>
    <t>MP-18/402</t>
  </si>
  <si>
    <t>Binder-N 54</t>
  </si>
  <si>
    <t>Monthle :Mashin Wise Taka:</t>
  </si>
  <si>
    <t>ChairmanSir</t>
  </si>
  <si>
    <t>Production Date : 16.08.18</t>
  </si>
  <si>
    <t>MP-00510</t>
  </si>
  <si>
    <t>MS-18/430</t>
  </si>
  <si>
    <t>19-134</t>
  </si>
  <si>
    <t>50x30/40D/212X97</t>
  </si>
  <si>
    <t>MS-18/391</t>
  </si>
  <si>
    <t>20X20+16/120X58</t>
  </si>
  <si>
    <t>08-221</t>
  </si>
  <si>
    <t>MS-18/423</t>
  </si>
  <si>
    <t>Ash-Grey</t>
  </si>
  <si>
    <t>Cordova</t>
  </si>
  <si>
    <t>MP-00457</t>
  </si>
  <si>
    <t>Momo,C:Print</t>
  </si>
  <si>
    <t>I,V,Y Green</t>
  </si>
  <si>
    <t xml:space="preserve">Tobaco </t>
  </si>
  <si>
    <t>MP-00454</t>
  </si>
  <si>
    <t>MP-00455</t>
  </si>
  <si>
    <t>Production Date : 17.08.18</t>
  </si>
  <si>
    <t>MP-00512</t>
  </si>
  <si>
    <t>MP-00511</t>
  </si>
  <si>
    <t>Islam</t>
  </si>
  <si>
    <t>30x12+40D/152X70</t>
  </si>
  <si>
    <t>MP-00493</t>
  </si>
  <si>
    <t>MP-00509</t>
  </si>
  <si>
    <t>MS-18/410</t>
  </si>
  <si>
    <t>Mid Blue</t>
  </si>
  <si>
    <t>LP-00166/74</t>
  </si>
  <si>
    <t>19-3810</t>
  </si>
  <si>
    <t>MP-00435</t>
  </si>
  <si>
    <t>Aldi</t>
  </si>
  <si>
    <t>19-3918</t>
  </si>
  <si>
    <t>Ash Grey</t>
  </si>
  <si>
    <t>32x32/140x90</t>
  </si>
  <si>
    <t>Fixapret ,F-ECO</t>
  </si>
  <si>
    <t>Silicon-HPS</t>
  </si>
  <si>
    <t>Chemicals:Stock-</t>
  </si>
  <si>
    <t>Production Date : 18.08.18</t>
  </si>
  <si>
    <t>MP-00495</t>
  </si>
  <si>
    <t>MS-18/494</t>
  </si>
  <si>
    <t>20x16+70D/135X60</t>
  </si>
  <si>
    <t>MP-00423</t>
  </si>
  <si>
    <t>Charcol</t>
  </si>
  <si>
    <t>MP-00422</t>
  </si>
  <si>
    <t>MP-00042</t>
  </si>
  <si>
    <t>30x20+70D/166X66</t>
  </si>
  <si>
    <t>Grigio</t>
  </si>
  <si>
    <t>30X30133X72</t>
  </si>
  <si>
    <t>Blue Colatt</t>
  </si>
  <si>
    <t>MP-00391</t>
  </si>
  <si>
    <t>Cord Oval</t>
  </si>
  <si>
    <t>H PS</t>
  </si>
  <si>
    <t>Production Date : 19.08.18</t>
  </si>
  <si>
    <t>LS-18/000</t>
  </si>
  <si>
    <t>Crown</t>
  </si>
  <si>
    <t>14x19/95x65</t>
  </si>
  <si>
    <t>LP-00226</t>
  </si>
  <si>
    <t>40x40/130x72</t>
  </si>
  <si>
    <t>LP-00229</t>
  </si>
  <si>
    <t>New Charcol</t>
  </si>
  <si>
    <t>MP-00429</t>
  </si>
  <si>
    <t>LP-00216</t>
  </si>
  <si>
    <t>LT, Blue</t>
  </si>
  <si>
    <t>Rucofin-GWS</t>
  </si>
  <si>
    <t>MP-00213</t>
  </si>
  <si>
    <t>10x10+16+70D/74X52</t>
  </si>
  <si>
    <t>B H T</t>
  </si>
  <si>
    <t>Ultratex-Fmi Drug</t>
  </si>
  <si>
    <t>MP-00464</t>
  </si>
  <si>
    <t xml:space="preserve"> Grey</t>
  </si>
  <si>
    <t>Production Date : 20.08.18</t>
  </si>
  <si>
    <t>Production Date : 21.08.18</t>
  </si>
  <si>
    <t xml:space="preserve">E </t>
  </si>
  <si>
    <t>I</t>
  </si>
  <si>
    <t>D</t>
  </si>
  <si>
    <t>M</t>
  </si>
  <si>
    <t>U</t>
  </si>
  <si>
    <t>B</t>
  </si>
  <si>
    <t>A</t>
  </si>
  <si>
    <t>R</t>
  </si>
  <si>
    <t>K</t>
  </si>
  <si>
    <t>Production Date : 26.08.18</t>
  </si>
  <si>
    <t>Production Date : 23.08.18</t>
  </si>
  <si>
    <t>Production Date : 22.08.18</t>
  </si>
  <si>
    <t>Production Date : 24.08.18</t>
  </si>
  <si>
    <t>Production Date : 25.08.18</t>
  </si>
  <si>
    <t>20X20+70D/100X58</t>
  </si>
  <si>
    <t>Octalink</t>
  </si>
  <si>
    <t>10x10+70D/76X52</t>
  </si>
  <si>
    <t xml:space="preserve">  </t>
  </si>
  <si>
    <t>Anthercite</t>
  </si>
  <si>
    <t>DK,Grey-300</t>
  </si>
  <si>
    <t>Production Date : 27.08.18</t>
  </si>
  <si>
    <t>Name of Dyes/ Chemicals</t>
  </si>
  <si>
    <t>MP-00474</t>
  </si>
  <si>
    <t>MP-00428</t>
  </si>
  <si>
    <t>20X16+70D/130X68</t>
  </si>
  <si>
    <t>LP-00230</t>
  </si>
  <si>
    <t>LP-00221</t>
  </si>
  <si>
    <t>LP-00218</t>
  </si>
  <si>
    <t>30X30/133X70</t>
  </si>
  <si>
    <t>Koritex,Violet-DAB</t>
  </si>
  <si>
    <t>LP-00222</t>
  </si>
  <si>
    <t>LP-00220</t>
  </si>
  <si>
    <t>LP-00219</t>
  </si>
  <si>
    <t>Production Date : 28.08.18</t>
  </si>
  <si>
    <t>MP-00421</t>
  </si>
  <si>
    <t>MP-00442</t>
  </si>
  <si>
    <t>20x20/114x56</t>
  </si>
  <si>
    <t>LP-00236</t>
  </si>
  <si>
    <t>D,Green</t>
  </si>
  <si>
    <t>MP-00308</t>
  </si>
  <si>
    <t>Perosid( H202)</t>
  </si>
  <si>
    <t>Globule Salt</t>
  </si>
  <si>
    <t>40x16+40D/148X72</t>
  </si>
  <si>
    <t>Thermacol, MP</t>
  </si>
  <si>
    <t>MP-00157</t>
  </si>
  <si>
    <t>30x12+40D/152X75</t>
  </si>
  <si>
    <t>Burgendy</t>
  </si>
  <si>
    <t>MP-00438</t>
  </si>
  <si>
    <t>I O C</t>
  </si>
  <si>
    <t>30X30+40D/137X75</t>
  </si>
  <si>
    <t>Quite Shate</t>
  </si>
  <si>
    <t>Albafix-R</t>
  </si>
  <si>
    <t>Sapamine-CSN</t>
  </si>
  <si>
    <t>Ultratex ,FMI</t>
  </si>
  <si>
    <t xml:space="preserve">Ceranine ,H P S </t>
  </si>
  <si>
    <t>B,H,T</t>
  </si>
  <si>
    <t>Production Date : 29.08.18</t>
  </si>
  <si>
    <t>20X16/130X64</t>
  </si>
  <si>
    <t>Na,Blazer</t>
  </si>
  <si>
    <t>Asprie</t>
  </si>
  <si>
    <t>Rose Aop</t>
  </si>
  <si>
    <t>MP-00330</t>
  </si>
  <si>
    <t>C,Brown</t>
  </si>
  <si>
    <t>Chree Field</t>
  </si>
  <si>
    <t>20x16+70D/140X48</t>
  </si>
  <si>
    <t>MP-00395</t>
  </si>
  <si>
    <t>10x10+10+70D/80X40</t>
  </si>
  <si>
    <t>MP-00411</t>
  </si>
  <si>
    <t>20x20+16/120x65</t>
  </si>
  <si>
    <t>MP-00473</t>
  </si>
  <si>
    <t>Fashion Desing</t>
  </si>
  <si>
    <t>Ultratex-SIS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</si>
</sst>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_);_(* \(#,##0.000\);_(* &quot;-&quot;???_);_(@_)"/>
    <numFmt numFmtId="167" formatCode="_(* #,##0.0_);_(* \(#,##0.0\);_(* &quot;-&quot;??_);_(@_)"/>
    <numFmt numFmtId="168" formatCode="_(* #,##0_);_(* \(#,##0\);_(* &quot;-&quot;???_);_(@_)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0"/>
      <color theme="1"/>
      <name val="Times New Roman"/>
      <family val="1"/>
    </font>
    <font>
      <b/>
      <sz val="1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u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i/>
      <sz val="16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43" fontId="0" fillId="0" borderId="1" xfId="1" applyFont="1" applyBorder="1"/>
    <xf numFmtId="0" fontId="2" fillId="0" borderId="1" xfId="0" applyFont="1" applyBorder="1" applyAlignment="1">
      <alignment horizontal="center"/>
    </xf>
    <xf numFmtId="43" fontId="2" fillId="0" borderId="1" xfId="1" applyFont="1" applyBorder="1"/>
    <xf numFmtId="164" fontId="2" fillId="0" borderId="1" xfId="1" applyNumberFormat="1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43" fontId="0" fillId="0" borderId="0" xfId="1" applyFont="1" applyBorder="1"/>
    <xf numFmtId="43" fontId="2" fillId="0" borderId="0" xfId="1" applyFont="1" applyBorder="1"/>
    <xf numFmtId="0" fontId="0" fillId="0" borderId="0" xfId="0" applyBorder="1"/>
    <xf numFmtId="165" fontId="0" fillId="0" borderId="1" xfId="1" applyNumberFormat="1" applyFont="1" applyBorder="1"/>
    <xf numFmtId="165" fontId="0" fillId="0" borderId="0" xfId="1" applyNumberFormat="1" applyFont="1" applyBorder="1"/>
    <xf numFmtId="165" fontId="0" fillId="0" borderId="0" xfId="0" applyNumberFormat="1"/>
    <xf numFmtId="165" fontId="2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5" fillId="0" borderId="1" xfId="0" applyFont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/>
    <xf numFmtId="0" fontId="5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ont="1" applyAlignment="1">
      <alignment horizontal="left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5" fillId="0" borderId="1" xfId="0" applyFont="1" applyBorder="1"/>
    <xf numFmtId="0" fontId="9" fillId="0" borderId="1" xfId="0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5" fontId="5" fillId="0" borderId="1" xfId="1" applyNumberFormat="1" applyFont="1" applyBorder="1"/>
    <xf numFmtId="43" fontId="5" fillId="0" borderId="1" xfId="1" applyFont="1" applyBorder="1"/>
    <xf numFmtId="164" fontId="9" fillId="0" borderId="1" xfId="1" applyNumberFormat="1" applyFont="1" applyBorder="1" applyAlignment="1">
      <alignment horizontal="center"/>
    </xf>
    <xf numFmtId="43" fontId="9" fillId="0" borderId="1" xfId="1" applyFont="1" applyBorder="1"/>
    <xf numFmtId="0" fontId="9" fillId="0" borderId="2" xfId="0" applyFont="1" applyBorder="1"/>
    <xf numFmtId="0" fontId="9" fillId="0" borderId="3" xfId="0" applyFont="1" applyBorder="1"/>
    <xf numFmtId="164" fontId="9" fillId="2" borderId="1" xfId="0" applyNumberFormat="1" applyFont="1" applyFill="1" applyBorder="1"/>
    <xf numFmtId="0" fontId="9" fillId="2" borderId="3" xfId="0" applyFont="1" applyFill="1" applyBorder="1"/>
    <xf numFmtId="0" fontId="5" fillId="0" borderId="0" xfId="0" applyFont="1" applyBorder="1" applyAlignment="1"/>
    <xf numFmtId="0" fontId="5" fillId="0" borderId="0" xfId="0" applyFont="1" applyBorder="1"/>
    <xf numFmtId="0" fontId="0" fillId="0" borderId="0" xfId="0" applyFont="1" applyBorder="1" applyAlignment="1"/>
    <xf numFmtId="164" fontId="2" fillId="2" borderId="1" xfId="0" applyNumberFormat="1" applyFont="1" applyFill="1" applyBorder="1"/>
    <xf numFmtId="0" fontId="2" fillId="2" borderId="3" xfId="0" applyFont="1" applyFill="1" applyBorder="1"/>
    <xf numFmtId="43" fontId="2" fillId="2" borderId="1" xfId="1" applyFont="1" applyFill="1" applyBorder="1"/>
    <xf numFmtId="0" fontId="2" fillId="2" borderId="1" xfId="0" applyFont="1" applyFill="1" applyBorder="1"/>
    <xf numFmtId="165" fontId="5" fillId="0" borderId="1" xfId="1" applyNumberFormat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3" fontId="5" fillId="3" borderId="1" xfId="1" applyFont="1" applyFill="1" applyBorder="1"/>
    <xf numFmtId="0" fontId="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3" fontId="4" fillId="0" borderId="1" xfId="1" applyFont="1" applyBorder="1"/>
    <xf numFmtId="43" fontId="9" fillId="2" borderId="1" xfId="1" applyFont="1" applyFill="1" applyBorder="1"/>
    <xf numFmtId="0" fontId="5" fillId="0" borderId="1" xfId="0" applyFont="1" applyFill="1" applyBorder="1" applyAlignment="1">
      <alignment horizontal="center" vertical="center" wrapText="1"/>
    </xf>
    <xf numFmtId="43" fontId="12" fillId="0" borderId="1" xfId="1" applyFont="1" applyBorder="1"/>
    <xf numFmtId="0" fontId="0" fillId="0" borderId="0" xfId="0" applyFont="1"/>
    <xf numFmtId="0" fontId="8" fillId="0" borderId="0" xfId="0" applyFont="1"/>
    <xf numFmtId="0" fontId="5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16" fillId="0" borderId="0" xfId="0" applyFont="1"/>
    <xf numFmtId="0" fontId="14" fillId="0" borderId="0" xfId="0" applyFont="1"/>
    <xf numFmtId="0" fontId="21" fillId="0" borderId="0" xfId="0" applyFont="1" applyAlignment="1"/>
    <xf numFmtId="0" fontId="16" fillId="0" borderId="0" xfId="0" applyFont="1" applyAlignment="1">
      <alignment wrapText="1"/>
    </xf>
    <xf numFmtId="0" fontId="15" fillId="0" borderId="0" xfId="0" applyFont="1" applyAlignment="1">
      <alignment wrapText="1"/>
    </xf>
    <xf numFmtId="164" fontId="22" fillId="6" borderId="4" xfId="1" applyNumberFormat="1" applyFont="1" applyFill="1" applyBorder="1"/>
    <xf numFmtId="164" fontId="22" fillId="8" borderId="4" xfId="1" applyNumberFormat="1" applyFont="1" applyFill="1" applyBorder="1"/>
    <xf numFmtId="164" fontId="22" fillId="7" borderId="4" xfId="1" applyNumberFormat="1" applyFont="1" applyFill="1" applyBorder="1"/>
    <xf numFmtId="43" fontId="22" fillId="8" borderId="4" xfId="1" applyFont="1" applyFill="1" applyBorder="1"/>
    <xf numFmtId="0" fontId="23" fillId="0" borderId="1" xfId="0" applyFont="1" applyBorder="1"/>
    <xf numFmtId="165" fontId="23" fillId="0" borderId="1" xfId="1" applyNumberFormat="1" applyFont="1" applyBorder="1"/>
    <xf numFmtId="43" fontId="23" fillId="0" borderId="1" xfId="1" applyFont="1" applyBorder="1"/>
    <xf numFmtId="165" fontId="24" fillId="0" borderId="1" xfId="0" applyNumberFormat="1" applyFont="1" applyBorder="1"/>
    <xf numFmtId="0" fontId="23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left"/>
    </xf>
    <xf numFmtId="164" fontId="23" fillId="0" borderId="1" xfId="1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1" fontId="23" fillId="0" borderId="1" xfId="0" applyNumberFormat="1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 shrinkToFit="1"/>
    </xf>
    <xf numFmtId="43" fontId="23" fillId="2" borderId="1" xfId="1" applyFont="1" applyFill="1" applyBorder="1"/>
    <xf numFmtId="0" fontId="23" fillId="0" borderId="1" xfId="0" applyFont="1" applyFill="1" applyBorder="1" applyAlignment="1">
      <alignment horizontal="center" vertical="center" wrapText="1" shrinkToFit="1"/>
    </xf>
    <xf numFmtId="43" fontId="23" fillId="0" borderId="1" xfId="1" applyFont="1" applyBorder="1" applyAlignment="1">
      <alignment horizontal="center"/>
    </xf>
    <xf numFmtId="0" fontId="24" fillId="0" borderId="1" xfId="0" applyFont="1" applyFill="1" applyBorder="1" applyAlignment="1">
      <alignment horizontal="center" vertical="center" shrinkToFit="1"/>
    </xf>
    <xf numFmtId="165" fontId="23" fillId="0" borderId="1" xfId="1" applyNumberFormat="1" applyFont="1" applyBorder="1" applyAlignment="1">
      <alignment horizontal="center"/>
    </xf>
    <xf numFmtId="43" fontId="14" fillId="0" borderId="1" xfId="1" applyFont="1" applyBorder="1"/>
    <xf numFmtId="164" fontId="14" fillId="0" borderId="1" xfId="1" applyNumberFormat="1" applyFont="1" applyBorder="1" applyAlignment="1">
      <alignment horizontal="center"/>
    </xf>
    <xf numFmtId="1" fontId="23" fillId="3" borderId="1" xfId="0" applyNumberFormat="1" applyFont="1" applyFill="1" applyBorder="1"/>
    <xf numFmtId="0" fontId="23" fillId="3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14" fillId="0" borderId="1" xfId="0" applyFont="1" applyBorder="1"/>
    <xf numFmtId="43" fontId="17" fillId="0" borderId="1" xfId="1" applyFont="1" applyBorder="1"/>
    <xf numFmtId="0" fontId="25" fillId="0" borderId="1" xfId="0" applyFont="1" applyBorder="1"/>
    <xf numFmtId="43" fontId="24" fillId="0" borderId="1" xfId="1" applyFont="1" applyBorder="1"/>
    <xf numFmtId="0" fontId="17" fillId="0" borderId="0" xfId="0" applyFont="1"/>
    <xf numFmtId="0" fontId="23" fillId="0" borderId="0" xfId="0" applyFont="1"/>
    <xf numFmtId="164" fontId="17" fillId="0" borderId="1" xfId="1" applyNumberFormat="1" applyFont="1" applyBorder="1" applyAlignment="1">
      <alignment horizontal="center"/>
    </xf>
    <xf numFmtId="0" fontId="17" fillId="0" borderId="1" xfId="0" applyFont="1" applyBorder="1"/>
    <xf numFmtId="164" fontId="16" fillId="0" borderId="1" xfId="1" applyNumberFormat="1" applyFont="1" applyBorder="1" applyAlignment="1">
      <alignment horizontal="center"/>
    </xf>
    <xf numFmtId="43" fontId="16" fillId="0" borderId="1" xfId="1" applyFont="1" applyBorder="1"/>
    <xf numFmtId="0" fontId="23" fillId="0" borderId="1" xfId="0" applyFont="1" applyBorder="1" applyAlignment="1">
      <alignment horizontal="left"/>
    </xf>
    <xf numFmtId="165" fontId="23" fillId="0" borderId="1" xfId="1" applyNumberFormat="1" applyFont="1" applyBorder="1" applyAlignment="1">
      <alignment horizontal="right"/>
    </xf>
    <xf numFmtId="49" fontId="26" fillId="3" borderId="1" xfId="0" applyNumberFormat="1" applyFont="1" applyFill="1" applyBorder="1" applyAlignment="1">
      <alignment horizontal="center" vertical="center" wrapText="1"/>
    </xf>
    <xf numFmtId="1" fontId="17" fillId="3" borderId="1" xfId="0" applyNumberFormat="1" applyFont="1" applyFill="1" applyBorder="1"/>
    <xf numFmtId="0" fontId="23" fillId="0" borderId="4" xfId="0" applyFont="1" applyBorder="1" applyAlignment="1">
      <alignment horizontal="center"/>
    </xf>
    <xf numFmtId="0" fontId="23" fillId="0" borderId="4" xfId="0" applyFont="1" applyBorder="1"/>
    <xf numFmtId="43" fontId="23" fillId="0" borderId="4" xfId="1" applyFont="1" applyBorder="1"/>
    <xf numFmtId="43" fontId="27" fillId="0" borderId="1" xfId="1" applyFont="1" applyBorder="1"/>
    <xf numFmtId="0" fontId="2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4" fontId="17" fillId="0" borderId="1" xfId="0" applyNumberFormat="1" applyFont="1" applyBorder="1"/>
    <xf numFmtId="0" fontId="16" fillId="0" borderId="0" xfId="0" applyFont="1" applyAlignment="1">
      <alignment horizontal="center"/>
    </xf>
    <xf numFmtId="0" fontId="18" fillId="0" borderId="1" xfId="0" applyFont="1" applyBorder="1"/>
    <xf numFmtId="165" fontId="14" fillId="0" borderId="1" xfId="1" applyNumberFormat="1" applyFont="1" applyBorder="1"/>
    <xf numFmtId="0" fontId="16" fillId="0" borderId="2" xfId="0" applyFont="1" applyBorder="1"/>
    <xf numFmtId="164" fontId="16" fillId="2" borderId="1" xfId="0" applyNumberFormat="1" applyFont="1" applyFill="1" applyBorder="1"/>
    <xf numFmtId="0" fontId="16" fillId="2" borderId="3" xfId="0" applyFont="1" applyFill="1" applyBorder="1"/>
    <xf numFmtId="43" fontId="16" fillId="2" borderId="1" xfId="1" applyFont="1" applyFill="1" applyBorder="1"/>
    <xf numFmtId="0" fontId="16" fillId="0" borderId="0" xfId="0" applyFont="1" applyBorder="1"/>
    <xf numFmtId="0" fontId="14" fillId="0" borderId="0" xfId="0" applyFont="1" applyBorder="1"/>
    <xf numFmtId="0" fontId="16" fillId="2" borderId="1" xfId="0" applyFont="1" applyFill="1" applyBorder="1"/>
    <xf numFmtId="0" fontId="17" fillId="0" borderId="2" xfId="0" applyFont="1" applyBorder="1"/>
    <xf numFmtId="164" fontId="17" fillId="2" borderId="1" xfId="0" applyNumberFormat="1" applyFont="1" applyFill="1" applyBorder="1"/>
    <xf numFmtId="0" fontId="17" fillId="2" borderId="3" xfId="0" applyFont="1" applyFill="1" applyBorder="1"/>
    <xf numFmtId="0" fontId="17" fillId="0" borderId="0" xfId="0" applyFont="1" applyBorder="1"/>
    <xf numFmtId="0" fontId="23" fillId="0" borderId="0" xfId="0" applyFont="1" applyBorder="1"/>
    <xf numFmtId="0" fontId="14" fillId="0" borderId="0" xfId="0" applyFont="1" applyBorder="1" applyAlignment="1"/>
    <xf numFmtId="0" fontId="28" fillId="0" borderId="1" xfId="0" applyFont="1" applyBorder="1"/>
    <xf numFmtId="165" fontId="14" fillId="0" borderId="0" xfId="0" applyNumberFormat="1" applyFont="1"/>
    <xf numFmtId="165" fontId="16" fillId="0" borderId="1" xfId="0" applyNumberFormat="1" applyFont="1" applyBorder="1" applyAlignment="1">
      <alignment horizontal="center"/>
    </xf>
    <xf numFmtId="0" fontId="16" fillId="0" borderId="3" xfId="0" applyFont="1" applyBorder="1"/>
    <xf numFmtId="0" fontId="25" fillId="0" borderId="1" xfId="0" applyFont="1" applyBorder="1" applyAlignment="1">
      <alignment horizontal="center" vertical="center"/>
    </xf>
    <xf numFmtId="43" fontId="14" fillId="0" borderId="1" xfId="0" applyNumberFormat="1" applyFont="1" applyBorder="1"/>
    <xf numFmtId="166" fontId="14" fillId="0" borderId="1" xfId="0" applyNumberFormat="1" applyFont="1" applyBorder="1"/>
    <xf numFmtId="0" fontId="14" fillId="0" borderId="1" xfId="0" applyFont="1" applyFill="1" applyBorder="1" applyAlignment="1">
      <alignment horizontal="center"/>
    </xf>
    <xf numFmtId="165" fontId="14" fillId="0" borderId="1" xfId="0" applyNumberFormat="1" applyFont="1" applyBorder="1"/>
    <xf numFmtId="0" fontId="14" fillId="0" borderId="1" xfId="0" applyFont="1" applyFill="1" applyBorder="1" applyAlignment="1">
      <alignment horizontal="center" wrapText="1"/>
    </xf>
    <xf numFmtId="165" fontId="23" fillId="0" borderId="0" xfId="0" applyNumberFormat="1" applyFont="1"/>
    <xf numFmtId="165" fontId="17" fillId="0" borderId="1" xfId="0" applyNumberFormat="1" applyFont="1" applyBorder="1" applyAlignment="1">
      <alignment horizontal="center"/>
    </xf>
    <xf numFmtId="43" fontId="17" fillId="2" borderId="1" xfId="1" applyFont="1" applyFill="1" applyBorder="1"/>
    <xf numFmtId="43" fontId="20" fillId="0" borderId="1" xfId="1" applyFont="1" applyBorder="1"/>
    <xf numFmtId="0" fontId="2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43" fontId="22" fillId="0" borderId="1" xfId="1" applyFont="1" applyBorder="1"/>
    <xf numFmtId="164" fontId="24" fillId="0" borderId="1" xfId="0" applyNumberFormat="1" applyFont="1" applyBorder="1"/>
    <xf numFmtId="164" fontId="23" fillId="0" borderId="1" xfId="0" applyNumberFormat="1" applyFont="1" applyBorder="1"/>
    <xf numFmtId="43" fontId="19" fillId="0" borderId="1" xfId="1" applyFont="1" applyBorder="1"/>
    <xf numFmtId="0" fontId="17" fillId="0" borderId="0" xfId="0" applyFont="1" applyBorder="1" applyAlignment="1">
      <alignment horizontal="center"/>
    </xf>
    <xf numFmtId="164" fontId="23" fillId="0" borderId="1" xfId="1" applyNumberFormat="1" applyFont="1" applyBorder="1" applyAlignment="1"/>
    <xf numFmtId="0" fontId="23" fillId="3" borderId="1" xfId="0" applyFont="1" applyFill="1" applyBorder="1"/>
    <xf numFmtId="0" fontId="20" fillId="0" borderId="1" xfId="0" applyFont="1" applyBorder="1"/>
    <xf numFmtId="164" fontId="16" fillId="3" borderId="1" xfId="0" applyNumberFormat="1" applyFont="1" applyFill="1" applyBorder="1" applyAlignment="1"/>
    <xf numFmtId="0" fontId="23" fillId="3" borderId="0" xfId="0" applyFont="1" applyFill="1"/>
    <xf numFmtId="0" fontId="17" fillId="0" borderId="6" xfId="0" applyFont="1" applyBorder="1" applyAlignment="1"/>
    <xf numFmtId="0" fontId="16" fillId="0" borderId="6" xfId="0" applyFont="1" applyBorder="1" applyAlignment="1"/>
    <xf numFmtId="43" fontId="22" fillId="0" borderId="0" xfId="1" applyFont="1" applyBorder="1"/>
    <xf numFmtId="164" fontId="22" fillId="6" borderId="0" xfId="1" applyNumberFormat="1" applyFont="1" applyFill="1" applyBorder="1"/>
    <xf numFmtId="164" fontId="22" fillId="8" borderId="0" xfId="1" applyNumberFormat="1" applyFont="1" applyFill="1" applyBorder="1"/>
    <xf numFmtId="164" fontId="22" fillId="7" borderId="0" xfId="1" applyNumberFormat="1" applyFont="1" applyFill="1" applyBorder="1"/>
    <xf numFmtId="43" fontId="22" fillId="8" borderId="0" xfId="1" applyFont="1" applyFill="1" applyBorder="1"/>
    <xf numFmtId="0" fontId="16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43" fontId="18" fillId="0" borderId="1" xfId="1" applyFont="1" applyBorder="1"/>
    <xf numFmtId="0" fontId="14" fillId="0" borderId="0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4" fontId="23" fillId="5" borderId="1" xfId="0" applyNumberFormat="1" applyFont="1" applyFill="1" applyBorder="1"/>
    <xf numFmtId="0" fontId="23" fillId="5" borderId="0" xfId="0" applyFont="1" applyFill="1"/>
    <xf numFmtId="43" fontId="23" fillId="5" borderId="0" xfId="0" applyNumberFormat="1" applyFont="1" applyFill="1"/>
    <xf numFmtId="43" fontId="17" fillId="5" borderId="1" xfId="1" applyFont="1" applyFill="1" applyBorder="1"/>
    <xf numFmtId="0" fontId="17" fillId="0" borderId="3" xfId="0" applyFont="1" applyBorder="1"/>
    <xf numFmtId="0" fontId="23" fillId="0" borderId="0" xfId="0" applyFont="1" applyBorder="1" applyAlignment="1"/>
    <xf numFmtId="43" fontId="23" fillId="0" borderId="1" xfId="1" applyNumberFormat="1" applyFont="1" applyBorder="1"/>
    <xf numFmtId="43" fontId="24" fillId="0" borderId="1" xfId="1" applyNumberFormat="1" applyFont="1" applyBorder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30" fillId="0" borderId="1" xfId="0" applyFont="1" applyBorder="1"/>
    <xf numFmtId="0" fontId="23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2" borderId="1" xfId="0" applyFont="1" applyFill="1" applyBorder="1"/>
    <xf numFmtId="43" fontId="23" fillId="3" borderId="1" xfId="1" applyFont="1" applyFill="1" applyBorder="1"/>
    <xf numFmtId="0" fontId="23" fillId="0" borderId="0" xfId="0" applyFont="1" applyAlignment="1">
      <alignment horizontal="center"/>
    </xf>
    <xf numFmtId="0" fontId="23" fillId="0" borderId="1" xfId="0" applyFont="1" applyBorder="1" applyAlignment="1">
      <alignment horizontal="right"/>
    </xf>
    <xf numFmtId="43" fontId="23" fillId="0" borderId="1" xfId="1" applyFont="1" applyBorder="1" applyAlignment="1">
      <alignment horizontal="left"/>
    </xf>
    <xf numFmtId="0" fontId="14" fillId="0" borderId="0" xfId="0" applyFont="1" applyAlignment="1">
      <alignment horizontal="center"/>
    </xf>
    <xf numFmtId="0" fontId="2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23" fillId="0" borderId="6" xfId="0" applyFont="1" applyBorder="1"/>
    <xf numFmtId="0" fontId="25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/>
    </xf>
    <xf numFmtId="0" fontId="23" fillId="0" borderId="2" xfId="0" applyFont="1" applyBorder="1"/>
    <xf numFmtId="164" fontId="23" fillId="2" borderId="1" xfId="0" applyNumberFormat="1" applyFont="1" applyFill="1" applyBorder="1"/>
    <xf numFmtId="0" fontId="23" fillId="2" borderId="3" xfId="0" applyFont="1" applyFill="1" applyBorder="1"/>
    <xf numFmtId="164" fontId="16" fillId="2" borderId="1" xfId="1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165" fontId="14" fillId="2" borderId="1" xfId="1" applyNumberFormat="1" applyFont="1" applyFill="1" applyBorder="1"/>
    <xf numFmtId="43" fontId="14" fillId="2" borderId="1" xfId="1" applyFont="1" applyFill="1" applyBorder="1"/>
    <xf numFmtId="165" fontId="24" fillId="0" borderId="1" xfId="1" applyNumberFormat="1" applyFont="1" applyBorder="1" applyAlignment="1">
      <alignment horizontal="center"/>
    </xf>
    <xf numFmtId="43" fontId="14" fillId="0" borderId="0" xfId="0" applyNumberFormat="1" applyFont="1"/>
    <xf numFmtId="164" fontId="17" fillId="4" borderId="0" xfId="0" applyNumberFormat="1" applyFont="1" applyFill="1" applyBorder="1"/>
    <xf numFmtId="0" fontId="17" fillId="4" borderId="0" xfId="0" applyFont="1" applyFill="1" applyBorder="1"/>
    <xf numFmtId="43" fontId="14" fillId="3" borderId="0" xfId="0" applyNumberFormat="1" applyFont="1" applyFill="1"/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23" fillId="0" borderId="1" xfId="0" applyNumberFormat="1" applyFont="1" applyBorder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23" fillId="3" borderId="1" xfId="0" applyNumberFormat="1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3" fontId="23" fillId="0" borderId="1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4" fontId="16" fillId="3" borderId="1" xfId="1" applyNumberFormat="1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43" fontId="14" fillId="3" borderId="1" xfId="1" applyFont="1" applyFill="1" applyBorder="1"/>
    <xf numFmtId="43" fontId="16" fillId="3" borderId="1" xfId="1" applyFont="1" applyFill="1" applyBorder="1"/>
    <xf numFmtId="0" fontId="23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43" fontId="14" fillId="0" borderId="1" xfId="1" applyNumberFormat="1" applyFont="1" applyBorder="1"/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164" fontId="9" fillId="0" borderId="1" xfId="0" applyNumberFormat="1" applyFont="1" applyBorder="1"/>
    <xf numFmtId="0" fontId="5" fillId="0" borderId="0" xfId="0" applyFont="1" applyAlignment="1">
      <alignment horizontal="center" vertical="center"/>
    </xf>
    <xf numFmtId="165" fontId="5" fillId="0" borderId="1" xfId="0" applyNumberFormat="1" applyFont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65" fontId="23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64" fontId="16" fillId="0" borderId="0" xfId="0" applyNumberFormat="1" applyFont="1"/>
    <xf numFmtId="0" fontId="16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4" fontId="24" fillId="0" borderId="0" xfId="0" applyNumberFormat="1" applyFont="1" applyBorder="1"/>
    <xf numFmtId="0" fontId="23" fillId="0" borderId="0" xfId="0" applyFont="1" applyBorder="1" applyAlignment="1">
      <alignment horizontal="center" vertical="center"/>
    </xf>
    <xf numFmtId="0" fontId="17" fillId="6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center"/>
    </xf>
    <xf numFmtId="0" fontId="23" fillId="5" borderId="1" xfId="0" applyFont="1" applyFill="1" applyBorder="1" applyAlignment="1">
      <alignment horizontal="center"/>
    </xf>
    <xf numFmtId="0" fontId="23" fillId="0" borderId="2" xfId="0" applyFont="1" applyBorder="1" applyAlignment="1"/>
    <xf numFmtId="164" fontId="37" fillId="0" borderId="1" xfId="0" applyNumberFormat="1" applyFont="1" applyBorder="1"/>
    <xf numFmtId="164" fontId="23" fillId="0" borderId="1" xfId="1" applyNumberFormat="1" applyFont="1" applyBorder="1"/>
    <xf numFmtId="0" fontId="17" fillId="0" borderId="0" xfId="0" applyFont="1" applyBorder="1" applyAlignment="1">
      <alignment horizontal="center"/>
    </xf>
    <xf numFmtId="164" fontId="16" fillId="0" borderId="2" xfId="0" applyNumberFormat="1" applyFont="1" applyBorder="1"/>
    <xf numFmtId="3" fontId="14" fillId="5" borderId="1" xfId="0" applyNumberFormat="1" applyFont="1" applyFill="1" applyBorder="1" applyAlignment="1">
      <alignment horizontal="center"/>
    </xf>
    <xf numFmtId="3" fontId="14" fillId="5" borderId="14" xfId="0" applyNumberFormat="1" applyFont="1" applyFill="1" applyBorder="1" applyAlignment="1">
      <alignment horizontal="center"/>
    </xf>
    <xf numFmtId="164" fontId="18" fillId="11" borderId="1" xfId="0" applyNumberFormat="1" applyFont="1" applyFill="1" applyBorder="1"/>
    <xf numFmtId="1" fontId="14" fillId="0" borderId="1" xfId="0" applyNumberFormat="1" applyFont="1" applyBorder="1"/>
    <xf numFmtId="0" fontId="16" fillId="6" borderId="9" xfId="0" applyFont="1" applyFill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64" fontId="19" fillId="0" borderId="4" xfId="1" applyNumberFormat="1" applyFont="1" applyBorder="1"/>
    <xf numFmtId="164" fontId="19" fillId="3" borderId="4" xfId="1" applyNumberFormat="1" applyFont="1" applyFill="1" applyBorder="1"/>
    <xf numFmtId="43" fontId="19" fillId="0" borderId="4" xfId="1" applyFont="1" applyBorder="1"/>
    <xf numFmtId="0" fontId="24" fillId="0" borderId="4" xfId="0" applyFont="1" applyBorder="1"/>
    <xf numFmtId="0" fontId="30" fillId="0" borderId="4" xfId="0" applyFont="1" applyBorder="1"/>
    <xf numFmtId="43" fontId="19" fillId="3" borderId="4" xfId="1" applyFont="1" applyFill="1" applyBorder="1" applyAlignment="1"/>
    <xf numFmtId="164" fontId="19" fillId="3" borderId="4" xfId="1" applyNumberFormat="1" applyFont="1" applyFill="1" applyBorder="1" applyAlignment="1"/>
    <xf numFmtId="43" fontId="19" fillId="3" borderId="4" xfId="1" applyFont="1" applyFill="1" applyBorder="1"/>
    <xf numFmtId="0" fontId="24" fillId="3" borderId="4" xfId="0" applyFont="1" applyFill="1" applyBorder="1"/>
    <xf numFmtId="164" fontId="19" fillId="0" borderId="5" xfId="1" applyNumberFormat="1" applyFont="1" applyBorder="1"/>
    <xf numFmtId="43" fontId="19" fillId="0" borderId="5" xfId="1" applyFont="1" applyBorder="1"/>
    <xf numFmtId="164" fontId="19" fillId="0" borderId="5" xfId="1" applyNumberFormat="1" applyFont="1" applyBorder="1" applyAlignment="1">
      <alignment horizontal="center"/>
    </xf>
    <xf numFmtId="164" fontId="5" fillId="0" borderId="0" xfId="0" applyNumberFormat="1" applyFont="1"/>
    <xf numFmtId="0" fontId="23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6" fillId="0" borderId="1" xfId="0" applyFont="1" applyBorder="1"/>
    <xf numFmtId="0" fontId="35" fillId="0" borderId="1" xfId="0" applyFont="1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166" fontId="16" fillId="0" borderId="1" xfId="0" applyNumberFormat="1" applyFont="1" applyBorder="1"/>
    <xf numFmtId="165" fontId="16" fillId="0" borderId="1" xfId="0" applyNumberFormat="1" applyFont="1" applyBorder="1"/>
    <xf numFmtId="0" fontId="16" fillId="0" borderId="1" xfId="0" applyFont="1" applyFill="1" applyBorder="1" applyAlignment="1">
      <alignment horizontal="center" vertical="center" wrapText="1"/>
    </xf>
    <xf numFmtId="0" fontId="17" fillId="0" borderId="14" xfId="0" applyFont="1" applyBorder="1"/>
    <xf numFmtId="0" fontId="32" fillId="0" borderId="0" xfId="0" applyFont="1" applyAlignment="1"/>
    <xf numFmtId="0" fontId="23" fillId="0" borderId="0" xfId="0" applyFont="1" applyAlignment="1"/>
    <xf numFmtId="0" fontId="36" fillId="0" borderId="0" xfId="0" applyFont="1" applyAlignment="1"/>
    <xf numFmtId="164" fontId="17" fillId="0" borderId="2" xfId="0" applyNumberFormat="1" applyFont="1" applyBorder="1"/>
    <xf numFmtId="164" fontId="20" fillId="11" borderId="1" xfId="0" applyNumberFormat="1" applyFont="1" applyFill="1" applyBorder="1"/>
    <xf numFmtId="166" fontId="17" fillId="0" borderId="1" xfId="0" applyNumberFormat="1" applyFont="1" applyBorder="1"/>
    <xf numFmtId="0" fontId="17" fillId="0" borderId="1" xfId="0" applyFont="1" applyFill="1" applyBorder="1" applyAlignment="1"/>
    <xf numFmtId="0" fontId="17" fillId="0" borderId="1" xfId="0" applyFont="1" applyFill="1" applyBorder="1" applyAlignment="1">
      <alignment horizontal="center" vertical="center" wrapText="1"/>
    </xf>
    <xf numFmtId="165" fontId="17" fillId="0" borderId="1" xfId="0" applyNumberFormat="1" applyFont="1" applyBorder="1"/>
    <xf numFmtId="0" fontId="39" fillId="0" borderId="0" xfId="0" applyFont="1" applyAlignment="1"/>
    <xf numFmtId="0" fontId="40" fillId="0" borderId="0" xfId="0" applyFont="1"/>
    <xf numFmtId="0" fontId="41" fillId="0" borderId="0" xfId="0" applyFont="1" applyAlignment="1"/>
    <xf numFmtId="0" fontId="42" fillId="0" borderId="0" xfId="0" applyFont="1"/>
    <xf numFmtId="0" fontId="39" fillId="0" borderId="0" xfId="0" applyFont="1"/>
    <xf numFmtId="0" fontId="39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164" fontId="14" fillId="10" borderId="1" xfId="0" applyNumberFormat="1" applyFont="1" applyFill="1" applyBorder="1"/>
    <xf numFmtId="0" fontId="14" fillId="10" borderId="0" xfId="0" applyFont="1" applyFill="1"/>
    <xf numFmtId="0" fontId="16" fillId="0" borderId="14" xfId="0" applyFont="1" applyBorder="1"/>
    <xf numFmtId="0" fontId="14" fillId="0" borderId="14" xfId="0" applyFont="1" applyBorder="1"/>
    <xf numFmtId="164" fontId="14" fillId="10" borderId="14" xfId="0" applyNumberFormat="1" applyFont="1" applyFill="1" applyBorder="1"/>
    <xf numFmtId="0" fontId="16" fillId="0" borderId="1" xfId="0" applyFont="1" applyFill="1" applyBorder="1" applyAlignment="1"/>
    <xf numFmtId="0" fontId="38" fillId="0" borderId="0" xfId="0" applyFont="1" applyAlignment="1"/>
    <xf numFmtId="0" fontId="12" fillId="0" borderId="1" xfId="0" applyFont="1" applyBorder="1"/>
    <xf numFmtId="0" fontId="9" fillId="2" borderId="1" xfId="0" applyFont="1" applyFill="1" applyBorder="1"/>
    <xf numFmtId="0" fontId="12" fillId="0" borderId="1" xfId="0" applyFont="1" applyBorder="1" applyAlignment="1">
      <alignment horizontal="center"/>
    </xf>
    <xf numFmtId="165" fontId="5" fillId="0" borderId="0" xfId="0" applyNumberFormat="1" applyFont="1"/>
    <xf numFmtId="165" fontId="9" fillId="0" borderId="1" xfId="0" applyNumberFormat="1" applyFont="1" applyBorder="1" applyAlignment="1">
      <alignment horizontal="center"/>
    </xf>
    <xf numFmtId="168" fontId="17" fillId="0" borderId="1" xfId="0" applyNumberFormat="1" applyFont="1" applyBorder="1"/>
    <xf numFmtId="3" fontId="17" fillId="5" borderId="1" xfId="0" applyNumberFormat="1" applyFont="1" applyFill="1" applyBorder="1" applyAlignment="1">
      <alignment horizontal="center"/>
    </xf>
    <xf numFmtId="164" fontId="17" fillId="10" borderId="1" xfId="0" applyNumberFormat="1" applyFont="1" applyFill="1" applyBorder="1"/>
    <xf numFmtId="0" fontId="17" fillId="10" borderId="0" xfId="0" applyFont="1" applyFill="1"/>
    <xf numFmtId="3" fontId="17" fillId="5" borderId="14" xfId="0" applyNumberFormat="1" applyFont="1" applyFill="1" applyBorder="1" applyAlignment="1">
      <alignment horizontal="center"/>
    </xf>
    <xf numFmtId="164" fontId="17" fillId="10" borderId="14" xfId="0" applyNumberFormat="1" applyFont="1" applyFill="1" applyBorder="1"/>
    <xf numFmtId="1" fontId="17" fillId="0" borderId="1" xfId="0" applyNumberFormat="1" applyFont="1" applyBorder="1"/>
    <xf numFmtId="0" fontId="17" fillId="0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7" fillId="0" borderId="1" xfId="0" applyFont="1" applyFill="1" applyBorder="1" applyAlignment="1"/>
    <xf numFmtId="0" fontId="14" fillId="10" borderId="1" xfId="0" applyFont="1" applyFill="1" applyBorder="1"/>
    <xf numFmtId="0" fontId="17" fillId="10" borderId="1" xfId="0" applyFont="1" applyFill="1" applyBorder="1"/>
    <xf numFmtId="0" fontId="17" fillId="0" borderId="2" xfId="0" applyFont="1" applyBorder="1" applyAlignment="1"/>
    <xf numFmtId="0" fontId="17" fillId="0" borderId="3" xfId="0" applyFont="1" applyBorder="1" applyAlignment="1"/>
    <xf numFmtId="0" fontId="17" fillId="0" borderId="12" xfId="0" applyFont="1" applyBorder="1" applyAlignment="1"/>
    <xf numFmtId="0" fontId="17" fillId="0" borderId="1" xfId="0" applyFont="1" applyBorder="1" applyAlignment="1"/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2" xfId="0" applyFont="1" applyBorder="1" applyAlignment="1"/>
    <xf numFmtId="164" fontId="17" fillId="0" borderId="1" xfId="0" applyNumberFormat="1" applyFont="1" applyBorder="1" applyAlignment="1"/>
    <xf numFmtId="164" fontId="17" fillId="0" borderId="3" xfId="0" applyNumberFormat="1" applyFont="1" applyBorder="1" applyAlignment="1"/>
    <xf numFmtId="0" fontId="16" fillId="0" borderId="0" xfId="0" applyFont="1" applyBorder="1" applyAlignment="1"/>
    <xf numFmtId="2" fontId="23" fillId="0" borderId="1" xfId="0" applyNumberFormat="1" applyFont="1" applyBorder="1"/>
    <xf numFmtId="164" fontId="14" fillId="0" borderId="0" xfId="0" applyNumberFormat="1" applyFo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43" fontId="16" fillId="0" borderId="1" xfId="0" applyNumberFormat="1" applyFont="1" applyBorder="1"/>
    <xf numFmtId="164" fontId="17" fillId="0" borderId="1" xfId="1" applyNumberFormat="1" applyFont="1" applyBorder="1"/>
    <xf numFmtId="0" fontId="17" fillId="0" borderId="1" xfId="0" applyFont="1" applyBorder="1" applyAlignment="1">
      <alignment horizontal="center" vertical="center"/>
    </xf>
    <xf numFmtId="0" fontId="17" fillId="0" borderId="0" xfId="0" applyFont="1" applyBorder="1" applyAlignment="1"/>
    <xf numFmtId="164" fontId="17" fillId="0" borderId="0" xfId="0" applyNumberFormat="1" applyFont="1" applyBorder="1" applyAlignment="1"/>
    <xf numFmtId="1" fontId="17" fillId="0" borderId="0" xfId="0" applyNumberFormat="1" applyFont="1" applyBorder="1"/>
    <xf numFmtId="0" fontId="9" fillId="0" borderId="1" xfId="0" applyFont="1" applyBorder="1"/>
    <xf numFmtId="0" fontId="16" fillId="0" borderId="1" xfId="0" applyFont="1" applyFill="1" applyBorder="1" applyAlignment="1">
      <alignment vertical="center" shrinkToFit="1"/>
    </xf>
    <xf numFmtId="43" fontId="17" fillId="10" borderId="14" xfId="0" applyNumberFormat="1" applyFont="1" applyFill="1" applyBorder="1" applyAlignment="1"/>
    <xf numFmtId="164" fontId="17" fillId="7" borderId="14" xfId="0" applyNumberFormat="1" applyFont="1" applyFill="1" applyBorder="1"/>
    <xf numFmtId="0" fontId="17" fillId="7" borderId="1" xfId="0" applyFont="1" applyFill="1" applyBorder="1"/>
    <xf numFmtId="164" fontId="17" fillId="7" borderId="1" xfId="0" applyNumberFormat="1" applyFont="1" applyFill="1" applyBorder="1"/>
    <xf numFmtId="0" fontId="17" fillId="7" borderId="0" xfId="0" applyFont="1" applyFill="1"/>
    <xf numFmtId="43" fontId="17" fillId="7" borderId="7" xfId="0" applyNumberFormat="1" applyFont="1" applyFill="1" applyBorder="1" applyAlignment="1"/>
    <xf numFmtId="0" fontId="17" fillId="12" borderId="1" xfId="0" applyFont="1" applyFill="1" applyBorder="1" applyAlignment="1"/>
    <xf numFmtId="164" fontId="17" fillId="12" borderId="1" xfId="0" applyNumberFormat="1" applyFont="1" applyFill="1" applyBorder="1" applyAlignment="1"/>
    <xf numFmtId="1" fontId="17" fillId="12" borderId="1" xfId="0" applyNumberFormat="1" applyFont="1" applyFill="1" applyBorder="1"/>
    <xf numFmtId="164" fontId="17" fillId="12" borderId="2" xfId="0" applyNumberFormat="1" applyFont="1" applyFill="1" applyBorder="1"/>
    <xf numFmtId="3" fontId="17" fillId="8" borderId="1" xfId="0" applyNumberFormat="1" applyFont="1" applyFill="1" applyBorder="1" applyAlignment="1">
      <alignment horizontal="center"/>
    </xf>
    <xf numFmtId="0" fontId="17" fillId="6" borderId="1" xfId="0" applyFont="1" applyFill="1" applyBorder="1"/>
    <xf numFmtId="0" fontId="16" fillId="14" borderId="1" xfId="0" applyFont="1" applyFill="1" applyBorder="1" applyAlignment="1">
      <alignment vertical="center" shrinkToFit="1"/>
    </xf>
    <xf numFmtId="43" fontId="20" fillId="13" borderId="1" xfId="0" applyNumberFormat="1" applyFont="1" applyFill="1" applyBorder="1" applyAlignment="1"/>
    <xf numFmtId="164" fontId="17" fillId="12" borderId="1" xfId="0" applyNumberFormat="1" applyFont="1" applyFill="1" applyBorder="1"/>
    <xf numFmtId="0" fontId="23" fillId="0" borderId="2" xfId="0" applyFont="1" applyFill="1" applyBorder="1" applyAlignment="1">
      <alignment horizontal="center" vertical="center" shrinkToFit="1"/>
    </xf>
    <xf numFmtId="0" fontId="23" fillId="0" borderId="12" xfId="0" applyFont="1" applyFill="1" applyBorder="1" applyAlignment="1">
      <alignment horizontal="center" vertical="center" shrinkToFit="1"/>
    </xf>
    <xf numFmtId="0" fontId="14" fillId="10" borderId="7" xfId="0" applyFont="1" applyFill="1" applyBorder="1"/>
    <xf numFmtId="43" fontId="14" fillId="10" borderId="7" xfId="0" applyNumberFormat="1" applyFont="1" applyFill="1" applyBorder="1" applyAlignment="1"/>
    <xf numFmtId="43" fontId="14" fillId="10" borderId="1" xfId="0" applyNumberFormat="1" applyFont="1" applyFill="1" applyBorder="1" applyAlignment="1"/>
    <xf numFmtId="43" fontId="17" fillId="10" borderId="0" xfId="0" applyNumberFormat="1" applyFont="1" applyFill="1"/>
    <xf numFmtId="0" fontId="9" fillId="0" borderId="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23" fillId="0" borderId="2" xfId="0" applyFont="1" applyFill="1" applyBorder="1" applyAlignment="1">
      <alignment horizontal="center" vertical="center" wrapText="1" shrinkToFit="1"/>
    </xf>
    <xf numFmtId="0" fontId="23" fillId="0" borderId="12" xfId="0" applyFont="1" applyFill="1" applyBorder="1" applyAlignment="1">
      <alignment horizontal="center" vertical="center" wrapText="1" shrinkToFit="1"/>
    </xf>
    <xf numFmtId="0" fontId="23" fillId="0" borderId="2" xfId="0" applyFont="1" applyFill="1" applyBorder="1" applyAlignment="1">
      <alignment horizontal="center" vertical="center" shrinkToFit="1"/>
    </xf>
    <xf numFmtId="0" fontId="23" fillId="0" borderId="12" xfId="0" applyFont="1" applyFill="1" applyBorder="1" applyAlignment="1">
      <alignment horizontal="center" vertical="center" shrinkToFit="1"/>
    </xf>
    <xf numFmtId="0" fontId="17" fillId="0" borderId="1" xfId="0" applyFont="1" applyFill="1" applyBorder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/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shrinkToFit="1"/>
    </xf>
    <xf numFmtId="0" fontId="2" fillId="0" borderId="1" xfId="0" applyFont="1" applyBorder="1"/>
    <xf numFmtId="164" fontId="17" fillId="10" borderId="0" xfId="0" applyNumberFormat="1" applyFont="1" applyFill="1"/>
    <xf numFmtId="0" fontId="16" fillId="0" borderId="0" xfId="0" applyFont="1" applyFill="1" applyBorder="1" applyAlignment="1">
      <alignment horizontal="center"/>
    </xf>
    <xf numFmtId="168" fontId="16" fillId="0" borderId="1" xfId="0" applyNumberFormat="1" applyFont="1" applyBorder="1"/>
    <xf numFmtId="0" fontId="15" fillId="0" borderId="0" xfId="0" applyFont="1"/>
    <xf numFmtId="0" fontId="17" fillId="0" borderId="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164" fontId="14" fillId="0" borderId="1" xfId="0" applyNumberFormat="1" applyFont="1" applyBorder="1"/>
    <xf numFmtId="0" fontId="37" fillId="0" borderId="0" xfId="0" applyFont="1" applyFill="1" applyBorder="1" applyAlignment="1">
      <alignment horizontal="center" vertical="center"/>
    </xf>
    <xf numFmtId="1" fontId="14" fillId="3" borderId="1" xfId="0" applyNumberFormat="1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164" fontId="16" fillId="12" borderId="2" xfId="0" applyNumberFormat="1" applyFont="1" applyFill="1" applyBorder="1"/>
    <xf numFmtId="3" fontId="16" fillId="8" borderId="1" xfId="0" applyNumberFormat="1" applyFont="1" applyFill="1" applyBorder="1" applyAlignment="1">
      <alignment horizontal="center"/>
    </xf>
    <xf numFmtId="164" fontId="16" fillId="10" borderId="1" xfId="0" applyNumberFormat="1" applyFont="1" applyFill="1" applyBorder="1"/>
    <xf numFmtId="0" fontId="16" fillId="10" borderId="1" xfId="0" applyFont="1" applyFill="1" applyBorder="1"/>
    <xf numFmtId="0" fontId="16" fillId="10" borderId="0" xfId="0" applyFont="1" applyFill="1"/>
    <xf numFmtId="43" fontId="16" fillId="10" borderId="14" xfId="0" applyNumberFormat="1" applyFont="1" applyFill="1" applyBorder="1" applyAlignment="1"/>
    <xf numFmtId="3" fontId="16" fillId="5" borderId="14" xfId="0" applyNumberFormat="1" applyFont="1" applyFill="1" applyBorder="1" applyAlignment="1">
      <alignment horizontal="center"/>
    </xf>
    <xf numFmtId="164" fontId="16" fillId="7" borderId="14" xfId="0" applyNumberFormat="1" applyFont="1" applyFill="1" applyBorder="1"/>
    <xf numFmtId="0" fontId="16" fillId="7" borderId="1" xfId="0" applyFont="1" applyFill="1" applyBorder="1"/>
    <xf numFmtId="0" fontId="16" fillId="7" borderId="0" xfId="0" applyFont="1" applyFill="1"/>
    <xf numFmtId="43" fontId="16" fillId="7" borderId="7" xfId="0" applyNumberFormat="1" applyFont="1" applyFill="1" applyBorder="1" applyAlignment="1"/>
    <xf numFmtId="0" fontId="16" fillId="6" borderId="1" xfId="0" applyFont="1" applyFill="1" applyBorder="1"/>
    <xf numFmtId="164" fontId="16" fillId="12" borderId="1" xfId="0" applyNumberFormat="1" applyFont="1" applyFill="1" applyBorder="1"/>
    <xf numFmtId="0" fontId="16" fillId="12" borderId="1" xfId="0" applyFont="1" applyFill="1" applyBorder="1" applyAlignment="1"/>
    <xf numFmtId="164" fontId="16" fillId="12" borderId="1" xfId="0" applyNumberFormat="1" applyFont="1" applyFill="1" applyBorder="1" applyAlignment="1"/>
    <xf numFmtId="1" fontId="16" fillId="12" borderId="1" xfId="0" applyNumberFormat="1" applyFont="1" applyFill="1" applyBorder="1"/>
    <xf numFmtId="43" fontId="18" fillId="13" borderId="1" xfId="0" applyNumberFormat="1" applyFont="1" applyFill="1" applyBorder="1" applyAlignment="1"/>
    <xf numFmtId="164" fontId="16" fillId="0" borderId="0" xfId="0" applyNumberFormat="1" applyFont="1" applyBorder="1" applyAlignment="1"/>
    <xf numFmtId="1" fontId="16" fillId="0" borderId="0" xfId="0" applyNumberFormat="1" applyFont="1" applyBorder="1"/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shrinkToFit="1"/>
    </xf>
    <xf numFmtId="164" fontId="16" fillId="0" borderId="1" xfId="1" applyNumberFormat="1" applyFont="1" applyBorder="1"/>
    <xf numFmtId="0" fontId="37" fillId="0" borderId="0" xfId="0" applyFont="1"/>
    <xf numFmtId="164" fontId="16" fillId="10" borderId="0" xfId="0" applyNumberFormat="1" applyFont="1" applyFill="1"/>
    <xf numFmtId="165" fontId="17" fillId="0" borderId="1" xfId="1" applyNumberFormat="1" applyFont="1" applyBorder="1"/>
    <xf numFmtId="164" fontId="19" fillId="0" borderId="16" xfId="1" applyNumberFormat="1" applyFont="1" applyBorder="1"/>
    <xf numFmtId="164" fontId="19" fillId="3" borderId="16" xfId="1" applyNumberFormat="1" applyFont="1" applyFill="1" applyBorder="1"/>
    <xf numFmtId="164" fontId="19" fillId="0" borderId="17" xfId="1" applyNumberFormat="1" applyFont="1" applyBorder="1"/>
    <xf numFmtId="164" fontId="22" fillId="6" borderId="16" xfId="1" applyNumberFormat="1" applyFont="1" applyFill="1" applyBorder="1"/>
    <xf numFmtId="164" fontId="19" fillId="0" borderId="1" xfId="1" applyNumberFormat="1" applyFont="1" applyBorder="1"/>
    <xf numFmtId="0" fontId="14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164" fontId="22" fillId="0" borderId="1" xfId="1" applyNumberFormat="1" applyFont="1" applyBorder="1"/>
    <xf numFmtId="0" fontId="22" fillId="0" borderId="1" xfId="0" applyFont="1" applyBorder="1"/>
    <xf numFmtId="164" fontId="22" fillId="0" borderId="1" xfId="0" applyNumberFormat="1" applyFont="1" applyBorder="1"/>
    <xf numFmtId="0" fontId="16" fillId="0" borderId="4" xfId="0" applyFont="1" applyBorder="1"/>
    <xf numFmtId="1" fontId="14" fillId="0" borderId="0" xfId="0" applyNumberFormat="1" applyFont="1" applyBorder="1"/>
    <xf numFmtId="165" fontId="18" fillId="0" borderId="1" xfId="0" applyNumberFormat="1" applyFont="1" applyBorder="1"/>
    <xf numFmtId="43" fontId="18" fillId="0" borderId="1" xfId="0" applyNumberFormat="1" applyFont="1" applyBorder="1"/>
    <xf numFmtId="165" fontId="25" fillId="0" borderId="1" xfId="0" applyNumberFormat="1" applyFont="1" applyBorder="1"/>
    <xf numFmtId="0" fontId="10" fillId="0" borderId="1" xfId="0" applyFont="1" applyBorder="1"/>
    <xf numFmtId="164" fontId="16" fillId="0" borderId="1" xfId="0" applyNumberFormat="1" applyFont="1" applyBorder="1"/>
    <xf numFmtId="0" fontId="16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46" fillId="0" borderId="0" xfId="0" applyFont="1" applyAlignment="1"/>
    <xf numFmtId="1" fontId="23" fillId="0" borderId="1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6" fillId="0" borderId="1" xfId="0" applyFont="1" applyFill="1" applyBorder="1" applyAlignment="1"/>
    <xf numFmtId="0" fontId="1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0" xfId="0" applyFont="1" applyFill="1" applyBorder="1" applyAlignment="1"/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64" fontId="16" fillId="2" borderId="0" xfId="0" applyNumberFormat="1" applyFont="1" applyFill="1" applyBorder="1"/>
    <xf numFmtId="0" fontId="16" fillId="2" borderId="0" xfId="0" applyFont="1" applyFill="1" applyBorder="1"/>
    <xf numFmtId="43" fontId="16" fillId="2" borderId="0" xfId="1" applyFont="1" applyFill="1" applyBorder="1"/>
    <xf numFmtId="43" fontId="23" fillId="0" borderId="0" xfId="0" applyNumberFormat="1" applyFont="1"/>
    <xf numFmtId="0" fontId="17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9" fillId="0" borderId="1" xfId="0" applyFont="1" applyFill="1" applyBorder="1" applyAlignment="1">
      <alignment horizontal="center" vertical="center" shrinkToFit="1"/>
    </xf>
    <xf numFmtId="167" fontId="17" fillId="0" borderId="1" xfId="0" applyNumberFormat="1" applyFont="1" applyBorder="1"/>
    <xf numFmtId="167" fontId="16" fillId="0" borderId="1" xfId="0" applyNumberFormat="1" applyFont="1" applyBorder="1"/>
    <xf numFmtId="0" fontId="35" fillId="0" borderId="0" xfId="0" applyFont="1" applyAlignment="1"/>
    <xf numFmtId="0" fontId="34" fillId="0" borderId="0" xfId="0" applyFont="1" applyAlignment="1"/>
    <xf numFmtId="0" fontId="29" fillId="0" borderId="0" xfId="0" applyFont="1" applyAlignment="1"/>
    <xf numFmtId="0" fontId="33" fillId="0" borderId="0" xfId="0" applyFont="1" applyAlignment="1"/>
    <xf numFmtId="0" fontId="14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7" fillId="0" borderId="1" xfId="0" applyFont="1" applyFill="1" applyBorder="1" applyAlignment="1"/>
    <xf numFmtId="0" fontId="14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65" fontId="30" fillId="0" borderId="1" xfId="1" applyNumberFormat="1" applyFont="1" applyBorder="1"/>
    <xf numFmtId="0" fontId="16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" fontId="14" fillId="0" borderId="0" xfId="0" applyNumberFormat="1" applyFont="1"/>
    <xf numFmtId="0" fontId="16" fillId="0" borderId="13" xfId="0" applyFont="1" applyBorder="1"/>
    <xf numFmtId="166" fontId="14" fillId="0" borderId="0" xfId="0" applyNumberFormat="1" applyFont="1"/>
    <xf numFmtId="0" fontId="36" fillId="0" borderId="0" xfId="0" applyFont="1"/>
    <xf numFmtId="0" fontId="14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7" fillId="0" borderId="1" xfId="0" applyFont="1" applyFill="1" applyBorder="1" applyAlignment="1"/>
    <xf numFmtId="0" fontId="1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43" fontId="23" fillId="0" borderId="1" xfId="0" applyNumberFormat="1" applyFont="1" applyBorder="1"/>
    <xf numFmtId="0" fontId="17" fillId="0" borderId="1" xfId="0" applyFont="1" applyFill="1" applyBorder="1" applyAlignment="1"/>
    <xf numFmtId="0" fontId="23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" fontId="0" fillId="0" borderId="0" xfId="0" applyNumberFormat="1"/>
    <xf numFmtId="43" fontId="20" fillId="3" borderId="1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23" fillId="0" borderId="2" xfId="0" applyFont="1" applyFill="1" applyBorder="1" applyAlignment="1">
      <alignment horizontal="center" vertical="center" shrinkToFit="1"/>
    </xf>
    <xf numFmtId="0" fontId="17" fillId="0" borderId="1" xfId="0" applyFont="1" applyFill="1" applyBorder="1" applyAlignment="1"/>
    <xf numFmtId="0" fontId="23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6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2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16" fillId="0" borderId="12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 shrinkToFit="1"/>
    </xf>
    <xf numFmtId="0" fontId="17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 shrinkToFit="1"/>
    </xf>
    <xf numFmtId="0" fontId="23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4" fillId="0" borderId="2" xfId="0" applyFont="1" applyBorder="1"/>
    <xf numFmtId="0" fontId="10" fillId="0" borderId="2" xfId="0" applyFont="1" applyBorder="1" applyAlignment="1">
      <alignment horizontal="center"/>
    </xf>
    <xf numFmtId="0" fontId="30" fillId="0" borderId="1" xfId="0" applyFont="1" applyFill="1" applyBorder="1" applyAlignment="1">
      <alignment horizontal="center" vertical="center"/>
    </xf>
    <xf numFmtId="43" fontId="30" fillId="0" borderId="1" xfId="1" applyFont="1" applyBorder="1"/>
    <xf numFmtId="164" fontId="20" fillId="0" borderId="1" xfId="1" applyNumberFormat="1" applyFont="1" applyBorder="1"/>
    <xf numFmtId="0" fontId="12" fillId="0" borderId="0" xfId="0" applyFont="1"/>
    <xf numFmtId="0" fontId="18" fillId="0" borderId="0" xfId="0" applyFont="1"/>
    <xf numFmtId="0" fontId="25" fillId="0" borderId="0" xfId="0" applyFont="1"/>
    <xf numFmtId="1" fontId="30" fillId="3" borderId="1" xfId="0" applyNumberFormat="1" applyFont="1" applyFill="1" applyBorder="1"/>
    <xf numFmtId="164" fontId="30" fillId="0" borderId="1" xfId="0" applyNumberFormat="1" applyFont="1" applyBorder="1"/>
    <xf numFmtId="164" fontId="30" fillId="0" borderId="1" xfId="1" applyNumberFormat="1" applyFont="1" applyBorder="1" applyAlignment="1">
      <alignment horizontal="center"/>
    </xf>
    <xf numFmtId="164" fontId="20" fillId="0" borderId="1" xfId="1" applyNumberFormat="1" applyFont="1" applyBorder="1" applyAlignment="1">
      <alignment horizontal="center"/>
    </xf>
    <xf numFmtId="0" fontId="30" fillId="0" borderId="0" xfId="0" applyFont="1"/>
    <xf numFmtId="0" fontId="20" fillId="0" borderId="2" xfId="0" applyFont="1" applyBorder="1"/>
    <xf numFmtId="164" fontId="20" fillId="2" borderId="1" xfId="0" applyNumberFormat="1" applyFont="1" applyFill="1" applyBorder="1"/>
    <xf numFmtId="0" fontId="20" fillId="2" borderId="3" xfId="0" applyFont="1" applyFill="1" applyBorder="1"/>
    <xf numFmtId="43" fontId="20" fillId="2" borderId="1" xfId="1" applyFont="1" applyFill="1" applyBorder="1"/>
    <xf numFmtId="0" fontId="20" fillId="0" borderId="0" xfId="0" applyFont="1"/>
    <xf numFmtId="0" fontId="30" fillId="3" borderId="1" xfId="0" applyFont="1" applyFill="1" applyBorder="1" applyAlignment="1">
      <alignment horizontal="center"/>
    </xf>
    <xf numFmtId="0" fontId="30" fillId="0" borderId="0" xfId="0" applyFont="1" applyBorder="1"/>
    <xf numFmtId="0" fontId="20" fillId="2" borderId="1" xfId="0" applyFont="1" applyFill="1" applyBorder="1"/>
    <xf numFmtId="165" fontId="30" fillId="0" borderId="1" xfId="1" applyNumberFormat="1" applyFont="1" applyBorder="1" applyAlignment="1">
      <alignment horizontal="center"/>
    </xf>
    <xf numFmtId="43" fontId="30" fillId="0" borderId="1" xfId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165" fontId="30" fillId="0" borderId="0" xfId="0" applyNumberFormat="1" applyFont="1"/>
    <xf numFmtId="165" fontId="20" fillId="0" borderId="1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1" fontId="30" fillId="0" borderId="1" xfId="0" applyNumberFormat="1" applyFont="1" applyBorder="1" applyAlignment="1">
      <alignment horizontal="center"/>
    </xf>
    <xf numFmtId="0" fontId="30" fillId="0" borderId="1" xfId="0" applyFont="1" applyFill="1" applyBorder="1" applyAlignment="1">
      <alignment horizontal="center" vertical="center" wrapText="1" shrinkToFit="1"/>
    </xf>
    <xf numFmtId="0" fontId="30" fillId="0" borderId="1" xfId="0" applyFont="1" applyFill="1" applyBorder="1" applyAlignment="1">
      <alignment horizontal="center" vertical="center" shrinkToFit="1"/>
    </xf>
    <xf numFmtId="0" fontId="6" fillId="0" borderId="1" xfId="0" applyFont="1" applyBorder="1"/>
    <xf numFmtId="165" fontId="6" fillId="0" borderId="1" xfId="1" applyNumberFormat="1" applyFont="1" applyBorder="1"/>
    <xf numFmtId="43" fontId="6" fillId="0" borderId="1" xfId="1" applyFont="1" applyBorder="1"/>
    <xf numFmtId="43" fontId="30" fillId="2" borderId="1" xfId="1" applyFont="1" applyFill="1" applyBorder="1"/>
    <xf numFmtId="164" fontId="25" fillId="0" borderId="1" xfId="1" applyNumberFormat="1" applyFont="1" applyBorder="1" applyAlignment="1">
      <alignment horizontal="center"/>
    </xf>
    <xf numFmtId="43" fontId="30" fillId="3" borderId="1" xfId="1" applyFont="1" applyFill="1" applyBorder="1"/>
    <xf numFmtId="0" fontId="4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3" xfId="0" applyFont="1" applyBorder="1"/>
    <xf numFmtId="164" fontId="12" fillId="2" borderId="1" xfId="0" applyNumberFormat="1" applyFont="1" applyFill="1" applyBorder="1"/>
    <xf numFmtId="0" fontId="12" fillId="2" borderId="3" xfId="0" applyFont="1" applyFill="1" applyBorder="1"/>
    <xf numFmtId="43" fontId="12" fillId="2" borderId="1" xfId="1" applyFont="1" applyFill="1" applyBorder="1"/>
    <xf numFmtId="0" fontId="6" fillId="0" borderId="0" xfId="0" applyFont="1" applyBorder="1"/>
    <xf numFmtId="0" fontId="10" fillId="0" borderId="0" xfId="0" applyFont="1"/>
    <xf numFmtId="0" fontId="4" fillId="0" borderId="0" xfId="0" applyFont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43" fontId="25" fillId="0" borderId="1" xfId="1" applyFont="1" applyBorder="1"/>
    <xf numFmtId="0" fontId="30" fillId="0" borderId="1" xfId="0" applyFont="1" applyBorder="1" applyAlignment="1">
      <alignment horizontal="left"/>
    </xf>
    <xf numFmtId="165" fontId="30" fillId="0" borderId="1" xfId="1" applyNumberFormat="1" applyFont="1" applyBorder="1" applyAlignment="1">
      <alignment horizontal="right"/>
    </xf>
    <xf numFmtId="0" fontId="30" fillId="0" borderId="13" xfId="0" applyFont="1" applyBorder="1" applyAlignment="1">
      <alignment horizontal="center"/>
    </xf>
    <xf numFmtId="1" fontId="30" fillId="0" borderId="1" xfId="0" applyNumberFormat="1" applyFont="1" applyBorder="1" applyAlignment="1">
      <alignment horizontal="center" vertical="center"/>
    </xf>
    <xf numFmtId="164" fontId="20" fillId="12" borderId="2" xfId="0" applyNumberFormat="1" applyFont="1" applyFill="1" applyBorder="1"/>
    <xf numFmtId="3" fontId="20" fillId="8" borderId="1" xfId="0" applyNumberFormat="1" applyFont="1" applyFill="1" applyBorder="1" applyAlignment="1">
      <alignment horizontal="center"/>
    </xf>
    <xf numFmtId="164" fontId="20" fillId="10" borderId="1" xfId="0" applyNumberFormat="1" applyFont="1" applyFill="1" applyBorder="1"/>
    <xf numFmtId="0" fontId="20" fillId="10" borderId="1" xfId="0" applyFont="1" applyFill="1" applyBorder="1"/>
    <xf numFmtId="43" fontId="20" fillId="10" borderId="0" xfId="0" applyNumberFormat="1" applyFont="1" applyFill="1"/>
    <xf numFmtId="0" fontId="20" fillId="10" borderId="0" xfId="0" applyFont="1" applyFill="1"/>
    <xf numFmtId="43" fontId="20" fillId="10" borderId="14" xfId="0" applyNumberFormat="1" applyFont="1" applyFill="1" applyBorder="1" applyAlignment="1"/>
    <xf numFmtId="0" fontId="20" fillId="0" borderId="14" xfId="0" applyFont="1" applyBorder="1"/>
    <xf numFmtId="3" fontId="20" fillId="5" borderId="14" xfId="0" applyNumberFormat="1" applyFont="1" applyFill="1" applyBorder="1" applyAlignment="1">
      <alignment horizontal="center"/>
    </xf>
    <xf numFmtId="164" fontId="20" fillId="7" borderId="14" xfId="0" applyNumberFormat="1" applyFont="1" applyFill="1" applyBorder="1"/>
    <xf numFmtId="0" fontId="20" fillId="7" borderId="1" xfId="0" applyFont="1" applyFill="1" applyBorder="1"/>
    <xf numFmtId="164" fontId="20" fillId="7" borderId="1" xfId="0" applyNumberFormat="1" applyFont="1" applyFill="1" applyBorder="1"/>
    <xf numFmtId="0" fontId="20" fillId="7" borderId="0" xfId="0" applyFont="1" applyFill="1"/>
    <xf numFmtId="43" fontId="20" fillId="7" borderId="7" xfId="0" applyNumberFormat="1" applyFont="1" applyFill="1" applyBorder="1" applyAlignment="1"/>
    <xf numFmtId="0" fontId="20" fillId="6" borderId="1" xfId="0" applyFont="1" applyFill="1" applyBorder="1"/>
    <xf numFmtId="164" fontId="20" fillId="12" borderId="1" xfId="0" applyNumberFormat="1" applyFont="1" applyFill="1" applyBorder="1"/>
    <xf numFmtId="0" fontId="20" fillId="12" borderId="1" xfId="0" applyFont="1" applyFill="1" applyBorder="1" applyAlignment="1"/>
    <xf numFmtId="164" fontId="20" fillId="12" borderId="1" xfId="0" applyNumberFormat="1" applyFont="1" applyFill="1" applyBorder="1" applyAlignment="1"/>
    <xf numFmtId="1" fontId="20" fillId="12" borderId="1" xfId="0" applyNumberFormat="1" applyFont="1" applyFill="1" applyBorder="1"/>
    <xf numFmtId="0" fontId="18" fillId="0" borderId="1" xfId="0" applyFont="1" applyFill="1" applyBorder="1" applyAlignment="1">
      <alignment vertical="center" shrinkToFit="1"/>
    </xf>
    <xf numFmtId="0" fontId="18" fillId="14" borderId="1" xfId="0" applyFont="1" applyFill="1" applyBorder="1" applyAlignment="1">
      <alignment vertical="center" shrinkToFit="1"/>
    </xf>
    <xf numFmtId="164" fontId="20" fillId="0" borderId="0" xfId="0" applyNumberFormat="1" applyFont="1" applyBorder="1" applyAlignment="1"/>
    <xf numFmtId="0" fontId="20" fillId="0" borderId="0" xfId="0" applyFont="1" applyBorder="1" applyAlignment="1"/>
    <xf numFmtId="1" fontId="20" fillId="0" borderId="0" xfId="0" applyNumberFormat="1" applyFont="1" applyBorder="1"/>
    <xf numFmtId="0" fontId="12" fillId="0" borderId="0" xfId="0" applyFont="1" applyAlignment="1">
      <alignment horizontal="center"/>
    </xf>
    <xf numFmtId="168" fontId="20" fillId="0" borderId="1" xfId="0" applyNumberFormat="1" applyFont="1" applyBorder="1"/>
    <xf numFmtId="0" fontId="20" fillId="0" borderId="1" xfId="0" applyFont="1" applyFill="1" applyBorder="1" applyAlignment="1"/>
    <xf numFmtId="165" fontId="20" fillId="0" borderId="1" xfId="0" applyNumberFormat="1" applyFont="1" applyBorder="1"/>
    <xf numFmtId="166" fontId="20" fillId="0" borderId="1" xfId="0" applyNumberFormat="1" applyFont="1" applyBorder="1"/>
    <xf numFmtId="0" fontId="18" fillId="0" borderId="1" xfId="0" applyFont="1" applyFill="1" applyBorder="1" applyAlignment="1">
      <alignment horizontal="center" vertical="center" wrapText="1"/>
    </xf>
    <xf numFmtId="166" fontId="18" fillId="0" borderId="1" xfId="0" applyNumberFormat="1" applyFont="1" applyBorder="1"/>
    <xf numFmtId="164" fontId="18" fillId="0" borderId="0" xfId="0" applyNumberFormat="1" applyFont="1"/>
    <xf numFmtId="0" fontId="20" fillId="0" borderId="1" xfId="0" applyFont="1" applyBorder="1" applyAlignment="1">
      <alignment horizontal="center" vertical="center"/>
    </xf>
    <xf numFmtId="167" fontId="20" fillId="0" borderId="1" xfId="0" applyNumberFormat="1" applyFont="1" applyBorder="1"/>
    <xf numFmtId="0" fontId="20" fillId="0" borderId="1" xfId="0" applyFont="1" applyFill="1" applyBorder="1" applyAlignment="1">
      <alignment horizontal="center" vertical="center" shrinkToFit="1"/>
    </xf>
    <xf numFmtId="0" fontId="20" fillId="0" borderId="1" xfId="0" applyFont="1" applyFill="1" applyBorder="1" applyAlignment="1">
      <alignment horizontal="center" vertical="center" wrapText="1"/>
    </xf>
    <xf numFmtId="0" fontId="18" fillId="0" borderId="0" xfId="0" applyFont="1" applyBorder="1" applyAlignment="1"/>
    <xf numFmtId="0" fontId="4" fillId="0" borderId="0" xfId="0" applyFont="1"/>
    <xf numFmtId="164" fontId="10" fillId="0" borderId="1" xfId="1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43" fontId="6" fillId="0" borderId="1" xfId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5" fontId="10" fillId="0" borderId="1" xfId="1" applyNumberFormat="1" applyFont="1" applyBorder="1"/>
    <xf numFmtId="43" fontId="10" fillId="0" borderId="1" xfId="1" applyFont="1" applyBorder="1"/>
    <xf numFmtId="0" fontId="10" fillId="0" borderId="0" xfId="0" applyFont="1" applyBorder="1" applyAlignment="1">
      <alignment horizontal="center"/>
    </xf>
    <xf numFmtId="164" fontId="4" fillId="2" borderId="1" xfId="0" applyNumberFormat="1" applyFont="1" applyFill="1" applyBorder="1"/>
    <xf numFmtId="0" fontId="4" fillId="2" borderId="3" xfId="0" applyFont="1" applyFill="1" applyBorder="1"/>
    <xf numFmtId="43" fontId="4" fillId="2" borderId="1" xfId="1" applyFont="1" applyFill="1" applyBorder="1"/>
    <xf numFmtId="0" fontId="10" fillId="0" borderId="0" xfId="0" applyFont="1" applyBorder="1"/>
    <xf numFmtId="165" fontId="10" fillId="0" borderId="0" xfId="0" applyNumberFormat="1" applyFont="1"/>
    <xf numFmtId="165" fontId="4" fillId="0" borderId="1" xfId="0" applyNumberFormat="1" applyFont="1" applyBorder="1" applyAlignment="1">
      <alignment horizontal="center"/>
    </xf>
    <xf numFmtId="0" fontId="4" fillId="0" borderId="3" xfId="0" applyFont="1" applyBorder="1"/>
    <xf numFmtId="43" fontId="30" fillId="0" borderId="1" xfId="1" applyNumberFormat="1" applyFont="1" applyBorder="1"/>
    <xf numFmtId="0" fontId="25" fillId="0" borderId="1" xfId="0" applyFont="1" applyBorder="1" applyAlignment="1">
      <alignment horizontal="left"/>
    </xf>
    <xf numFmtId="0" fontId="30" fillId="0" borderId="4" xfId="0" applyFont="1" applyBorder="1" applyAlignment="1">
      <alignment horizontal="center" vertical="center"/>
    </xf>
    <xf numFmtId="0" fontId="20" fillId="0" borderId="3" xfId="0" applyFont="1" applyBorder="1"/>
    <xf numFmtId="0" fontId="30" fillId="0" borderId="2" xfId="0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43" fontId="30" fillId="0" borderId="4" xfId="1" applyFont="1" applyBorder="1"/>
    <xf numFmtId="0" fontId="25" fillId="0" borderId="1" xfId="0" applyFont="1" applyFill="1" applyBorder="1" applyAlignment="1">
      <alignment horizontal="center" vertical="center" shrinkToFit="1"/>
    </xf>
    <xf numFmtId="165" fontId="25" fillId="0" borderId="1" xfId="1" applyNumberFormat="1" applyFont="1" applyBorder="1"/>
    <xf numFmtId="164" fontId="18" fillId="0" borderId="1" xfId="1" applyNumberFormat="1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18" fillId="0" borderId="2" xfId="0" applyFont="1" applyBorder="1"/>
    <xf numFmtId="164" fontId="18" fillId="2" borderId="1" xfId="0" applyNumberFormat="1" applyFont="1" applyFill="1" applyBorder="1"/>
    <xf numFmtId="0" fontId="18" fillId="2" borderId="3" xfId="0" applyFont="1" applyFill="1" applyBorder="1"/>
    <xf numFmtId="43" fontId="18" fillId="2" borderId="1" xfId="1" applyFont="1" applyFill="1" applyBorder="1"/>
    <xf numFmtId="0" fontId="25" fillId="0" borderId="0" xfId="0" applyFont="1" applyBorder="1"/>
    <xf numFmtId="164" fontId="30" fillId="0" borderId="2" xfId="0" applyNumberFormat="1" applyFont="1" applyBorder="1"/>
    <xf numFmtId="164" fontId="30" fillId="0" borderId="8" xfId="0" applyNumberFormat="1" applyFont="1" applyBorder="1"/>
    <xf numFmtId="0" fontId="4" fillId="0" borderId="2" xfId="0" applyFont="1" applyBorder="1" applyAlignment="1">
      <alignment horizontal="center"/>
    </xf>
    <xf numFmtId="0" fontId="10" fillId="0" borderId="2" xfId="0" applyFont="1" applyBorder="1"/>
    <xf numFmtId="0" fontId="4" fillId="2" borderId="1" xfId="0" applyFont="1" applyFill="1" applyBorder="1"/>
    <xf numFmtId="0" fontId="18" fillId="2" borderId="1" xfId="0" applyFont="1" applyFill="1" applyBorder="1"/>
    <xf numFmtId="0" fontId="4" fillId="0" borderId="0" xfId="0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165" fontId="10" fillId="0" borderId="0" xfId="1" applyNumberFormat="1" applyFont="1" applyBorder="1"/>
    <xf numFmtId="43" fontId="10" fillId="0" borderId="0" xfId="1" applyFont="1" applyBorder="1"/>
    <xf numFmtId="43" fontId="4" fillId="0" borderId="0" xfId="1" applyFont="1" applyBorder="1"/>
    <xf numFmtId="3" fontId="30" fillId="0" borderId="1" xfId="0" applyNumberFormat="1" applyFont="1" applyBorder="1" applyAlignment="1">
      <alignment horizontal="center"/>
    </xf>
    <xf numFmtId="0" fontId="18" fillId="0" borderId="3" xfId="0" applyFont="1" applyBorder="1"/>
    <xf numFmtId="0" fontId="30" fillId="0" borderId="1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/>
    </xf>
    <xf numFmtId="164" fontId="19" fillId="0" borderId="0" xfId="1" applyNumberFormat="1" applyFont="1" applyBorder="1"/>
    <xf numFmtId="43" fontId="19" fillId="0" borderId="0" xfId="1" applyFont="1" applyBorder="1"/>
    <xf numFmtId="164" fontId="22" fillId="0" borderId="0" xfId="1" applyNumberFormat="1" applyFont="1" applyBorder="1"/>
    <xf numFmtId="164" fontId="19" fillId="0" borderId="14" xfId="1" applyNumberFormat="1" applyFont="1" applyBorder="1"/>
    <xf numFmtId="164" fontId="19" fillId="3" borderId="5" xfId="1" applyNumberFormat="1" applyFont="1" applyFill="1" applyBorder="1"/>
    <xf numFmtId="0" fontId="24" fillId="0" borderId="5" xfId="0" applyFont="1" applyBorder="1"/>
    <xf numFmtId="164" fontId="19" fillId="0" borderId="7" xfId="1" applyNumberFormat="1" applyFont="1" applyBorder="1"/>
    <xf numFmtId="164" fontId="19" fillId="0" borderId="19" xfId="1" applyNumberFormat="1" applyFont="1" applyBorder="1"/>
    <xf numFmtId="164" fontId="19" fillId="0" borderId="20" xfId="1" applyNumberFormat="1" applyFont="1" applyBorder="1"/>
    <xf numFmtId="43" fontId="19" fillId="0" borderId="20" xfId="1" applyFont="1" applyBorder="1"/>
    <xf numFmtId="0" fontId="24" fillId="0" borderId="20" xfId="0" applyFont="1" applyBorder="1"/>
    <xf numFmtId="0" fontId="30" fillId="0" borderId="18" xfId="0" applyFont="1" applyBorder="1"/>
    <xf numFmtId="164" fontId="20" fillId="0" borderId="18" xfId="1" applyNumberFormat="1" applyFont="1" applyBorder="1"/>
    <xf numFmtId="43" fontId="20" fillId="0" borderId="18" xfId="1" applyFont="1" applyBorder="1"/>
    <xf numFmtId="0" fontId="6" fillId="0" borderId="18" xfId="0" applyFont="1" applyBorder="1"/>
    <xf numFmtId="0" fontId="20" fillId="0" borderId="18" xfId="0" applyFont="1" applyBorder="1"/>
    <xf numFmtId="0" fontId="12" fillId="0" borderId="18" xfId="0" applyFont="1" applyBorder="1"/>
    <xf numFmtId="0" fontId="18" fillId="3" borderId="1" xfId="0" applyFont="1" applyFill="1" applyBorder="1" applyAlignment="1">
      <alignment horizontal="center" vertical="center"/>
    </xf>
    <xf numFmtId="164" fontId="19" fillId="5" borderId="1" xfId="0" applyNumberFormat="1" applyFont="1" applyFill="1" applyBorder="1"/>
    <xf numFmtId="43" fontId="17" fillId="3" borderId="1" xfId="0" applyNumberFormat="1" applyFont="1" applyFill="1" applyBorder="1" applyAlignment="1"/>
    <xf numFmtId="0" fontId="20" fillId="3" borderId="1" xfId="0" applyFont="1" applyFill="1" applyBorder="1" applyAlignment="1">
      <alignment horizontal="center" vertical="center"/>
    </xf>
    <xf numFmtId="43" fontId="17" fillId="3" borderId="1" xfId="0" applyNumberFormat="1" applyFont="1" applyFill="1" applyBorder="1"/>
    <xf numFmtId="164" fontId="17" fillId="3" borderId="1" xfId="0" applyNumberFormat="1" applyFont="1" applyFill="1" applyBorder="1"/>
    <xf numFmtId="0" fontId="19" fillId="0" borderId="1" xfId="0" applyFont="1" applyBorder="1"/>
    <xf numFmtId="0" fontId="19" fillId="0" borderId="14" xfId="0" applyFont="1" applyBorder="1"/>
    <xf numFmtId="43" fontId="19" fillId="0" borderId="14" xfId="1" applyFont="1" applyBorder="1"/>
    <xf numFmtId="0" fontId="19" fillId="0" borderId="7" xfId="0" applyFont="1" applyBorder="1"/>
    <xf numFmtId="43" fontId="19" fillId="0" borderId="7" xfId="1" applyFont="1" applyBorder="1"/>
    <xf numFmtId="164" fontId="19" fillId="0" borderId="1" xfId="0" applyNumberFormat="1" applyFont="1" applyBorder="1"/>
    <xf numFmtId="164" fontId="22" fillId="0" borderId="0" xfId="0" applyNumberFormat="1" applyFont="1" applyBorder="1"/>
    <xf numFmtId="164" fontId="17" fillId="0" borderId="0" xfId="0" applyNumberFormat="1" applyFont="1"/>
    <xf numFmtId="164" fontId="17" fillId="4" borderId="1" xfId="0" applyNumberFormat="1" applyFont="1" applyFill="1" applyBorder="1" applyAlignment="1"/>
    <xf numFmtId="43" fontId="19" fillId="4" borderId="1" xfId="1" applyFont="1" applyFill="1" applyBorder="1"/>
    <xf numFmtId="0" fontId="17" fillId="0" borderId="15" xfId="0" applyFont="1" applyBorder="1" applyAlignment="1"/>
    <xf numFmtId="0" fontId="17" fillId="0" borderId="7" xfId="0" applyFont="1" applyBorder="1"/>
    <xf numFmtId="164" fontId="17" fillId="3" borderId="1" xfId="0" applyNumberFormat="1" applyFont="1" applyFill="1" applyBorder="1" applyAlignment="1"/>
    <xf numFmtId="164" fontId="17" fillId="0" borderId="0" xfId="1" applyNumberFormat="1" applyFont="1" applyBorder="1"/>
    <xf numFmtId="164" fontId="17" fillId="8" borderId="1" xfId="0" applyNumberFormat="1" applyFont="1" applyFill="1" applyBorder="1" applyAlignment="1"/>
    <xf numFmtId="43" fontId="19" fillId="10" borderId="1" xfId="1" applyFont="1" applyFill="1" applyBorder="1"/>
    <xf numFmtId="164" fontId="17" fillId="5" borderId="1" xfId="0" applyNumberFormat="1" applyFont="1" applyFill="1" applyBorder="1"/>
    <xf numFmtId="43" fontId="22" fillId="3" borderId="0" xfId="1" applyFont="1" applyFill="1" applyBorder="1"/>
    <xf numFmtId="164" fontId="17" fillId="0" borderId="1" xfId="0" applyNumberFormat="1" applyFont="1" applyBorder="1" applyAlignment="1">
      <alignment horizontal="center"/>
    </xf>
    <xf numFmtId="164" fontId="17" fillId="8" borderId="1" xfId="0" applyNumberFormat="1" applyFont="1" applyFill="1" applyBorder="1" applyAlignment="1">
      <alignment horizontal="center"/>
    </xf>
    <xf numFmtId="43" fontId="17" fillId="5" borderId="1" xfId="0" applyNumberFormat="1" applyFont="1" applyFill="1" applyBorder="1" applyAlignment="1"/>
    <xf numFmtId="164" fontId="17" fillId="4" borderId="1" xfId="0" applyNumberFormat="1" applyFont="1" applyFill="1" applyBorder="1"/>
    <xf numFmtId="164" fontId="17" fillId="7" borderId="1" xfId="0" applyNumberFormat="1" applyFont="1" applyFill="1" applyBorder="1" applyAlignment="1"/>
    <xf numFmtId="0" fontId="23" fillId="0" borderId="12" xfId="0" applyFont="1" applyFill="1" applyBorder="1" applyAlignment="1">
      <alignment vertical="center" shrinkToFit="1"/>
    </xf>
    <xf numFmtId="0" fontId="17" fillId="0" borderId="1" xfId="0" applyFont="1" applyFill="1" applyBorder="1" applyAlignment="1">
      <alignment vertical="center" shrinkToFit="1"/>
    </xf>
    <xf numFmtId="0" fontId="17" fillId="14" borderId="1" xfId="0" applyFont="1" applyFill="1" applyBorder="1" applyAlignment="1">
      <alignment vertical="center" shrinkToFit="1"/>
    </xf>
    <xf numFmtId="165" fontId="30" fillId="0" borderId="1" xfId="0" applyNumberFormat="1" applyFont="1" applyBorder="1"/>
    <xf numFmtId="43" fontId="20" fillId="0" borderId="1" xfId="0" applyNumberFormat="1" applyFont="1" applyBorder="1"/>
    <xf numFmtId="0" fontId="17" fillId="0" borderId="1" xfId="0" applyFont="1" applyFill="1" applyBorder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shrinkToFit="1"/>
    </xf>
    <xf numFmtId="0" fontId="23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43" fontId="17" fillId="10" borderId="1" xfId="0" applyNumberFormat="1" applyFont="1" applyFill="1" applyBorder="1" applyAlignment="1"/>
    <xf numFmtId="43" fontId="17" fillId="7" borderId="1" xfId="0" applyNumberFormat="1" applyFont="1" applyFill="1" applyBorder="1" applyAlignment="1"/>
    <xf numFmtId="0" fontId="23" fillId="0" borderId="1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shrinkToFit="1"/>
    </xf>
    <xf numFmtId="0" fontId="23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center"/>
    </xf>
    <xf numFmtId="0" fontId="24" fillId="0" borderId="3" xfId="0" applyFont="1" applyFill="1" applyBorder="1" applyAlignment="1">
      <alignment horizontal="center" vertical="center" shrinkToFit="1"/>
    </xf>
    <xf numFmtId="0" fontId="23" fillId="0" borderId="3" xfId="0" applyFont="1" applyBorder="1"/>
    <xf numFmtId="165" fontId="23" fillId="0" borderId="3" xfId="1" applyNumberFormat="1" applyFont="1" applyBorder="1"/>
    <xf numFmtId="43" fontId="23" fillId="0" borderId="3" xfId="1" applyFont="1" applyBorder="1"/>
    <xf numFmtId="0" fontId="23" fillId="0" borderId="1" xfId="0" applyFont="1" applyFill="1" applyBorder="1" applyAlignment="1">
      <alignment vertical="center" shrinkToFit="1"/>
    </xf>
    <xf numFmtId="0" fontId="16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1" xfId="0" applyFont="1" applyFill="1" applyBorder="1" applyAlignment="1"/>
    <xf numFmtId="0" fontId="23" fillId="0" borderId="2" xfId="0" applyFont="1" applyFill="1" applyBorder="1" applyAlignment="1">
      <alignment horizontal="center" vertical="center" shrinkToFit="1"/>
    </xf>
    <xf numFmtId="0" fontId="23" fillId="0" borderId="12" xfId="0" applyFont="1" applyFill="1" applyBorder="1" applyAlignment="1">
      <alignment horizontal="center" vertical="center" shrinkToFit="1"/>
    </xf>
    <xf numFmtId="0" fontId="23" fillId="0" borderId="2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 wrapText="1" shrinkToFit="1"/>
    </xf>
    <xf numFmtId="0" fontId="23" fillId="0" borderId="12" xfId="0" applyFont="1" applyFill="1" applyBorder="1" applyAlignment="1">
      <alignment horizontal="center" vertical="center" wrapText="1" shrinkToFit="1"/>
    </xf>
    <xf numFmtId="0" fontId="16" fillId="0" borderId="2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vertical="center" shrinkToFit="1"/>
    </xf>
    <xf numFmtId="0" fontId="16" fillId="0" borderId="12" xfId="0" applyFont="1" applyFill="1" applyBorder="1" applyAlignment="1">
      <alignment horizontal="center" vertical="center" shrinkToFit="1"/>
    </xf>
    <xf numFmtId="0" fontId="16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8" fillId="0" borderId="2" xfId="0" applyFont="1" applyFill="1" applyBorder="1" applyAlignment="1">
      <alignment horizontal="center" vertical="center" shrinkToFit="1"/>
    </xf>
    <xf numFmtId="0" fontId="18" fillId="0" borderId="12" xfId="0" applyFont="1" applyFill="1" applyBorder="1" applyAlignment="1">
      <alignment horizontal="center" vertical="center" shrinkToFit="1"/>
    </xf>
    <xf numFmtId="0" fontId="38" fillId="0" borderId="0" xfId="0" applyFont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48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20" fillId="0" borderId="1" xfId="0" applyFont="1" applyFill="1" applyBorder="1" applyAlignment="1"/>
    <xf numFmtId="0" fontId="30" fillId="0" borderId="2" xfId="0" applyFont="1" applyFill="1" applyBorder="1" applyAlignment="1">
      <alignment horizontal="center" vertical="center" shrinkToFit="1"/>
    </xf>
    <xf numFmtId="0" fontId="30" fillId="0" borderId="12" xfId="0" applyFont="1" applyFill="1" applyBorder="1" applyAlignment="1">
      <alignment horizontal="center" vertical="center" shrinkToFit="1"/>
    </xf>
    <xf numFmtId="0" fontId="30" fillId="0" borderId="2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 wrapText="1" shrinkToFit="1"/>
    </xf>
    <xf numFmtId="0" fontId="30" fillId="0" borderId="12" xfId="0" applyFont="1" applyFill="1" applyBorder="1" applyAlignment="1">
      <alignment horizontal="center" vertical="center" wrapText="1" shrinkToFit="1"/>
    </xf>
    <xf numFmtId="0" fontId="18" fillId="0" borderId="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shrinkToFit="1"/>
    </xf>
    <xf numFmtId="0" fontId="23" fillId="0" borderId="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6" fillId="0" borderId="1" xfId="0" applyFont="1" applyFill="1" applyBorder="1" applyAlignment="1">
      <alignment horizontal="center" vertical="center" shrinkToFit="1"/>
    </xf>
    <xf numFmtId="0" fontId="23" fillId="0" borderId="1" xfId="0" applyFont="1" applyFill="1" applyBorder="1" applyAlignment="1">
      <alignment horizontal="center" vertical="center" shrinkToFit="1"/>
    </xf>
    <xf numFmtId="0" fontId="23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164" fontId="17" fillId="0" borderId="0" xfId="0" applyNumberFormat="1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2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16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22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/>
    </xf>
    <xf numFmtId="164" fontId="22" fillId="0" borderId="1" xfId="1" applyNumberFormat="1" applyFont="1" applyBorder="1" applyAlignment="1">
      <alignment vertical="center"/>
    </xf>
    <xf numFmtId="1" fontId="16" fillId="0" borderId="0" xfId="0" applyNumberFormat="1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1" fontId="16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right"/>
    </xf>
    <xf numFmtId="1" fontId="16" fillId="0" borderId="0" xfId="0" applyNumberFormat="1" applyFont="1" applyBorder="1" applyAlignment="1"/>
    <xf numFmtId="43" fontId="19" fillId="0" borderId="2" xfId="1" applyFont="1" applyBorder="1" applyAlignment="1">
      <alignment horizontal="center"/>
    </xf>
    <xf numFmtId="43" fontId="19" fillId="0" borderId="12" xfId="1" applyFont="1" applyBorder="1" applyAlignment="1">
      <alignment horizontal="center"/>
    </xf>
    <xf numFmtId="0" fontId="16" fillId="7" borderId="8" xfId="0" applyFont="1" applyFill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16" fillId="7" borderId="11" xfId="0" applyFont="1" applyFill="1" applyBorder="1" applyAlignment="1">
      <alignment horizontal="center"/>
    </xf>
    <xf numFmtId="164" fontId="17" fillId="4" borderId="1" xfId="0" applyNumberFormat="1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1" fontId="16" fillId="0" borderId="13" xfId="0" applyNumberFormat="1" applyFont="1" applyBorder="1" applyAlignment="1">
      <alignment horizontal="right"/>
    </xf>
    <xf numFmtId="1" fontId="16" fillId="0" borderId="15" xfId="0" applyNumberFormat="1" applyFont="1" applyBorder="1" applyAlignment="1">
      <alignment horizontal="right"/>
    </xf>
    <xf numFmtId="1" fontId="16" fillId="0" borderId="1" xfId="0" applyNumberFormat="1" applyFont="1" applyBorder="1" applyAlignment="1"/>
    <xf numFmtId="164" fontId="18" fillId="0" borderId="1" xfId="0" applyNumberFormat="1" applyFont="1" applyBorder="1" applyAlignment="1">
      <alignment horizontal="center"/>
    </xf>
    <xf numFmtId="0" fontId="16" fillId="8" borderId="8" xfId="0" applyFont="1" applyFill="1" applyBorder="1" applyAlignment="1">
      <alignment horizontal="center"/>
    </xf>
    <xf numFmtId="0" fontId="16" fillId="8" borderId="9" xfId="0" applyFont="1" applyFill="1" applyBorder="1" applyAlignment="1">
      <alignment horizontal="center"/>
    </xf>
    <xf numFmtId="0" fontId="16" fillId="8" borderId="11" xfId="0" applyFont="1" applyFill="1" applyBorder="1" applyAlignment="1">
      <alignment horizontal="center"/>
    </xf>
    <xf numFmtId="0" fontId="16" fillId="9" borderId="8" xfId="0" applyFont="1" applyFill="1" applyBorder="1" applyAlignment="1">
      <alignment horizontal="center"/>
    </xf>
    <xf numFmtId="0" fontId="16" fillId="9" borderId="9" xfId="0" applyFont="1" applyFill="1" applyBorder="1" applyAlignment="1">
      <alignment horizontal="center"/>
    </xf>
    <xf numFmtId="0" fontId="16" fillId="6" borderId="9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6" fillId="0" borderId="14" xfId="1" applyNumberFormat="1" applyFont="1" applyBorder="1" applyAlignment="1">
      <alignment horizontal="center" vertical="center"/>
    </xf>
    <xf numFmtId="164" fontId="16" fillId="0" borderId="7" xfId="1" applyNumberFormat="1" applyFont="1" applyBorder="1" applyAlignment="1">
      <alignment horizontal="center" vertical="center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7" fillId="0" borderId="2" xfId="0" applyFont="1" applyFill="1" applyBorder="1" applyAlignment="1">
      <alignment horizontal="center" vertical="center" shrinkToFit="1"/>
    </xf>
    <xf numFmtId="0" fontId="17" fillId="0" borderId="12" xfId="0" applyFont="1" applyFill="1" applyBorder="1" applyAlignment="1">
      <alignment horizontal="center" vertical="center" shrinkToFit="1"/>
    </xf>
    <xf numFmtId="0" fontId="16" fillId="0" borderId="1" xfId="0" applyFont="1" applyFill="1" applyBorder="1" applyAlignment="1"/>
    <xf numFmtId="0" fontId="17" fillId="0" borderId="2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17" fillId="0" borderId="2" xfId="0" applyFont="1" applyFill="1" applyBorder="1" applyAlignment="1">
      <alignment horizontal="center" vertical="center" wrapText="1" shrinkToFit="1"/>
    </xf>
    <xf numFmtId="0" fontId="17" fillId="0" borderId="12" xfId="0" applyFont="1" applyFill="1" applyBorder="1" applyAlignment="1">
      <alignment horizontal="center" vertical="center" wrapText="1" shrinkToFit="1"/>
    </xf>
    <xf numFmtId="0" fontId="16" fillId="0" borderId="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43" fontId="17" fillId="10" borderId="14" xfId="0" applyNumberFormat="1" applyFont="1" applyFill="1" applyBorder="1" applyAlignment="1">
      <alignment horizontal="center"/>
    </xf>
    <xf numFmtId="43" fontId="17" fillId="10" borderId="7" xfId="0" applyNumberFormat="1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52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6"/>
  <sheetViews>
    <sheetView topLeftCell="A220" workbookViewId="0">
      <selection activeCell="J240" sqref="J240"/>
    </sheetView>
  </sheetViews>
  <sheetFormatPr defaultRowHeight="15"/>
  <cols>
    <col min="2" max="2" width="13.42578125" bestFit="1" customWidth="1"/>
    <col min="3" max="3" width="12.5703125" bestFit="1" customWidth="1"/>
    <col min="4" max="4" width="19.5703125" customWidth="1"/>
    <col min="5" max="5" width="12.7109375" bestFit="1" customWidth="1"/>
    <col min="6" max="6" width="10.5703125" bestFit="1" customWidth="1"/>
    <col min="7" max="7" width="24.42578125" bestFit="1" customWidth="1"/>
    <col min="8" max="8" width="6.42578125" bestFit="1" customWidth="1"/>
    <col min="9" max="9" width="10.5703125" bestFit="1" customWidth="1"/>
    <col min="10" max="10" width="9.5703125" bestFit="1" customWidth="1"/>
    <col min="11" max="11" width="12.85546875" customWidth="1"/>
    <col min="12" max="12" width="9.42578125" customWidth="1"/>
    <col min="13" max="13" width="10.140625" bestFit="1" customWidth="1"/>
    <col min="14" max="14" width="12.28515625" customWidth="1"/>
  </cols>
  <sheetData>
    <row r="1" spans="1:14" ht="23.25">
      <c r="A1" s="826" t="s">
        <v>146</v>
      </c>
      <c r="B1" s="826"/>
      <c r="C1" s="826"/>
      <c r="D1" s="826"/>
      <c r="E1" s="826"/>
      <c r="F1" s="826"/>
      <c r="G1" s="826"/>
      <c r="H1" s="826"/>
      <c r="I1" s="826"/>
      <c r="J1" s="826"/>
      <c r="K1" s="826"/>
      <c r="L1" s="826"/>
      <c r="M1" s="826"/>
      <c r="N1" s="826"/>
    </row>
    <row r="2" spans="1:14">
      <c r="A2" s="827" t="s">
        <v>147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827"/>
    </row>
    <row r="3" spans="1:14" s="9" customFormat="1">
      <c r="A3" s="828" t="s">
        <v>148</v>
      </c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  <c r="M3" s="828"/>
      <c r="N3" s="828"/>
    </row>
    <row r="4" spans="1:14">
      <c r="A4" s="70" t="s">
        <v>21</v>
      </c>
      <c r="B4" s="70"/>
      <c r="C4" s="70"/>
      <c r="D4" s="70"/>
      <c r="E4" s="70"/>
      <c r="F4" s="71"/>
      <c r="G4" s="71"/>
      <c r="H4" s="71"/>
      <c r="I4" s="71"/>
      <c r="J4" s="71"/>
      <c r="K4" s="824" t="s">
        <v>423</v>
      </c>
      <c r="L4" s="824"/>
      <c r="M4" s="824"/>
      <c r="N4" s="71"/>
    </row>
    <row r="5" spans="1:14">
      <c r="A5" s="6" t="s">
        <v>0</v>
      </c>
      <c r="B5" s="6" t="s">
        <v>7</v>
      </c>
      <c r="C5" s="6" t="s">
        <v>13</v>
      </c>
      <c r="D5" s="6" t="s">
        <v>14</v>
      </c>
      <c r="E5" s="6" t="s">
        <v>8</v>
      </c>
      <c r="F5" s="6" t="s">
        <v>1</v>
      </c>
      <c r="G5" s="6" t="s">
        <v>2</v>
      </c>
      <c r="H5" s="6" t="s">
        <v>15</v>
      </c>
      <c r="I5" s="6" t="s">
        <v>3</v>
      </c>
      <c r="J5" s="6" t="s">
        <v>4</v>
      </c>
      <c r="K5" s="6" t="s">
        <v>5</v>
      </c>
      <c r="L5" s="6" t="s">
        <v>12</v>
      </c>
      <c r="M5" s="6" t="s">
        <v>6</v>
      </c>
    </row>
    <row r="6" spans="1:14">
      <c r="A6" s="3">
        <v>1</v>
      </c>
      <c r="B6" s="120" t="s">
        <v>424</v>
      </c>
      <c r="C6" s="120" t="s">
        <v>386</v>
      </c>
      <c r="D6" s="120" t="s">
        <v>425</v>
      </c>
      <c r="E6" s="3"/>
      <c r="F6" s="90"/>
      <c r="G6" s="120" t="s">
        <v>170</v>
      </c>
      <c r="H6" s="79"/>
      <c r="I6" s="80"/>
      <c r="J6" s="81">
        <v>227</v>
      </c>
      <c r="K6" s="81">
        <f t="shared" ref="K6:K7" si="0">I6*J6</f>
        <v>0</v>
      </c>
      <c r="L6" s="2"/>
      <c r="M6" s="156">
        <f>I6</f>
        <v>0</v>
      </c>
      <c r="N6" s="120" t="s">
        <v>173</v>
      </c>
    </row>
    <row r="7" spans="1:14">
      <c r="A7" s="3"/>
      <c r="B7" s="120" t="s">
        <v>430</v>
      </c>
      <c r="C7" s="120" t="s">
        <v>121</v>
      </c>
      <c r="D7" s="120" t="s">
        <v>426</v>
      </c>
      <c r="E7" s="120"/>
      <c r="F7" s="90"/>
      <c r="G7" s="120" t="s">
        <v>171</v>
      </c>
      <c r="H7" s="79"/>
      <c r="I7" s="80"/>
      <c r="J7" s="81">
        <v>416</v>
      </c>
      <c r="K7" s="81">
        <f t="shared" si="0"/>
        <v>0</v>
      </c>
      <c r="L7" s="2"/>
      <c r="M7" s="156">
        <f t="shared" ref="M7:M12" si="1">I7</f>
        <v>0</v>
      </c>
      <c r="N7" s="120" t="s">
        <v>174</v>
      </c>
    </row>
    <row r="8" spans="1:14">
      <c r="A8" s="3"/>
      <c r="B8" s="120" t="s">
        <v>418</v>
      </c>
      <c r="C8" s="120" t="s">
        <v>121</v>
      </c>
      <c r="D8" s="120" t="s">
        <v>427</v>
      </c>
      <c r="E8" s="120"/>
      <c r="F8" s="90"/>
      <c r="G8" s="120" t="s">
        <v>172</v>
      </c>
      <c r="H8" s="79"/>
      <c r="I8" s="80"/>
      <c r="J8" s="81">
        <v>165</v>
      </c>
      <c r="K8" s="81">
        <f>I8*J8</f>
        <v>0</v>
      </c>
      <c r="L8" s="2"/>
      <c r="M8" s="156">
        <f t="shared" si="1"/>
        <v>0</v>
      </c>
      <c r="N8" s="120" t="s">
        <v>172</v>
      </c>
    </row>
    <row r="9" spans="1:14">
      <c r="A9" s="3"/>
      <c r="B9" s="120" t="s">
        <v>371</v>
      </c>
      <c r="C9" s="25" t="s">
        <v>115</v>
      </c>
      <c r="D9" s="25" t="s">
        <v>391</v>
      </c>
      <c r="E9" s="3"/>
      <c r="F9" s="90"/>
      <c r="G9" s="25"/>
      <c r="H9" s="36"/>
      <c r="I9" s="39"/>
      <c r="J9" s="40"/>
      <c r="K9" s="40"/>
      <c r="L9" s="2"/>
      <c r="M9" s="156">
        <f t="shared" si="1"/>
        <v>0</v>
      </c>
      <c r="N9" s="120" t="s">
        <v>24</v>
      </c>
    </row>
    <row r="10" spans="1:14">
      <c r="A10" s="3"/>
      <c r="B10" s="120" t="s">
        <v>371</v>
      </c>
      <c r="C10" s="25" t="s">
        <v>428</v>
      </c>
      <c r="D10" s="25" t="s">
        <v>429</v>
      </c>
      <c r="E10" s="3"/>
      <c r="F10" s="90"/>
      <c r="G10" s="25"/>
      <c r="H10" s="36"/>
      <c r="I10" s="39"/>
      <c r="J10" s="40"/>
      <c r="K10" s="40"/>
      <c r="L10" s="2"/>
      <c r="M10" s="156">
        <f t="shared" si="1"/>
        <v>0</v>
      </c>
      <c r="N10" s="120" t="s">
        <v>175</v>
      </c>
    </row>
    <row r="11" spans="1:14">
      <c r="A11" s="3"/>
      <c r="B11" s="3"/>
      <c r="C11" s="3"/>
      <c r="D11" s="3"/>
      <c r="E11" s="6" t="s">
        <v>9</v>
      </c>
      <c r="F11" s="8">
        <f>SUM(F6:F10)</f>
        <v>0</v>
      </c>
      <c r="G11" s="6"/>
      <c r="H11" s="6"/>
      <c r="I11" s="17"/>
      <c r="J11" s="5"/>
      <c r="K11" s="7">
        <f>SUM(K6:K10)</f>
        <v>0</v>
      </c>
      <c r="L11" s="7" t="e">
        <f>K11/F11</f>
        <v>#DIV/0!</v>
      </c>
      <c r="M11" s="156">
        <f t="shared" si="1"/>
        <v>0</v>
      </c>
      <c r="N11" s="83" t="s">
        <v>176</v>
      </c>
    </row>
    <row r="12" spans="1:14">
      <c r="D12" s="23" t="s">
        <v>30</v>
      </c>
      <c r="E12" s="23"/>
      <c r="F12" s="50">
        <f>F11</f>
        <v>0</v>
      </c>
      <c r="G12" s="51"/>
      <c r="H12" s="51"/>
      <c r="I12" s="51"/>
      <c r="J12" s="51"/>
      <c r="K12" s="50">
        <f>K11</f>
        <v>0</v>
      </c>
      <c r="L12" s="52" t="e">
        <f>K12/F12</f>
        <v>#DIV/0!</v>
      </c>
      <c r="M12" s="156">
        <f t="shared" si="1"/>
        <v>0</v>
      </c>
      <c r="N12" s="84" t="s">
        <v>10</v>
      </c>
    </row>
    <row r="13" spans="1:14">
      <c r="D13" s="26"/>
      <c r="E13" s="26"/>
      <c r="F13" s="27"/>
      <c r="G13" s="26"/>
      <c r="H13" s="26"/>
      <c r="I13" s="26"/>
      <c r="J13" s="26"/>
      <c r="K13" s="27"/>
      <c r="L13" s="15"/>
    </row>
    <row r="14" spans="1:14">
      <c r="A14" s="1" t="s">
        <v>23</v>
      </c>
      <c r="B14" s="1"/>
      <c r="C14" s="1"/>
      <c r="D14" s="1"/>
      <c r="E14" s="1"/>
      <c r="K14" s="824" t="s">
        <v>423</v>
      </c>
      <c r="L14" s="824"/>
      <c r="M14" s="824"/>
    </row>
    <row r="15" spans="1:14">
      <c r="A15" s="6" t="s">
        <v>0</v>
      </c>
      <c r="B15" s="6" t="s">
        <v>7</v>
      </c>
      <c r="C15" s="6" t="s">
        <v>13</v>
      </c>
      <c r="D15" s="6" t="s">
        <v>14</v>
      </c>
      <c r="E15" s="6" t="s">
        <v>8</v>
      </c>
      <c r="F15" s="6" t="s">
        <v>1</v>
      </c>
      <c r="G15" s="6" t="s">
        <v>2</v>
      </c>
      <c r="H15" s="6" t="s">
        <v>15</v>
      </c>
      <c r="I15" s="6" t="s">
        <v>3</v>
      </c>
      <c r="J15" s="6" t="s">
        <v>4</v>
      </c>
      <c r="K15" s="6" t="s">
        <v>5</v>
      </c>
      <c r="L15" s="6" t="s">
        <v>12</v>
      </c>
      <c r="M15" s="6" t="s">
        <v>6</v>
      </c>
    </row>
    <row r="16" spans="1:14">
      <c r="A16" s="3">
        <v>1</v>
      </c>
      <c r="B16" s="120" t="s">
        <v>421</v>
      </c>
      <c r="C16" s="120" t="s">
        <v>121</v>
      </c>
      <c r="D16" s="120" t="s">
        <v>422</v>
      </c>
      <c r="E16" s="3"/>
      <c r="F16" s="90"/>
      <c r="G16" s="120" t="s">
        <v>24</v>
      </c>
      <c r="H16" s="79"/>
      <c r="I16" s="80"/>
      <c r="J16" s="81">
        <v>74</v>
      </c>
      <c r="K16" s="81">
        <f t="shared" ref="K16:K18" si="2">I16*J16</f>
        <v>0</v>
      </c>
      <c r="L16" s="2"/>
      <c r="M16" s="2"/>
    </row>
    <row r="17" spans="1:13">
      <c r="A17" s="3"/>
      <c r="B17" s="3"/>
      <c r="C17" s="3"/>
      <c r="D17" s="3"/>
      <c r="E17" s="3"/>
      <c r="F17" s="4"/>
      <c r="G17" s="88" t="s">
        <v>18</v>
      </c>
      <c r="H17" s="79"/>
      <c r="I17" s="80"/>
      <c r="J17" s="81">
        <v>46</v>
      </c>
      <c r="K17" s="81">
        <f t="shared" si="2"/>
        <v>0</v>
      </c>
      <c r="L17" s="2"/>
      <c r="M17" s="2"/>
    </row>
    <row r="18" spans="1:13">
      <c r="A18" s="3"/>
      <c r="B18" s="3"/>
      <c r="C18" s="3"/>
      <c r="D18" s="3"/>
      <c r="E18" s="3"/>
      <c r="F18" s="4"/>
      <c r="G18" s="120" t="s">
        <v>171</v>
      </c>
      <c r="H18" s="79"/>
      <c r="I18" s="80"/>
      <c r="J18" s="81">
        <v>416</v>
      </c>
      <c r="K18" s="81">
        <f t="shared" si="2"/>
        <v>0</v>
      </c>
      <c r="L18" s="2"/>
      <c r="M18" s="2"/>
    </row>
    <row r="19" spans="1:13">
      <c r="A19" s="3"/>
      <c r="B19" s="3"/>
      <c r="C19" s="3"/>
      <c r="D19" s="3"/>
      <c r="E19" s="3"/>
      <c r="F19" s="4"/>
      <c r="G19" s="120" t="s">
        <v>172</v>
      </c>
      <c r="H19" s="79"/>
      <c r="I19" s="80"/>
      <c r="J19" s="81">
        <v>165</v>
      </c>
      <c r="K19" s="81">
        <f>I19*J19</f>
        <v>0</v>
      </c>
      <c r="L19" s="2"/>
      <c r="M19" s="2"/>
    </row>
    <row r="20" spans="1:13">
      <c r="A20" s="3"/>
      <c r="B20" s="3"/>
      <c r="C20" s="3"/>
      <c r="D20" s="3"/>
      <c r="E20" s="3"/>
      <c r="F20" s="4"/>
      <c r="G20" s="83" t="s">
        <v>181</v>
      </c>
      <c r="H20" s="79"/>
      <c r="I20" s="80"/>
      <c r="J20" s="81">
        <v>165</v>
      </c>
      <c r="K20" s="81">
        <f t="shared" ref="K20" si="3">I20*J20</f>
        <v>0</v>
      </c>
      <c r="L20" s="2"/>
      <c r="M20" s="2"/>
    </row>
    <row r="21" spans="1:13">
      <c r="A21" s="3"/>
      <c r="B21" s="3"/>
      <c r="C21" s="3"/>
      <c r="D21" s="3"/>
      <c r="E21" s="6" t="s">
        <v>9</v>
      </c>
      <c r="F21" s="8">
        <f>SUM(F16:F20)</f>
        <v>0</v>
      </c>
      <c r="G21" s="6"/>
      <c r="H21" s="6"/>
      <c r="I21" s="17"/>
      <c r="J21" s="5"/>
      <c r="K21" s="7">
        <f>SUM(K16:K20)</f>
        <v>0</v>
      </c>
      <c r="L21" s="7" t="e">
        <f>K21/F21</f>
        <v>#DIV/0!</v>
      </c>
      <c r="M21" s="2"/>
    </row>
    <row r="22" spans="1:13">
      <c r="A22" s="16"/>
      <c r="B22" s="16"/>
      <c r="C22" s="16"/>
      <c r="D22" s="6" t="s">
        <v>30</v>
      </c>
      <c r="E22" s="6"/>
      <c r="F22" s="50">
        <f>F21</f>
        <v>0</v>
      </c>
      <c r="G22" s="53"/>
      <c r="H22" s="53"/>
      <c r="I22" s="53"/>
      <c r="J22" s="53"/>
      <c r="K22" s="50">
        <f>K21</f>
        <v>0</v>
      </c>
      <c r="L22" s="52" t="e">
        <f>K22/F22</f>
        <v>#DIV/0!</v>
      </c>
      <c r="M22" s="2"/>
    </row>
    <row r="23" spans="1:13">
      <c r="A23" s="16"/>
      <c r="B23" s="16"/>
      <c r="C23" s="16"/>
      <c r="D23" s="26"/>
      <c r="E23" s="12"/>
      <c r="F23" s="27"/>
      <c r="G23" s="26"/>
      <c r="H23" s="26"/>
      <c r="I23" s="26"/>
      <c r="J23" s="26"/>
      <c r="K23" s="27"/>
      <c r="L23" s="15"/>
      <c r="M23" s="16"/>
    </row>
    <row r="24" spans="1:13">
      <c r="A24" s="1" t="s">
        <v>22</v>
      </c>
      <c r="B24" s="1"/>
      <c r="C24" s="1"/>
      <c r="D24" s="1"/>
      <c r="E24" s="1"/>
      <c r="K24" s="824" t="s">
        <v>423</v>
      </c>
      <c r="L24" s="824"/>
      <c r="M24" s="824"/>
    </row>
    <row r="25" spans="1:13">
      <c r="A25" s="6" t="s">
        <v>0</v>
      </c>
      <c r="B25" s="6" t="s">
        <v>7</v>
      </c>
      <c r="C25" s="6" t="s">
        <v>13</v>
      </c>
      <c r="D25" s="6" t="s">
        <v>14</v>
      </c>
      <c r="E25" s="6" t="s">
        <v>8</v>
      </c>
      <c r="F25" s="6" t="s">
        <v>1</v>
      </c>
      <c r="G25" s="6" t="s">
        <v>2</v>
      </c>
      <c r="H25" s="6" t="s">
        <v>15</v>
      </c>
      <c r="I25" s="6" t="s">
        <v>3</v>
      </c>
      <c r="J25" s="6" t="s">
        <v>4</v>
      </c>
      <c r="K25" s="6" t="s">
        <v>5</v>
      </c>
      <c r="L25" s="6" t="s">
        <v>12</v>
      </c>
      <c r="M25" s="6" t="s">
        <v>6</v>
      </c>
    </row>
    <row r="26" spans="1:13">
      <c r="A26" s="3">
        <v>1</v>
      </c>
      <c r="B26" s="120" t="s">
        <v>413</v>
      </c>
      <c r="C26" s="120" t="s">
        <v>414</v>
      </c>
      <c r="D26" s="120" t="s">
        <v>364</v>
      </c>
      <c r="E26" s="3"/>
      <c r="F26" s="38"/>
      <c r="G26" s="120" t="s">
        <v>24</v>
      </c>
      <c r="H26" s="79"/>
      <c r="I26" s="80"/>
      <c r="J26" s="81">
        <v>74</v>
      </c>
      <c r="K26" s="81">
        <f t="shared" ref="K26:K27" si="4">I26*J26</f>
        <v>0</v>
      </c>
      <c r="L26" s="2"/>
      <c r="M26" s="21"/>
    </row>
    <row r="27" spans="1:13">
      <c r="A27" s="3"/>
      <c r="B27" s="25"/>
      <c r="C27" s="25"/>
      <c r="D27" s="25"/>
      <c r="E27" s="3"/>
      <c r="F27" s="4"/>
      <c r="G27" s="84" t="s">
        <v>10</v>
      </c>
      <c r="H27" s="79"/>
      <c r="I27" s="80"/>
      <c r="J27" s="81">
        <v>120</v>
      </c>
      <c r="K27" s="81">
        <f t="shared" si="4"/>
        <v>0</v>
      </c>
      <c r="L27" s="2"/>
      <c r="M27" s="2"/>
    </row>
    <row r="28" spans="1:13">
      <c r="A28" s="3"/>
      <c r="B28" s="25"/>
      <c r="C28" s="25"/>
      <c r="D28" s="25"/>
      <c r="E28" s="6" t="s">
        <v>9</v>
      </c>
      <c r="F28" s="8">
        <f>SUM(F26:F27)</f>
        <v>0</v>
      </c>
      <c r="G28" s="6"/>
      <c r="H28" s="6"/>
      <c r="I28" s="17"/>
      <c r="J28" s="5"/>
      <c r="K28" s="7">
        <f>SUM(K26:K27)</f>
        <v>0</v>
      </c>
      <c r="L28" s="7" t="e">
        <f>K28/F28</f>
        <v>#DIV/0!</v>
      </c>
      <c r="M28" s="2"/>
    </row>
    <row r="29" spans="1:13">
      <c r="A29" s="3">
        <v>2</v>
      </c>
      <c r="B29" s="120" t="s">
        <v>380</v>
      </c>
      <c r="C29" s="120" t="s">
        <v>121</v>
      </c>
      <c r="D29" s="120" t="s">
        <v>334</v>
      </c>
      <c r="E29" s="120"/>
      <c r="F29" s="90"/>
      <c r="G29" s="120" t="s">
        <v>24</v>
      </c>
      <c r="H29" s="79"/>
      <c r="I29" s="80"/>
      <c r="J29" s="81">
        <v>74</v>
      </c>
      <c r="K29" s="81">
        <f t="shared" ref="K29:K30" si="5">I29*J29</f>
        <v>0</v>
      </c>
      <c r="L29" s="2"/>
      <c r="M29" s="2"/>
    </row>
    <row r="30" spans="1:13">
      <c r="A30" s="3"/>
      <c r="B30" s="25"/>
      <c r="C30" s="25"/>
      <c r="D30" s="25"/>
      <c r="E30" s="3"/>
      <c r="F30" s="4"/>
      <c r="G30" s="84" t="s">
        <v>10</v>
      </c>
      <c r="H30" s="79"/>
      <c r="I30" s="80"/>
      <c r="J30" s="81">
        <v>120</v>
      </c>
      <c r="K30" s="81">
        <f t="shared" si="5"/>
        <v>0</v>
      </c>
      <c r="L30" s="2"/>
      <c r="M30" s="2"/>
    </row>
    <row r="31" spans="1:13">
      <c r="A31" s="3"/>
      <c r="B31" s="25"/>
      <c r="C31" s="25"/>
      <c r="D31" s="25"/>
      <c r="E31" s="6" t="s">
        <v>9</v>
      </c>
      <c r="F31" s="8">
        <f>SUM(F29:F30)</f>
        <v>0</v>
      </c>
      <c r="G31" s="6"/>
      <c r="H31" s="6"/>
      <c r="I31" s="17"/>
      <c r="J31" s="5"/>
      <c r="K31" s="7">
        <f>SUM(K29:K30)</f>
        <v>0</v>
      </c>
      <c r="L31" s="7" t="e">
        <f>K31/F31</f>
        <v>#DIV/0!</v>
      </c>
      <c r="M31" s="2"/>
    </row>
    <row r="32" spans="1:13">
      <c r="A32" s="3">
        <v>3</v>
      </c>
      <c r="B32" s="120" t="s">
        <v>417</v>
      </c>
      <c r="C32" s="120" t="s">
        <v>305</v>
      </c>
      <c r="D32" s="120" t="s">
        <v>306</v>
      </c>
      <c r="E32" s="120"/>
      <c r="F32" s="90"/>
      <c r="G32" s="120" t="s">
        <v>24</v>
      </c>
      <c r="H32" s="79"/>
      <c r="I32" s="80"/>
      <c r="J32" s="81">
        <v>74</v>
      </c>
      <c r="K32" s="81">
        <f t="shared" ref="K32:K33" si="6">I32*J32</f>
        <v>0</v>
      </c>
      <c r="L32" s="2"/>
      <c r="M32" s="2"/>
    </row>
    <row r="33" spans="1:13">
      <c r="A33" s="3"/>
      <c r="B33" s="120"/>
      <c r="C33" s="120"/>
      <c r="D33" s="120"/>
      <c r="E33" s="120"/>
      <c r="F33" s="90"/>
      <c r="G33" s="84" t="s">
        <v>10</v>
      </c>
      <c r="H33" s="79"/>
      <c r="I33" s="80"/>
      <c r="J33" s="81">
        <v>120</v>
      </c>
      <c r="K33" s="81">
        <f t="shared" si="6"/>
        <v>0</v>
      </c>
      <c r="L33" s="2"/>
      <c r="M33" s="2"/>
    </row>
    <row r="34" spans="1:13">
      <c r="A34" s="3"/>
      <c r="B34" s="120"/>
      <c r="C34" s="120"/>
      <c r="D34" s="120"/>
      <c r="E34" s="6" t="s">
        <v>9</v>
      </c>
      <c r="F34" s="8">
        <f>SUM(F32:F33)</f>
        <v>0</v>
      </c>
      <c r="G34" s="6"/>
      <c r="H34" s="6"/>
      <c r="I34" s="17"/>
      <c r="J34" s="5"/>
      <c r="K34" s="7">
        <f>SUM(K32:K33)</f>
        <v>0</v>
      </c>
      <c r="L34" s="7" t="e">
        <f>K34/F34</f>
        <v>#DIV/0!</v>
      </c>
      <c r="M34" s="2"/>
    </row>
    <row r="35" spans="1:13">
      <c r="A35" s="3">
        <v>4</v>
      </c>
      <c r="B35" s="120" t="s">
        <v>385</v>
      </c>
      <c r="C35" s="120" t="s">
        <v>386</v>
      </c>
      <c r="D35" s="120" t="s">
        <v>387</v>
      </c>
      <c r="E35" s="3"/>
      <c r="F35" s="90"/>
      <c r="G35" s="120" t="s">
        <v>24</v>
      </c>
      <c r="H35" s="79"/>
      <c r="I35" s="80"/>
      <c r="J35" s="81">
        <v>74</v>
      </c>
      <c r="K35" s="81">
        <f t="shared" ref="K35:K36" si="7">I35*J35</f>
        <v>0</v>
      </c>
      <c r="L35" s="2"/>
      <c r="M35" s="2"/>
    </row>
    <row r="36" spans="1:13">
      <c r="A36" s="3"/>
      <c r="B36" s="120"/>
      <c r="C36" s="120"/>
      <c r="D36" s="120"/>
      <c r="E36" s="120"/>
      <c r="F36" s="90"/>
      <c r="G36" s="84" t="s">
        <v>10</v>
      </c>
      <c r="H36" s="79"/>
      <c r="I36" s="80"/>
      <c r="J36" s="81">
        <v>120</v>
      </c>
      <c r="K36" s="81">
        <f t="shared" si="7"/>
        <v>0</v>
      </c>
      <c r="L36" s="2"/>
      <c r="M36" s="2"/>
    </row>
    <row r="37" spans="1:13">
      <c r="A37" s="3"/>
      <c r="B37" s="120"/>
      <c r="C37" s="120"/>
      <c r="D37" s="120"/>
      <c r="E37" s="6" t="s">
        <v>9</v>
      </c>
      <c r="F37" s="8">
        <f>SUM(F35:F36)</f>
        <v>0</v>
      </c>
      <c r="G37" s="6"/>
      <c r="H37" s="6"/>
      <c r="I37" s="17"/>
      <c r="J37" s="5"/>
      <c r="K37" s="7">
        <f>SUM(K35:K36)</f>
        <v>0</v>
      </c>
      <c r="L37" s="7" t="e">
        <f>K37/F37</f>
        <v>#DIV/0!</v>
      </c>
      <c r="M37" s="2"/>
    </row>
    <row r="38" spans="1:13">
      <c r="A38" s="3">
        <v>5</v>
      </c>
      <c r="B38" s="120" t="s">
        <v>388</v>
      </c>
      <c r="C38" s="120" t="s">
        <v>389</v>
      </c>
      <c r="D38" s="120" t="s">
        <v>390</v>
      </c>
      <c r="E38" s="3"/>
      <c r="F38" s="90"/>
      <c r="G38" s="120" t="s">
        <v>24</v>
      </c>
      <c r="H38" s="79"/>
      <c r="I38" s="80"/>
      <c r="J38" s="81">
        <v>74</v>
      </c>
      <c r="K38" s="81">
        <f t="shared" ref="K38:K39" si="8">I38*J38</f>
        <v>0</v>
      </c>
      <c r="L38" s="2"/>
      <c r="M38" s="2"/>
    </row>
    <row r="39" spans="1:13">
      <c r="A39" s="3"/>
      <c r="B39" s="120"/>
      <c r="C39" s="120"/>
      <c r="D39" s="120"/>
      <c r="E39" s="120"/>
      <c r="F39" s="90"/>
      <c r="G39" s="84" t="s">
        <v>10</v>
      </c>
      <c r="H39" s="79"/>
      <c r="I39" s="80"/>
      <c r="J39" s="81">
        <v>120</v>
      </c>
      <c r="K39" s="81">
        <f t="shared" si="8"/>
        <v>0</v>
      </c>
      <c r="L39" s="2"/>
      <c r="M39" s="2"/>
    </row>
    <row r="40" spans="1:13">
      <c r="A40" s="3"/>
      <c r="B40" s="120"/>
      <c r="C40" s="120"/>
      <c r="D40" s="120"/>
      <c r="E40" s="6" t="s">
        <v>9</v>
      </c>
      <c r="F40" s="8">
        <f>SUM(F38:F39)</f>
        <v>0</v>
      </c>
      <c r="G40" s="6"/>
      <c r="H40" s="6"/>
      <c r="I40" s="17"/>
      <c r="J40" s="5"/>
      <c r="K40" s="7">
        <f>SUM(K38:K39)</f>
        <v>0</v>
      </c>
      <c r="L40" s="7" t="e">
        <f>K40/F40</f>
        <v>#DIV/0!</v>
      </c>
      <c r="M40" s="2"/>
    </row>
    <row r="41" spans="1:13">
      <c r="A41" s="3">
        <v>6</v>
      </c>
      <c r="B41" s="120" t="s">
        <v>367</v>
      </c>
      <c r="C41" s="120" t="s">
        <v>312</v>
      </c>
      <c r="D41" s="120" t="s">
        <v>124</v>
      </c>
      <c r="E41" s="120"/>
      <c r="F41" s="87"/>
      <c r="G41" s="120" t="s">
        <v>24</v>
      </c>
      <c r="H41" s="79"/>
      <c r="I41" s="80"/>
      <c r="J41" s="81">
        <v>74</v>
      </c>
      <c r="K41" s="81">
        <f t="shared" ref="K41:K42" si="9">I41*J41</f>
        <v>0</v>
      </c>
      <c r="L41" s="2"/>
      <c r="M41" s="2"/>
    </row>
    <row r="42" spans="1:13">
      <c r="A42" s="3"/>
      <c r="B42" s="120"/>
      <c r="C42" s="120"/>
      <c r="D42" s="120"/>
      <c r="E42" s="120"/>
      <c r="F42" s="90"/>
      <c r="G42" s="84" t="s">
        <v>10</v>
      </c>
      <c r="H42" s="79"/>
      <c r="I42" s="80"/>
      <c r="J42" s="81">
        <v>120</v>
      </c>
      <c r="K42" s="81">
        <f t="shared" si="9"/>
        <v>0</v>
      </c>
      <c r="L42" s="2"/>
      <c r="M42" s="2"/>
    </row>
    <row r="43" spans="1:13">
      <c r="A43" s="3"/>
      <c r="B43" s="120"/>
      <c r="C43" s="120"/>
      <c r="D43" s="120"/>
      <c r="E43" s="6" t="s">
        <v>9</v>
      </c>
      <c r="F43" s="8">
        <f>SUM(F41:F42)</f>
        <v>0</v>
      </c>
      <c r="G43" s="6"/>
      <c r="H43" s="6"/>
      <c r="I43" s="17"/>
      <c r="J43" s="5"/>
      <c r="K43" s="7">
        <f>SUM(K41:K42)</f>
        <v>0</v>
      </c>
      <c r="L43" s="7" t="e">
        <f>K43/F43</f>
        <v>#DIV/0!</v>
      </c>
      <c r="M43" s="2"/>
    </row>
    <row r="44" spans="1:13">
      <c r="A44" s="120">
        <v>7</v>
      </c>
      <c r="B44" s="120" t="s">
        <v>277</v>
      </c>
      <c r="C44" s="120" t="s">
        <v>268</v>
      </c>
      <c r="D44" s="107" t="s">
        <v>431</v>
      </c>
      <c r="E44" s="120"/>
      <c r="F44" s="87"/>
      <c r="G44" s="120" t="s">
        <v>24</v>
      </c>
      <c r="H44" s="79"/>
      <c r="I44" s="80"/>
      <c r="J44" s="81">
        <v>74</v>
      </c>
      <c r="K44" s="81">
        <f t="shared" ref="K44:K45" si="10">I44*J44</f>
        <v>0</v>
      </c>
      <c r="L44" s="2"/>
      <c r="M44" s="2"/>
    </row>
    <row r="45" spans="1:13">
      <c r="A45" s="3"/>
      <c r="B45" s="120"/>
      <c r="C45" s="120"/>
      <c r="D45" s="120"/>
      <c r="E45" s="120"/>
      <c r="F45" s="90"/>
      <c r="G45" s="84" t="s">
        <v>10</v>
      </c>
      <c r="H45" s="79"/>
      <c r="I45" s="80"/>
      <c r="J45" s="81">
        <v>120</v>
      </c>
      <c r="K45" s="81">
        <f t="shared" si="10"/>
        <v>0</v>
      </c>
      <c r="L45" s="2"/>
      <c r="M45" s="2"/>
    </row>
    <row r="46" spans="1:13">
      <c r="A46" s="3"/>
      <c r="B46" s="3"/>
      <c r="C46" s="3"/>
      <c r="D46" s="3"/>
      <c r="E46" s="6" t="s">
        <v>9</v>
      </c>
      <c r="F46" s="8">
        <f>SUM(F44:F45)</f>
        <v>0</v>
      </c>
      <c r="G46" s="6"/>
      <c r="H46" s="6"/>
      <c r="I46" s="17"/>
      <c r="J46" s="5"/>
      <c r="K46" s="7">
        <f>SUM(K44:K45)</f>
        <v>0</v>
      </c>
      <c r="L46" s="7" t="e">
        <f>K46/F46</f>
        <v>#DIV/0!</v>
      </c>
      <c r="M46" s="2"/>
    </row>
    <row r="47" spans="1:13">
      <c r="D47" s="23" t="s">
        <v>30</v>
      </c>
      <c r="E47" s="23"/>
      <c r="F47" s="50">
        <f>F28+F31+F34+F37+F40+F43+F46</f>
        <v>0</v>
      </c>
      <c r="G47" s="51"/>
      <c r="H47" s="51"/>
      <c r="I47" s="51"/>
      <c r="J47" s="51"/>
      <c r="K47" s="50">
        <f>K28+K31+K34+K37+K40+K43+K46</f>
        <v>0</v>
      </c>
      <c r="L47" s="52" t="e">
        <f>K47/F47</f>
        <v>#DIV/0!</v>
      </c>
    </row>
    <row r="48" spans="1:13">
      <c r="D48" s="26"/>
      <c r="E48" s="26"/>
      <c r="F48" s="27"/>
      <c r="G48" s="26"/>
      <c r="H48" s="26"/>
      <c r="I48" s="26"/>
      <c r="J48" s="26"/>
      <c r="K48" s="27"/>
      <c r="L48" s="15"/>
    </row>
    <row r="49" spans="1:14">
      <c r="A49" s="1" t="s">
        <v>16</v>
      </c>
      <c r="B49" s="1"/>
      <c r="C49" s="1"/>
      <c r="D49" s="1"/>
      <c r="E49" s="1"/>
      <c r="K49" s="824" t="s">
        <v>423</v>
      </c>
      <c r="L49" s="824"/>
      <c r="M49" s="824"/>
    </row>
    <row r="50" spans="1:14">
      <c r="A50" s="6" t="s">
        <v>0</v>
      </c>
      <c r="B50" s="6" t="s">
        <v>7</v>
      </c>
      <c r="C50" s="6" t="s">
        <v>13</v>
      </c>
      <c r="D50" s="6" t="s">
        <v>14</v>
      </c>
      <c r="E50" s="6" t="s">
        <v>8</v>
      </c>
      <c r="F50" s="6" t="s">
        <v>1</v>
      </c>
      <c r="G50" s="6" t="s">
        <v>2</v>
      </c>
      <c r="H50" s="6" t="s">
        <v>15</v>
      </c>
      <c r="I50" s="6" t="s">
        <v>3</v>
      </c>
      <c r="J50" s="6" t="s">
        <v>4</v>
      </c>
      <c r="K50" s="6" t="s">
        <v>5</v>
      </c>
      <c r="L50" s="6" t="s">
        <v>12</v>
      </c>
      <c r="M50" s="6" t="s">
        <v>6</v>
      </c>
    </row>
    <row r="51" spans="1:14">
      <c r="A51" s="3"/>
      <c r="B51" s="25"/>
      <c r="C51" s="25"/>
      <c r="D51" s="25"/>
      <c r="E51" s="3"/>
      <c r="F51" s="4"/>
      <c r="G51" s="25" t="s">
        <v>75</v>
      </c>
      <c r="H51" s="25"/>
      <c r="I51" s="54"/>
      <c r="J51" s="55">
        <v>367</v>
      </c>
      <c r="K51" s="55">
        <f t="shared" ref="K51" si="11">I51*J51</f>
        <v>0</v>
      </c>
      <c r="L51" s="2"/>
      <c r="M51" s="34"/>
    </row>
    <row r="52" spans="1:14">
      <c r="A52" s="3"/>
      <c r="B52" s="3"/>
      <c r="C52" s="3"/>
      <c r="D52" s="3"/>
      <c r="E52" s="3"/>
      <c r="F52" s="4"/>
      <c r="G52" s="25" t="s">
        <v>20</v>
      </c>
      <c r="H52" s="36"/>
      <c r="I52" s="39"/>
      <c r="J52" s="40">
        <v>315</v>
      </c>
      <c r="K52" s="40">
        <f t="shared" ref="K52" si="12">I52*J52</f>
        <v>0</v>
      </c>
      <c r="L52" s="2"/>
      <c r="M52" s="2"/>
    </row>
    <row r="53" spans="1:14">
      <c r="A53" s="3"/>
      <c r="B53" s="3"/>
      <c r="C53" s="3"/>
      <c r="D53" s="3"/>
      <c r="E53" s="6" t="s">
        <v>9</v>
      </c>
      <c r="F53" s="8">
        <f>SUM(F52:F52)</f>
        <v>0</v>
      </c>
      <c r="G53" s="6"/>
      <c r="H53" s="6"/>
      <c r="I53" s="17"/>
      <c r="J53" s="5"/>
      <c r="K53" s="7">
        <f>SUM(K52:K52)</f>
        <v>0</v>
      </c>
      <c r="L53" s="7" t="e">
        <f>K53/F53</f>
        <v>#DIV/0!</v>
      </c>
      <c r="M53" s="2"/>
    </row>
    <row r="54" spans="1:14">
      <c r="A54" s="11"/>
      <c r="B54" s="11"/>
      <c r="C54" s="11"/>
      <c r="D54" s="23" t="s">
        <v>30</v>
      </c>
      <c r="E54" s="23"/>
      <c r="F54" s="50">
        <f>F53</f>
        <v>0</v>
      </c>
      <c r="G54" s="51"/>
      <c r="H54" s="51"/>
      <c r="I54" s="51"/>
      <c r="J54" s="51"/>
      <c r="K54" s="50">
        <f>K53</f>
        <v>0</v>
      </c>
      <c r="L54" s="52" t="e">
        <f>K54/F54</f>
        <v>#DIV/0!</v>
      </c>
      <c r="M54" s="16"/>
    </row>
    <row r="55" spans="1:14">
      <c r="A55" s="11"/>
      <c r="B55" s="11"/>
      <c r="C55" s="11"/>
      <c r="D55" s="11"/>
      <c r="E55" s="12"/>
      <c r="F55" s="13"/>
      <c r="G55" s="12"/>
      <c r="H55" s="12"/>
      <c r="I55" s="18"/>
      <c r="J55" s="14"/>
      <c r="K55" s="15"/>
      <c r="L55" s="15"/>
      <c r="M55" s="16"/>
    </row>
    <row r="56" spans="1:14">
      <c r="A56" s="1" t="s">
        <v>72</v>
      </c>
      <c r="B56" s="1"/>
      <c r="C56" s="1"/>
      <c r="D56" s="1"/>
      <c r="E56" s="1"/>
      <c r="I56" s="19"/>
      <c r="K56" s="824" t="s">
        <v>423</v>
      </c>
      <c r="L56" s="824"/>
      <c r="M56" s="824"/>
    </row>
    <row r="57" spans="1:14">
      <c r="A57" s="6" t="s">
        <v>0</v>
      </c>
      <c r="B57" s="6" t="s">
        <v>7</v>
      </c>
      <c r="C57" s="6" t="s">
        <v>13</v>
      </c>
      <c r="D57" s="6" t="s">
        <v>14</v>
      </c>
      <c r="E57" s="6" t="s">
        <v>8</v>
      </c>
      <c r="F57" s="6" t="s">
        <v>1</v>
      </c>
      <c r="G57" s="6" t="s">
        <v>2</v>
      </c>
      <c r="H57" s="6" t="s">
        <v>15</v>
      </c>
      <c r="I57" s="20" t="s">
        <v>3</v>
      </c>
      <c r="J57" s="6" t="s">
        <v>4</v>
      </c>
      <c r="K57" s="6" t="s">
        <v>5</v>
      </c>
      <c r="L57" s="6" t="s">
        <v>12</v>
      </c>
      <c r="M57" s="6" t="s">
        <v>6</v>
      </c>
      <c r="N57" s="10"/>
    </row>
    <row r="58" spans="1:14">
      <c r="A58" s="120">
        <v>7292</v>
      </c>
      <c r="B58" s="120" t="s">
        <v>382</v>
      </c>
      <c r="C58" s="120" t="s">
        <v>253</v>
      </c>
      <c r="D58" s="120" t="s">
        <v>254</v>
      </c>
      <c r="E58" s="120" t="s">
        <v>102</v>
      </c>
      <c r="F58" s="87"/>
      <c r="G58" s="91" t="s">
        <v>281</v>
      </c>
      <c r="H58" s="36"/>
      <c r="I58" s="39"/>
      <c r="J58" s="40">
        <v>1484</v>
      </c>
      <c r="K58" s="40">
        <f t="shared" ref="K58:K62" si="13">I58*J58</f>
        <v>0</v>
      </c>
      <c r="L58" s="2"/>
      <c r="M58" s="2"/>
    </row>
    <row r="59" spans="1:14">
      <c r="A59" s="3"/>
      <c r="B59" s="3"/>
      <c r="C59" s="3"/>
      <c r="D59" s="3"/>
      <c r="E59" s="3"/>
      <c r="F59" s="4"/>
      <c r="G59" s="91" t="s">
        <v>282</v>
      </c>
      <c r="H59" s="120"/>
      <c r="I59" s="96"/>
      <c r="J59" s="81">
        <v>1204</v>
      </c>
      <c r="K59" s="94">
        <f t="shared" si="13"/>
        <v>0</v>
      </c>
      <c r="L59" s="2"/>
      <c r="M59" s="2"/>
    </row>
    <row r="60" spans="1:14">
      <c r="A60" s="3"/>
      <c r="B60" s="3"/>
      <c r="C60" s="3"/>
      <c r="D60" s="3"/>
      <c r="E60" s="3"/>
      <c r="F60" s="4"/>
      <c r="G60" s="91" t="s">
        <v>286</v>
      </c>
      <c r="H60" s="79"/>
      <c r="I60" s="80"/>
      <c r="J60" s="81">
        <v>2298</v>
      </c>
      <c r="K60" s="81">
        <f t="shared" si="13"/>
        <v>0</v>
      </c>
      <c r="L60" s="2"/>
      <c r="M60" s="2"/>
    </row>
    <row r="61" spans="1:14">
      <c r="A61" s="3"/>
      <c r="B61" s="3"/>
      <c r="C61" s="3"/>
      <c r="D61" s="3"/>
      <c r="E61" s="3"/>
      <c r="F61" s="4"/>
      <c r="G61" s="120" t="s">
        <v>184</v>
      </c>
      <c r="H61" s="79"/>
      <c r="I61" s="80"/>
      <c r="J61" s="81">
        <v>396</v>
      </c>
      <c r="K61" s="81">
        <f t="shared" si="13"/>
        <v>0</v>
      </c>
      <c r="L61" s="2"/>
      <c r="M61" s="2"/>
    </row>
    <row r="62" spans="1:14">
      <c r="A62" s="3"/>
      <c r="B62" s="3"/>
      <c r="C62" s="3"/>
      <c r="D62" s="3"/>
      <c r="E62" s="3"/>
      <c r="F62" s="4"/>
      <c r="G62" s="95" t="s">
        <v>185</v>
      </c>
      <c r="H62" s="79"/>
      <c r="I62" s="96"/>
      <c r="J62" s="81">
        <v>623</v>
      </c>
      <c r="K62" s="81">
        <f t="shared" si="13"/>
        <v>0</v>
      </c>
      <c r="L62" s="2"/>
      <c r="M62" s="2"/>
    </row>
    <row r="63" spans="1:14">
      <c r="A63" s="3"/>
      <c r="B63" s="3"/>
      <c r="C63" s="3"/>
      <c r="D63" s="3"/>
      <c r="E63" s="6" t="s">
        <v>9</v>
      </c>
      <c r="F63" s="8">
        <f>SUM(F58:F62)</f>
        <v>0</v>
      </c>
      <c r="G63" s="6"/>
      <c r="H63" s="6"/>
      <c r="I63" s="17"/>
      <c r="J63" s="5"/>
      <c r="K63" s="7">
        <f>SUM(K58:K62)</f>
        <v>0</v>
      </c>
      <c r="L63" s="7" t="e">
        <f>K63/F63</f>
        <v>#DIV/0!</v>
      </c>
      <c r="M63" s="2"/>
    </row>
    <row r="64" spans="1:14">
      <c r="A64" s="3">
        <v>7292</v>
      </c>
      <c r="B64" s="120" t="s">
        <v>432</v>
      </c>
      <c r="C64" s="120" t="s">
        <v>253</v>
      </c>
      <c r="D64" s="120" t="s">
        <v>364</v>
      </c>
      <c r="E64" s="120" t="s">
        <v>102</v>
      </c>
      <c r="F64" s="87"/>
      <c r="G64" s="91" t="s">
        <v>281</v>
      </c>
      <c r="H64" s="36"/>
      <c r="I64" s="39"/>
      <c r="J64" s="40">
        <v>1484</v>
      </c>
      <c r="K64" s="40">
        <f t="shared" ref="K64:K68" si="14">I64*J64</f>
        <v>0</v>
      </c>
      <c r="L64" s="2"/>
      <c r="M64" s="2"/>
    </row>
    <row r="65" spans="1:13">
      <c r="A65" s="3"/>
      <c r="B65" s="3"/>
      <c r="C65" s="3"/>
      <c r="D65" s="3"/>
      <c r="E65" s="3"/>
      <c r="F65" s="4"/>
      <c r="G65" s="91" t="s">
        <v>282</v>
      </c>
      <c r="H65" s="120"/>
      <c r="I65" s="96"/>
      <c r="J65" s="81">
        <v>1204</v>
      </c>
      <c r="K65" s="94">
        <f t="shared" si="14"/>
        <v>0</v>
      </c>
      <c r="L65" s="2"/>
      <c r="M65" s="2"/>
    </row>
    <row r="66" spans="1:13">
      <c r="A66" s="3"/>
      <c r="B66" s="3"/>
      <c r="C66" s="3"/>
      <c r="D66" s="3"/>
      <c r="E66" s="3"/>
      <c r="F66" s="4"/>
      <c r="G66" s="91" t="s">
        <v>286</v>
      </c>
      <c r="H66" s="79"/>
      <c r="I66" s="80"/>
      <c r="J66" s="81">
        <v>2298</v>
      </c>
      <c r="K66" s="81">
        <f t="shared" si="14"/>
        <v>0</v>
      </c>
      <c r="L66" s="2"/>
      <c r="M66" s="2"/>
    </row>
    <row r="67" spans="1:13">
      <c r="A67" s="3"/>
      <c r="B67" s="3"/>
      <c r="C67" s="3"/>
      <c r="D67" s="3"/>
      <c r="E67" s="3"/>
      <c r="F67" s="4"/>
      <c r="G67" s="120" t="s">
        <v>184</v>
      </c>
      <c r="H67" s="79"/>
      <c r="I67" s="80"/>
      <c r="J67" s="81">
        <v>396</v>
      </c>
      <c r="K67" s="81">
        <f t="shared" si="14"/>
        <v>0</v>
      </c>
      <c r="L67" s="2"/>
      <c r="M67" s="2"/>
    </row>
    <row r="68" spans="1:13">
      <c r="A68" s="3"/>
      <c r="B68" s="3"/>
      <c r="C68" s="3"/>
      <c r="D68" s="3"/>
      <c r="E68" s="3"/>
      <c r="F68" s="4"/>
      <c r="G68" s="95" t="s">
        <v>185</v>
      </c>
      <c r="H68" s="79"/>
      <c r="I68" s="96"/>
      <c r="J68" s="81">
        <v>623</v>
      </c>
      <c r="K68" s="81">
        <f t="shared" si="14"/>
        <v>0</v>
      </c>
      <c r="L68" s="2"/>
      <c r="M68" s="2"/>
    </row>
    <row r="69" spans="1:13">
      <c r="A69" s="3"/>
      <c r="B69" s="3"/>
      <c r="C69" s="3"/>
      <c r="D69" s="3"/>
      <c r="E69" s="6" t="s">
        <v>9</v>
      </c>
      <c r="F69" s="8">
        <f>SUM(F64:F68)</f>
        <v>0</v>
      </c>
      <c r="G69" s="6"/>
      <c r="H69" s="6"/>
      <c r="I69" s="17"/>
      <c r="J69" s="5"/>
      <c r="K69" s="7">
        <f>SUM(K64:K68)</f>
        <v>0</v>
      </c>
      <c r="L69" s="7" t="e">
        <f>K69/F69</f>
        <v>#DIV/0!</v>
      </c>
      <c r="M69" s="2"/>
    </row>
    <row r="70" spans="1:13">
      <c r="A70" s="3">
        <v>4655</v>
      </c>
      <c r="B70" s="120" t="s">
        <v>358</v>
      </c>
      <c r="C70" s="120" t="s">
        <v>121</v>
      </c>
      <c r="D70" s="120" t="s">
        <v>334</v>
      </c>
      <c r="E70" s="120" t="s">
        <v>404</v>
      </c>
      <c r="F70" s="87"/>
      <c r="G70" s="83" t="s">
        <v>405</v>
      </c>
      <c r="H70" s="79"/>
      <c r="I70" s="80"/>
      <c r="J70" s="81">
        <v>2125</v>
      </c>
      <c r="K70" s="81">
        <f t="shared" ref="K70:K75" si="15">I70*J70</f>
        <v>0</v>
      </c>
      <c r="L70" s="2"/>
      <c r="M70" s="2"/>
    </row>
    <row r="71" spans="1:13">
      <c r="A71" s="3"/>
      <c r="B71" s="3"/>
      <c r="C71" s="3"/>
      <c r="D71" s="3"/>
      <c r="E71" s="120"/>
      <c r="F71" s="4"/>
      <c r="G71" s="83" t="s">
        <v>183</v>
      </c>
      <c r="H71" s="79"/>
      <c r="I71" s="80"/>
      <c r="J71" s="81">
        <v>1950</v>
      </c>
      <c r="K71" s="81">
        <f t="shared" si="15"/>
        <v>0</v>
      </c>
      <c r="L71" s="2"/>
      <c r="M71" s="2"/>
    </row>
    <row r="72" spans="1:13">
      <c r="A72" s="3"/>
      <c r="B72" s="3"/>
      <c r="C72" s="3"/>
      <c r="D72" s="3"/>
      <c r="E72" s="3"/>
      <c r="F72" s="4"/>
      <c r="G72" s="93" t="s">
        <v>315</v>
      </c>
      <c r="H72" s="36"/>
      <c r="I72" s="39"/>
      <c r="J72" s="40">
        <v>2151</v>
      </c>
      <c r="K72" s="81">
        <f t="shared" si="15"/>
        <v>0</v>
      </c>
      <c r="L72" s="2"/>
      <c r="M72" s="2"/>
    </row>
    <row r="73" spans="1:13">
      <c r="A73" s="3"/>
      <c r="B73" s="3"/>
      <c r="C73" s="3"/>
      <c r="D73" s="3"/>
      <c r="E73" s="3"/>
      <c r="F73" s="4"/>
      <c r="G73" s="83" t="s">
        <v>186</v>
      </c>
      <c r="H73" s="79"/>
      <c r="I73" s="80"/>
      <c r="J73" s="81">
        <v>2382</v>
      </c>
      <c r="K73" s="81">
        <f t="shared" si="15"/>
        <v>0</v>
      </c>
      <c r="L73" s="2"/>
      <c r="M73" s="2"/>
    </row>
    <row r="74" spans="1:13">
      <c r="A74" s="3"/>
      <c r="B74" s="3"/>
      <c r="C74" s="3"/>
      <c r="D74" s="3"/>
      <c r="E74" s="3"/>
      <c r="F74" s="4"/>
      <c r="G74" s="120" t="s">
        <v>184</v>
      </c>
      <c r="H74" s="79"/>
      <c r="I74" s="80"/>
      <c r="J74" s="81">
        <v>396</v>
      </c>
      <c r="K74" s="81">
        <f t="shared" si="15"/>
        <v>0</v>
      </c>
      <c r="L74" s="2"/>
      <c r="M74" s="2"/>
    </row>
    <row r="75" spans="1:13">
      <c r="A75" s="3"/>
      <c r="B75" s="3"/>
      <c r="C75" s="3"/>
      <c r="D75" s="3"/>
      <c r="E75" s="3"/>
      <c r="F75" s="4"/>
      <c r="G75" s="95" t="s">
        <v>185</v>
      </c>
      <c r="H75" s="79"/>
      <c r="I75" s="96"/>
      <c r="J75" s="81">
        <v>623</v>
      </c>
      <c r="K75" s="81">
        <f t="shared" si="15"/>
        <v>0</v>
      </c>
      <c r="L75" s="2"/>
      <c r="M75" s="2"/>
    </row>
    <row r="76" spans="1:13">
      <c r="A76" s="3"/>
      <c r="B76" s="3"/>
      <c r="C76" s="3"/>
      <c r="D76" s="3"/>
      <c r="E76" s="6" t="s">
        <v>9</v>
      </c>
      <c r="F76" s="8">
        <f>SUM(F70:F75)</f>
        <v>0</v>
      </c>
      <c r="G76" s="6"/>
      <c r="H76" s="6"/>
      <c r="I76" s="17"/>
      <c r="J76" s="5"/>
      <c r="K76" s="7">
        <f>SUM(K70:K75)</f>
        <v>0</v>
      </c>
      <c r="L76" s="7" t="e">
        <f>K76/F76</f>
        <v>#DIV/0!</v>
      </c>
      <c r="M76" s="2"/>
    </row>
    <row r="77" spans="1:13">
      <c r="A77" s="3">
        <v>7291</v>
      </c>
      <c r="B77" s="120" t="s">
        <v>313</v>
      </c>
      <c r="C77" s="120" t="s">
        <v>267</v>
      </c>
      <c r="D77" s="120" t="s">
        <v>296</v>
      </c>
      <c r="E77" s="120" t="s">
        <v>232</v>
      </c>
      <c r="F77" s="90"/>
      <c r="G77" s="93" t="s">
        <v>190</v>
      </c>
      <c r="H77" s="79"/>
      <c r="I77" s="80"/>
      <c r="J77" s="81">
        <v>890</v>
      </c>
      <c r="K77" s="97">
        <f t="shared" ref="K77:K81" si="16">I77*J77</f>
        <v>0</v>
      </c>
      <c r="L77" s="2"/>
      <c r="M77" s="2"/>
    </row>
    <row r="78" spans="1:13">
      <c r="A78" s="3"/>
      <c r="B78" s="3"/>
      <c r="C78" s="3"/>
      <c r="D78" s="3"/>
      <c r="E78" s="3"/>
      <c r="F78" s="4"/>
      <c r="G78" s="91" t="s">
        <v>199</v>
      </c>
      <c r="H78" s="79"/>
      <c r="I78" s="80"/>
      <c r="J78" s="81">
        <v>674</v>
      </c>
      <c r="K78" s="81">
        <f t="shared" si="16"/>
        <v>0</v>
      </c>
      <c r="L78" s="2"/>
      <c r="M78" s="2"/>
    </row>
    <row r="79" spans="1:13">
      <c r="A79" s="3"/>
      <c r="B79" s="3"/>
      <c r="C79" s="3"/>
      <c r="D79" s="3"/>
      <c r="E79" s="3"/>
      <c r="F79" s="4"/>
      <c r="G79" s="91" t="s">
        <v>282</v>
      </c>
      <c r="H79" s="120"/>
      <c r="I79" s="96"/>
      <c r="J79" s="81">
        <v>1204</v>
      </c>
      <c r="K79" s="94">
        <f t="shared" si="16"/>
        <v>0</v>
      </c>
      <c r="L79" s="2"/>
      <c r="M79" s="2"/>
    </row>
    <row r="80" spans="1:13">
      <c r="A80" s="3"/>
      <c r="B80" s="3"/>
      <c r="C80" s="3"/>
      <c r="D80" s="3"/>
      <c r="E80" s="3"/>
      <c r="F80" s="4"/>
      <c r="G80" s="120" t="s">
        <v>184</v>
      </c>
      <c r="H80" s="79"/>
      <c r="I80" s="80"/>
      <c r="J80" s="81">
        <v>396</v>
      </c>
      <c r="K80" s="81">
        <f t="shared" si="16"/>
        <v>0</v>
      </c>
      <c r="L80" s="2"/>
      <c r="M80" s="2"/>
    </row>
    <row r="81" spans="1:13">
      <c r="A81" s="3"/>
      <c r="B81" s="3"/>
      <c r="C81" s="3"/>
      <c r="D81" s="3"/>
      <c r="E81" s="3"/>
      <c r="F81" s="4"/>
      <c r="G81" s="95" t="s">
        <v>185</v>
      </c>
      <c r="H81" s="79"/>
      <c r="I81" s="96"/>
      <c r="J81" s="81">
        <v>623</v>
      </c>
      <c r="K81" s="81">
        <f t="shared" si="16"/>
        <v>0</v>
      </c>
      <c r="L81" s="2"/>
      <c r="M81" s="2"/>
    </row>
    <row r="82" spans="1:13">
      <c r="A82" s="3"/>
      <c r="B82" s="3"/>
      <c r="C82" s="3"/>
      <c r="D82" s="3"/>
      <c r="E82" s="6" t="s">
        <v>9</v>
      </c>
      <c r="F82" s="8">
        <f>SUM(F77:F81)</f>
        <v>0</v>
      </c>
      <c r="G82" s="6"/>
      <c r="H82" s="6"/>
      <c r="I82" s="17"/>
      <c r="J82" s="5"/>
      <c r="K82" s="7">
        <f>SUM(K77:K81)</f>
        <v>0</v>
      </c>
      <c r="L82" s="7" t="e">
        <f>K82/F82</f>
        <v>#DIV/0!</v>
      </c>
      <c r="M82" s="2"/>
    </row>
    <row r="83" spans="1:13">
      <c r="A83" s="3">
        <v>4657</v>
      </c>
      <c r="B83" s="120" t="s">
        <v>275</v>
      </c>
      <c r="C83" s="120" t="s">
        <v>267</v>
      </c>
      <c r="D83" s="120" t="s">
        <v>74</v>
      </c>
      <c r="E83" s="120" t="s">
        <v>433</v>
      </c>
      <c r="F83" s="90"/>
      <c r="G83" s="93" t="s">
        <v>190</v>
      </c>
      <c r="H83" s="79"/>
      <c r="I83" s="80"/>
      <c r="J83" s="81">
        <v>890</v>
      </c>
      <c r="K83" s="97">
        <f t="shared" ref="K83:K87" si="17">I83*J83</f>
        <v>0</v>
      </c>
      <c r="L83" s="2"/>
      <c r="M83" s="2"/>
    </row>
    <row r="84" spans="1:13">
      <c r="A84" s="3"/>
      <c r="B84" s="120"/>
      <c r="C84" s="120"/>
      <c r="D84" s="120" t="s">
        <v>230</v>
      </c>
      <c r="E84" s="120"/>
      <c r="F84" s="120"/>
      <c r="G84" s="91" t="s">
        <v>281</v>
      </c>
      <c r="H84" s="79"/>
      <c r="I84" s="80"/>
      <c r="J84" s="81">
        <v>1484</v>
      </c>
      <c r="K84" s="81">
        <f t="shared" si="17"/>
        <v>0</v>
      </c>
      <c r="L84" s="2"/>
      <c r="M84" s="2"/>
    </row>
    <row r="85" spans="1:13">
      <c r="A85" s="3"/>
      <c r="B85" s="3"/>
      <c r="C85" s="3"/>
      <c r="D85" s="3"/>
      <c r="E85" s="3"/>
      <c r="F85" s="4"/>
      <c r="G85" s="91" t="s">
        <v>194</v>
      </c>
      <c r="H85" s="79"/>
      <c r="I85" s="80"/>
      <c r="J85" s="81">
        <v>1267</v>
      </c>
      <c r="K85" s="81">
        <f t="shared" si="17"/>
        <v>0</v>
      </c>
      <c r="L85" s="2"/>
      <c r="M85" s="2"/>
    </row>
    <row r="86" spans="1:13">
      <c r="A86" s="3"/>
      <c r="B86" s="3"/>
      <c r="C86" s="3"/>
      <c r="D86" s="3"/>
      <c r="E86" s="3"/>
      <c r="F86" s="4"/>
      <c r="G86" s="120" t="s">
        <v>184</v>
      </c>
      <c r="H86" s="79"/>
      <c r="I86" s="80"/>
      <c r="J86" s="81">
        <v>396</v>
      </c>
      <c r="K86" s="81">
        <f t="shared" si="17"/>
        <v>0</v>
      </c>
      <c r="L86" s="2"/>
      <c r="M86" s="2"/>
    </row>
    <row r="87" spans="1:13">
      <c r="A87" s="3"/>
      <c r="B87" s="3"/>
      <c r="C87" s="3"/>
      <c r="D87" s="3"/>
      <c r="E87" s="3"/>
      <c r="F87" s="4"/>
      <c r="G87" s="95" t="s">
        <v>185</v>
      </c>
      <c r="H87" s="79"/>
      <c r="I87" s="96"/>
      <c r="J87" s="81">
        <v>623</v>
      </c>
      <c r="K87" s="81">
        <f t="shared" si="17"/>
        <v>0</v>
      </c>
      <c r="L87" s="2"/>
      <c r="M87" s="2"/>
    </row>
    <row r="88" spans="1:13">
      <c r="A88" s="3"/>
      <c r="B88" s="3"/>
      <c r="C88" s="3"/>
      <c r="D88" s="3"/>
      <c r="E88" s="6" t="s">
        <v>9</v>
      </c>
      <c r="F88" s="8">
        <f>SUM(F83:F87)</f>
        <v>0</v>
      </c>
      <c r="G88" s="6"/>
      <c r="H88" s="6"/>
      <c r="I88" s="17"/>
      <c r="J88" s="5"/>
      <c r="K88" s="7">
        <f>SUM(K83:K87)</f>
        <v>0</v>
      </c>
      <c r="L88" s="7" t="e">
        <f>K88/F88</f>
        <v>#DIV/0!</v>
      </c>
      <c r="M88" s="2"/>
    </row>
    <row r="89" spans="1:13">
      <c r="A89" s="120">
        <v>7293</v>
      </c>
      <c r="B89" s="120" t="s">
        <v>434</v>
      </c>
      <c r="C89" s="120" t="s">
        <v>366</v>
      </c>
      <c r="D89" s="120" t="s">
        <v>435</v>
      </c>
      <c r="E89" s="120" t="s">
        <v>127</v>
      </c>
      <c r="F89" s="90"/>
      <c r="G89" s="93" t="s">
        <v>190</v>
      </c>
      <c r="H89" s="79"/>
      <c r="I89" s="80"/>
      <c r="J89" s="81">
        <v>890</v>
      </c>
      <c r="K89" s="97">
        <f t="shared" ref="K89:K93" si="18">I89*J89</f>
        <v>0</v>
      </c>
      <c r="L89" s="2"/>
      <c r="M89" s="2"/>
    </row>
    <row r="90" spans="1:13">
      <c r="A90" s="3"/>
      <c r="B90" s="3"/>
      <c r="C90" s="3"/>
      <c r="D90" s="3"/>
      <c r="E90" s="3"/>
      <c r="F90" s="4"/>
      <c r="G90" s="83" t="s">
        <v>183</v>
      </c>
      <c r="H90" s="79"/>
      <c r="I90" s="80"/>
      <c r="J90" s="81">
        <v>1950</v>
      </c>
      <c r="K90" s="81">
        <f t="shared" si="18"/>
        <v>0</v>
      </c>
      <c r="L90" s="2"/>
      <c r="M90" s="2"/>
    </row>
    <row r="91" spans="1:13">
      <c r="A91" s="3"/>
      <c r="B91" s="3"/>
      <c r="C91" s="3"/>
      <c r="D91" s="3"/>
      <c r="E91" s="3"/>
      <c r="F91" s="4"/>
      <c r="G91" s="83" t="s">
        <v>198</v>
      </c>
      <c r="H91" s="120"/>
      <c r="I91" s="96"/>
      <c r="J91" s="81">
        <v>2852</v>
      </c>
      <c r="K91" s="94">
        <f t="shared" si="18"/>
        <v>0</v>
      </c>
      <c r="L91" s="2"/>
      <c r="M91" s="2"/>
    </row>
    <row r="92" spans="1:13">
      <c r="A92" s="3"/>
      <c r="B92" s="3"/>
      <c r="C92" s="3"/>
      <c r="D92" s="3"/>
      <c r="E92" s="3"/>
      <c r="F92" s="4"/>
      <c r="G92" s="120" t="s">
        <v>184</v>
      </c>
      <c r="H92" s="79"/>
      <c r="I92" s="80"/>
      <c r="J92" s="81">
        <v>396</v>
      </c>
      <c r="K92" s="81">
        <f t="shared" si="18"/>
        <v>0</v>
      </c>
      <c r="L92" s="2"/>
      <c r="M92" s="2"/>
    </row>
    <row r="93" spans="1:13">
      <c r="A93" s="3"/>
      <c r="B93" s="3"/>
      <c r="C93" s="3"/>
      <c r="D93" s="3"/>
      <c r="E93" s="3"/>
      <c r="F93" s="4"/>
      <c r="G93" s="95" t="s">
        <v>185</v>
      </c>
      <c r="H93" s="79"/>
      <c r="I93" s="96"/>
      <c r="J93" s="81">
        <v>623</v>
      </c>
      <c r="K93" s="81">
        <f t="shared" si="18"/>
        <v>0</v>
      </c>
      <c r="L93" s="2"/>
      <c r="M93" s="2"/>
    </row>
    <row r="94" spans="1:13">
      <c r="A94" s="3"/>
      <c r="B94" s="3"/>
      <c r="C94" s="3"/>
      <c r="D94" s="3"/>
      <c r="E94" s="6" t="s">
        <v>9</v>
      </c>
      <c r="F94" s="8">
        <f>SUM(F89:F93)</f>
        <v>0</v>
      </c>
      <c r="G94" s="6"/>
      <c r="H94" s="6"/>
      <c r="I94" s="17"/>
      <c r="J94" s="5"/>
      <c r="K94" s="7">
        <f>SUM(K89:K93)</f>
        <v>0</v>
      </c>
      <c r="L94" s="7" t="e">
        <f>K94/F94</f>
        <v>#DIV/0!</v>
      </c>
      <c r="M94" s="2"/>
    </row>
    <row r="95" spans="1:13">
      <c r="A95" s="120">
        <v>4656</v>
      </c>
      <c r="B95" s="120" t="s">
        <v>436</v>
      </c>
      <c r="C95" s="120" t="s">
        <v>437</v>
      </c>
      <c r="D95" s="120" t="s">
        <v>113</v>
      </c>
      <c r="E95" s="120" t="s">
        <v>114</v>
      </c>
      <c r="F95" s="87"/>
      <c r="G95" s="83" t="s">
        <v>405</v>
      </c>
      <c r="H95" s="79"/>
      <c r="I95" s="80"/>
      <c r="J95" s="81">
        <v>2125</v>
      </c>
      <c r="K95" s="81">
        <f t="shared" ref="K95:K99" si="19">I95*J95</f>
        <v>0</v>
      </c>
      <c r="L95" s="2"/>
      <c r="M95" s="2"/>
    </row>
    <row r="96" spans="1:13">
      <c r="A96" s="3"/>
      <c r="B96" s="3"/>
      <c r="C96" s="3"/>
      <c r="D96" s="3"/>
      <c r="E96" s="3"/>
      <c r="F96" s="4"/>
      <c r="G96" s="83" t="s">
        <v>183</v>
      </c>
      <c r="H96" s="79"/>
      <c r="I96" s="80"/>
      <c r="J96" s="81">
        <v>1950</v>
      </c>
      <c r="K96" s="81">
        <f t="shared" si="19"/>
        <v>0</v>
      </c>
      <c r="L96" s="2"/>
      <c r="M96" s="2"/>
    </row>
    <row r="97" spans="1:13">
      <c r="A97" s="3"/>
      <c r="B97" s="3"/>
      <c r="C97" s="3"/>
      <c r="D97" s="3"/>
      <c r="E97" s="3"/>
      <c r="F97" s="4"/>
      <c r="G97" s="83" t="s">
        <v>198</v>
      </c>
      <c r="H97" s="120"/>
      <c r="I97" s="96"/>
      <c r="J97" s="81">
        <v>2852</v>
      </c>
      <c r="K97" s="94">
        <f t="shared" si="19"/>
        <v>0</v>
      </c>
      <c r="L97" s="2"/>
      <c r="M97" s="2"/>
    </row>
    <row r="98" spans="1:13">
      <c r="A98" s="3"/>
      <c r="B98" s="3"/>
      <c r="C98" s="3"/>
      <c r="D98" s="3"/>
      <c r="E98" s="3"/>
      <c r="F98" s="4"/>
      <c r="G98" s="120" t="s">
        <v>184</v>
      </c>
      <c r="H98" s="79"/>
      <c r="I98" s="80"/>
      <c r="J98" s="81">
        <v>396</v>
      </c>
      <c r="K98" s="81">
        <f t="shared" si="19"/>
        <v>0</v>
      </c>
      <c r="L98" s="2"/>
      <c r="M98" s="2"/>
    </row>
    <row r="99" spans="1:13">
      <c r="A99" s="3"/>
      <c r="B99" s="3"/>
      <c r="C99" s="3"/>
      <c r="D99" s="3"/>
      <c r="E99" s="3"/>
      <c r="F99" s="4"/>
      <c r="G99" s="95" t="s">
        <v>185</v>
      </c>
      <c r="H99" s="79"/>
      <c r="I99" s="96"/>
      <c r="J99" s="81">
        <v>623</v>
      </c>
      <c r="K99" s="81">
        <f t="shared" si="19"/>
        <v>0</v>
      </c>
      <c r="L99" s="2"/>
      <c r="M99" s="2"/>
    </row>
    <row r="100" spans="1:13">
      <c r="A100" s="3"/>
      <c r="B100" s="3"/>
      <c r="C100" s="3"/>
      <c r="D100" s="3"/>
      <c r="E100" s="6" t="s">
        <v>9</v>
      </c>
      <c r="F100" s="8">
        <f>SUM(F95:F99)</f>
        <v>0</v>
      </c>
      <c r="G100" s="6"/>
      <c r="H100" s="6"/>
      <c r="I100" s="17"/>
      <c r="J100" s="5"/>
      <c r="K100" s="7">
        <f>SUM(K95:K99)</f>
        <v>0</v>
      </c>
      <c r="L100" s="7" t="e">
        <f>K100/F100</f>
        <v>#DIV/0!</v>
      </c>
      <c r="M100" s="2"/>
    </row>
    <row r="101" spans="1:13">
      <c r="A101" s="120">
        <v>7299</v>
      </c>
      <c r="B101" s="120" t="s">
        <v>293</v>
      </c>
      <c r="C101" s="120" t="s">
        <v>439</v>
      </c>
      <c r="D101" s="120" t="s">
        <v>438</v>
      </c>
      <c r="E101" s="120" t="s">
        <v>102</v>
      </c>
      <c r="F101" s="87"/>
      <c r="G101" s="93" t="s">
        <v>190</v>
      </c>
      <c r="H101" s="79"/>
      <c r="I101" s="80"/>
      <c r="J101" s="81">
        <v>890</v>
      </c>
      <c r="K101" s="97">
        <f t="shared" ref="K101" si="20">I101*J101</f>
        <v>0</v>
      </c>
      <c r="L101" s="2"/>
      <c r="M101" s="2"/>
    </row>
    <row r="102" spans="1:13">
      <c r="A102" s="3"/>
      <c r="B102" s="3"/>
      <c r="C102" s="3"/>
      <c r="D102" s="3"/>
      <c r="E102" s="3"/>
      <c r="F102" s="4"/>
      <c r="G102" s="91" t="s">
        <v>192</v>
      </c>
      <c r="H102" s="79"/>
      <c r="I102" s="80"/>
      <c r="J102" s="81">
        <v>1742</v>
      </c>
      <c r="K102" s="81">
        <f t="shared" ref="K102:K105" si="21">I102*J102</f>
        <v>0</v>
      </c>
      <c r="L102" s="2"/>
      <c r="M102" s="2"/>
    </row>
    <row r="103" spans="1:13">
      <c r="A103" s="3"/>
      <c r="B103" s="3"/>
      <c r="C103" s="3"/>
      <c r="D103" s="3"/>
      <c r="E103" s="3"/>
      <c r="F103" s="4"/>
      <c r="G103" s="83" t="s">
        <v>244</v>
      </c>
      <c r="H103" s="79"/>
      <c r="I103" s="80"/>
      <c r="J103" s="81">
        <v>1341</v>
      </c>
      <c r="K103" s="81">
        <f t="shared" si="21"/>
        <v>0</v>
      </c>
      <c r="L103" s="2"/>
      <c r="M103" s="2"/>
    </row>
    <row r="104" spans="1:13">
      <c r="A104" s="3"/>
      <c r="B104" s="3"/>
      <c r="C104" s="3"/>
      <c r="D104" s="3"/>
      <c r="E104" s="3"/>
      <c r="F104" s="4"/>
      <c r="G104" s="120" t="s">
        <v>184</v>
      </c>
      <c r="H104" s="79"/>
      <c r="I104" s="80"/>
      <c r="J104" s="81">
        <v>396</v>
      </c>
      <c r="K104" s="81">
        <f t="shared" si="21"/>
        <v>0</v>
      </c>
      <c r="L104" s="2"/>
      <c r="M104" s="2"/>
    </row>
    <row r="105" spans="1:13">
      <c r="A105" s="3"/>
      <c r="B105" s="3"/>
      <c r="C105" s="3"/>
      <c r="D105" s="3"/>
      <c r="E105" s="3"/>
      <c r="F105" s="4"/>
      <c r="G105" s="95" t="s">
        <v>185</v>
      </c>
      <c r="H105" s="79"/>
      <c r="I105" s="96"/>
      <c r="J105" s="81">
        <v>623</v>
      </c>
      <c r="K105" s="81">
        <f t="shared" si="21"/>
        <v>0</v>
      </c>
      <c r="L105" s="2"/>
      <c r="M105" s="2"/>
    </row>
    <row r="106" spans="1:13">
      <c r="A106" s="3"/>
      <c r="B106" s="3"/>
      <c r="C106" s="3"/>
      <c r="D106" s="3"/>
      <c r="E106" s="6" t="s">
        <v>9</v>
      </c>
      <c r="F106" s="8">
        <f>SUM(F101:F105)</f>
        <v>0</v>
      </c>
      <c r="G106" s="6"/>
      <c r="H106" s="6"/>
      <c r="I106" s="17"/>
      <c r="J106" s="5"/>
      <c r="K106" s="7">
        <f>SUM(K101:K105)</f>
        <v>0</v>
      </c>
      <c r="L106" s="7" t="e">
        <f>K106/F106</f>
        <v>#DIV/0!</v>
      </c>
      <c r="M106" s="2"/>
    </row>
    <row r="107" spans="1:13">
      <c r="A107" s="3">
        <v>4652</v>
      </c>
      <c r="B107" s="120" t="s">
        <v>293</v>
      </c>
      <c r="C107" s="120" t="s">
        <v>440</v>
      </c>
      <c r="D107" s="120" t="s">
        <v>297</v>
      </c>
      <c r="E107" s="120" t="s">
        <v>114</v>
      </c>
      <c r="F107" s="87"/>
      <c r="G107" s="83" t="s">
        <v>405</v>
      </c>
      <c r="H107" s="79"/>
      <c r="I107" s="80"/>
      <c r="J107" s="81">
        <v>2125</v>
      </c>
      <c r="K107" s="81">
        <f t="shared" ref="K107:K111" si="22">I107*J107</f>
        <v>0</v>
      </c>
      <c r="L107" s="2"/>
      <c r="M107" s="2"/>
    </row>
    <row r="108" spans="1:13">
      <c r="A108" s="3"/>
      <c r="B108" s="3"/>
      <c r="C108" s="3"/>
      <c r="D108" s="3"/>
      <c r="E108" s="3"/>
      <c r="F108" s="4"/>
      <c r="G108" s="83" t="s">
        <v>183</v>
      </c>
      <c r="H108" s="79"/>
      <c r="I108" s="80"/>
      <c r="J108" s="81">
        <v>1950</v>
      </c>
      <c r="K108" s="81">
        <f t="shared" si="22"/>
        <v>0</v>
      </c>
      <c r="L108" s="2"/>
      <c r="M108" s="2"/>
    </row>
    <row r="109" spans="1:13">
      <c r="A109" s="3"/>
      <c r="B109" s="3"/>
      <c r="C109" s="3"/>
      <c r="D109" s="3"/>
      <c r="E109" s="3"/>
      <c r="F109" s="4"/>
      <c r="G109" s="83" t="s">
        <v>198</v>
      </c>
      <c r="H109" s="120"/>
      <c r="I109" s="96"/>
      <c r="J109" s="81">
        <v>2852</v>
      </c>
      <c r="K109" s="94">
        <f t="shared" si="22"/>
        <v>0</v>
      </c>
      <c r="L109" s="2"/>
      <c r="M109" s="2"/>
    </row>
    <row r="110" spans="1:13">
      <c r="A110" s="3"/>
      <c r="B110" s="3"/>
      <c r="C110" s="3"/>
      <c r="D110" s="3"/>
      <c r="E110" s="3"/>
      <c r="F110" s="4"/>
      <c r="G110" s="120" t="s">
        <v>184</v>
      </c>
      <c r="H110" s="79"/>
      <c r="I110" s="80"/>
      <c r="J110" s="81">
        <v>396</v>
      </c>
      <c r="K110" s="81">
        <f t="shared" si="22"/>
        <v>0</v>
      </c>
      <c r="L110" s="2"/>
      <c r="M110" s="2"/>
    </row>
    <row r="111" spans="1:13">
      <c r="A111" s="3"/>
      <c r="B111" s="3"/>
      <c r="C111" s="3"/>
      <c r="D111" s="3"/>
      <c r="E111" s="3"/>
      <c r="F111" s="4"/>
      <c r="G111" s="95" t="s">
        <v>185</v>
      </c>
      <c r="H111" s="79"/>
      <c r="I111" s="96"/>
      <c r="J111" s="81">
        <v>623</v>
      </c>
      <c r="K111" s="81">
        <f t="shared" si="22"/>
        <v>0</v>
      </c>
      <c r="L111" s="2"/>
      <c r="M111" s="2"/>
    </row>
    <row r="112" spans="1:13">
      <c r="A112" s="3"/>
      <c r="B112" s="3"/>
      <c r="C112" s="3"/>
      <c r="D112" s="3"/>
      <c r="E112" s="6" t="s">
        <v>9</v>
      </c>
      <c r="F112" s="8">
        <f>SUM(F107:F111)</f>
        <v>0</v>
      </c>
      <c r="G112" s="6"/>
      <c r="H112" s="6"/>
      <c r="I112" s="17"/>
      <c r="J112" s="5"/>
      <c r="K112" s="7">
        <f>SUM(K107:K111)</f>
        <v>0</v>
      </c>
      <c r="L112" s="7" t="e">
        <f>K112/F112</f>
        <v>#DIV/0!</v>
      </c>
      <c r="M112" s="2"/>
    </row>
    <row r="113" spans="1:14">
      <c r="A113" s="11"/>
      <c r="B113" s="11"/>
      <c r="C113" s="11"/>
      <c r="D113" s="23" t="s">
        <v>30</v>
      </c>
      <c r="E113" s="23"/>
      <c r="F113" s="50">
        <f>F63+F69+F76+F82+F88+F94+F100+F106+F112</f>
        <v>0</v>
      </c>
      <c r="G113" s="51"/>
      <c r="H113" s="51"/>
      <c r="I113" s="51"/>
      <c r="J113" s="51"/>
      <c r="K113" s="50">
        <f>K63+K69+K76+K82+K88+K94+K100+K106+K112</f>
        <v>0</v>
      </c>
      <c r="L113" s="52" t="e">
        <f>K113/F113</f>
        <v>#DIV/0!</v>
      </c>
      <c r="M113" s="16"/>
    </row>
    <row r="114" spans="1:14">
      <c r="A114" s="11"/>
      <c r="B114" s="11"/>
      <c r="C114" s="11"/>
      <c r="D114" s="26"/>
      <c r="E114" s="26"/>
      <c r="F114" s="27"/>
      <c r="G114" s="26"/>
      <c r="H114" s="26"/>
      <c r="I114" s="26"/>
      <c r="J114" s="26"/>
      <c r="K114" s="27"/>
      <c r="L114" s="15"/>
      <c r="M114" s="16"/>
    </row>
    <row r="115" spans="1:14">
      <c r="A115" s="1" t="s">
        <v>40</v>
      </c>
      <c r="B115" s="1"/>
      <c r="C115" s="1"/>
      <c r="D115" s="1"/>
      <c r="E115" s="1"/>
      <c r="I115" s="19"/>
      <c r="K115" s="824" t="s">
        <v>423</v>
      </c>
      <c r="L115" s="824"/>
      <c r="M115" s="824"/>
    </row>
    <row r="116" spans="1:14">
      <c r="A116" s="6" t="s">
        <v>0</v>
      </c>
      <c r="B116" s="6" t="s">
        <v>7</v>
      </c>
      <c r="C116" s="6" t="s">
        <v>13</v>
      </c>
      <c r="D116" s="6" t="s">
        <v>14</v>
      </c>
      <c r="E116" s="6" t="s">
        <v>8</v>
      </c>
      <c r="F116" s="6" t="s">
        <v>1</v>
      </c>
      <c r="G116" s="6" t="s">
        <v>2</v>
      </c>
      <c r="H116" s="6" t="s">
        <v>15</v>
      </c>
      <c r="I116" s="20" t="s">
        <v>3</v>
      </c>
      <c r="J116" s="6" t="s">
        <v>4</v>
      </c>
      <c r="K116" s="6" t="s">
        <v>5</v>
      </c>
      <c r="L116" s="6" t="s">
        <v>12</v>
      </c>
      <c r="M116" s="6" t="s">
        <v>6</v>
      </c>
      <c r="N116" s="10"/>
    </row>
    <row r="117" spans="1:14">
      <c r="A117" s="22">
        <v>5077</v>
      </c>
      <c r="B117" s="120" t="s">
        <v>382</v>
      </c>
      <c r="C117" s="120" t="s">
        <v>253</v>
      </c>
      <c r="D117" s="120" t="s">
        <v>254</v>
      </c>
      <c r="E117" s="120" t="s">
        <v>409</v>
      </c>
      <c r="F117" s="87"/>
      <c r="G117" s="120" t="s">
        <v>27</v>
      </c>
      <c r="H117" s="79"/>
      <c r="I117" s="80"/>
      <c r="J117" s="81">
        <v>22</v>
      </c>
      <c r="K117" s="81">
        <f t="shared" ref="K117:K119" si="23">I117*J117</f>
        <v>0</v>
      </c>
      <c r="L117" s="22"/>
      <c r="M117" s="22"/>
      <c r="N117" s="67"/>
    </row>
    <row r="118" spans="1:14">
      <c r="A118" s="22"/>
      <c r="B118" s="3"/>
      <c r="C118" s="3"/>
      <c r="D118" s="3"/>
      <c r="E118" s="3"/>
      <c r="F118" s="22"/>
      <c r="G118" s="83" t="s">
        <v>49</v>
      </c>
      <c r="H118" s="79"/>
      <c r="I118" s="80"/>
      <c r="J118" s="81">
        <v>34</v>
      </c>
      <c r="K118" s="81">
        <f t="shared" si="23"/>
        <v>0</v>
      </c>
      <c r="L118" s="22"/>
      <c r="M118" s="22"/>
      <c r="N118" s="67"/>
    </row>
    <row r="119" spans="1:14">
      <c r="A119" s="22"/>
      <c r="B119" s="3"/>
      <c r="C119" s="3"/>
      <c r="D119" s="3"/>
      <c r="E119" s="3"/>
      <c r="F119" s="22"/>
      <c r="G119" s="120" t="s">
        <v>19</v>
      </c>
      <c r="H119" s="79"/>
      <c r="I119" s="80"/>
      <c r="J119" s="81">
        <v>80</v>
      </c>
      <c r="K119" s="81">
        <f t="shared" si="23"/>
        <v>0</v>
      </c>
      <c r="L119" s="22"/>
      <c r="M119" s="22"/>
      <c r="N119" s="67"/>
    </row>
    <row r="120" spans="1:14">
      <c r="A120" s="3"/>
      <c r="B120" s="3"/>
      <c r="C120" s="3"/>
      <c r="D120" s="3"/>
      <c r="E120" s="6" t="s">
        <v>9</v>
      </c>
      <c r="F120" s="8">
        <f>SUM(F117:F119)</f>
        <v>0</v>
      </c>
      <c r="G120" s="6"/>
      <c r="H120" s="6"/>
      <c r="I120" s="17"/>
      <c r="J120" s="5"/>
      <c r="K120" s="7">
        <f>SUM(K117:K119)</f>
        <v>0</v>
      </c>
      <c r="L120" s="7" t="e">
        <f>K120/F120</f>
        <v>#DIV/0!</v>
      </c>
      <c r="M120" s="2"/>
    </row>
    <row r="121" spans="1:14">
      <c r="A121" s="22">
        <v>5070</v>
      </c>
      <c r="B121" s="120" t="s">
        <v>400</v>
      </c>
      <c r="C121" s="120" t="s">
        <v>121</v>
      </c>
      <c r="D121" s="120" t="s">
        <v>113</v>
      </c>
      <c r="E121" s="120" t="s">
        <v>401</v>
      </c>
      <c r="F121" s="87"/>
      <c r="G121" s="120" t="s">
        <v>27</v>
      </c>
      <c r="H121" s="79"/>
      <c r="I121" s="80"/>
      <c r="J121" s="81">
        <v>22</v>
      </c>
      <c r="K121" s="81">
        <f t="shared" ref="K121:K123" si="24">I121*J121</f>
        <v>0</v>
      </c>
      <c r="L121" s="22"/>
      <c r="M121" s="22"/>
      <c r="N121" s="67"/>
    </row>
    <row r="122" spans="1:14">
      <c r="A122" s="22"/>
      <c r="B122" s="3"/>
      <c r="C122" s="3"/>
      <c r="D122" s="3"/>
      <c r="E122" s="3"/>
      <c r="F122" s="22"/>
      <c r="G122" s="83" t="s">
        <v>49</v>
      </c>
      <c r="H122" s="79"/>
      <c r="I122" s="80"/>
      <c r="J122" s="81">
        <v>34</v>
      </c>
      <c r="K122" s="81">
        <f t="shared" si="24"/>
        <v>0</v>
      </c>
      <c r="L122" s="22"/>
      <c r="M122" s="22"/>
      <c r="N122" s="67"/>
    </row>
    <row r="123" spans="1:14">
      <c r="A123" s="22"/>
      <c r="B123" s="3"/>
      <c r="C123" s="3"/>
      <c r="D123" s="3"/>
      <c r="E123" s="3"/>
      <c r="F123" s="22"/>
      <c r="G123" s="120" t="s">
        <v>19</v>
      </c>
      <c r="H123" s="79"/>
      <c r="I123" s="80"/>
      <c r="J123" s="81">
        <v>80</v>
      </c>
      <c r="K123" s="81">
        <f t="shared" si="24"/>
        <v>0</v>
      </c>
      <c r="L123" s="22"/>
      <c r="M123" s="22"/>
      <c r="N123" s="67"/>
    </row>
    <row r="124" spans="1:14">
      <c r="A124" s="3"/>
      <c r="B124" s="3"/>
      <c r="C124" s="3"/>
      <c r="D124" s="3"/>
      <c r="E124" s="6" t="s">
        <v>9</v>
      </c>
      <c r="F124" s="8">
        <f>SUM(F121:F123)</f>
        <v>0</v>
      </c>
      <c r="G124" s="6"/>
      <c r="H124" s="6"/>
      <c r="I124" s="17"/>
      <c r="J124" s="5"/>
      <c r="K124" s="7">
        <f>SUM(K121:K123)</f>
        <v>0</v>
      </c>
      <c r="L124" s="7" t="e">
        <f>K124/F124</f>
        <v>#DIV/0!</v>
      </c>
      <c r="M124" s="2"/>
    </row>
    <row r="125" spans="1:14">
      <c r="A125" s="22">
        <v>5074</v>
      </c>
      <c r="B125" s="120" t="s">
        <v>358</v>
      </c>
      <c r="C125" s="120" t="s">
        <v>121</v>
      </c>
      <c r="D125" s="120" t="s">
        <v>334</v>
      </c>
      <c r="E125" s="120" t="s">
        <v>404</v>
      </c>
      <c r="F125" s="87"/>
      <c r="G125" s="120" t="s">
        <v>27</v>
      </c>
      <c r="H125" s="79"/>
      <c r="I125" s="80"/>
      <c r="J125" s="81">
        <v>22</v>
      </c>
      <c r="K125" s="81">
        <f t="shared" ref="K125:K127" si="25">I125*J125</f>
        <v>0</v>
      </c>
      <c r="L125" s="22"/>
      <c r="M125" s="3"/>
      <c r="N125" s="67"/>
    </row>
    <row r="126" spans="1:14">
      <c r="A126" s="22"/>
      <c r="B126" s="3"/>
      <c r="C126" s="3"/>
      <c r="D126" s="3"/>
      <c r="E126" s="3"/>
      <c r="F126" s="22"/>
      <c r="G126" s="83" t="s">
        <v>49</v>
      </c>
      <c r="H126" s="79"/>
      <c r="I126" s="80"/>
      <c r="J126" s="81">
        <v>34</v>
      </c>
      <c r="K126" s="81">
        <f t="shared" si="25"/>
        <v>0</v>
      </c>
      <c r="L126" s="22"/>
      <c r="M126" s="3"/>
      <c r="N126" s="67"/>
    </row>
    <row r="127" spans="1:14">
      <c r="A127" s="22"/>
      <c r="B127" s="3"/>
      <c r="C127" s="3"/>
      <c r="D127" s="3"/>
      <c r="E127" s="3"/>
      <c r="F127" s="22"/>
      <c r="G127" s="120" t="s">
        <v>19</v>
      </c>
      <c r="H127" s="79"/>
      <c r="I127" s="80"/>
      <c r="J127" s="81">
        <v>80</v>
      </c>
      <c r="K127" s="81">
        <f t="shared" si="25"/>
        <v>0</v>
      </c>
      <c r="L127" s="22"/>
      <c r="M127" s="3"/>
      <c r="N127" s="67"/>
    </row>
    <row r="128" spans="1:14">
      <c r="A128" s="22"/>
      <c r="B128" s="3"/>
      <c r="C128" s="3"/>
      <c r="D128" s="3"/>
      <c r="E128" s="6" t="s">
        <v>9</v>
      </c>
      <c r="F128" s="8">
        <f>SUM(F125:F127)</f>
        <v>0</v>
      </c>
      <c r="G128" s="6"/>
      <c r="H128" s="6"/>
      <c r="I128" s="17"/>
      <c r="J128" s="5"/>
      <c r="K128" s="7">
        <f>SUM(K125:K127)</f>
        <v>0</v>
      </c>
      <c r="L128" s="7" t="e">
        <f>K128/F128</f>
        <v>#DIV/0!</v>
      </c>
      <c r="M128" s="3"/>
      <c r="N128" s="67"/>
    </row>
    <row r="129" spans="1:14">
      <c r="A129" s="22">
        <v>5074</v>
      </c>
      <c r="B129" s="120" t="s">
        <v>313</v>
      </c>
      <c r="C129" s="120" t="s">
        <v>267</v>
      </c>
      <c r="D129" s="120" t="s">
        <v>296</v>
      </c>
      <c r="E129" s="120" t="s">
        <v>232</v>
      </c>
      <c r="F129" s="90"/>
      <c r="G129" s="120" t="s">
        <v>27</v>
      </c>
      <c r="H129" s="79"/>
      <c r="I129" s="80"/>
      <c r="J129" s="81">
        <v>22</v>
      </c>
      <c r="K129" s="81">
        <f t="shared" ref="K129:K131" si="26">I129*J129</f>
        <v>0</v>
      </c>
      <c r="L129" s="22"/>
      <c r="M129" s="3"/>
      <c r="N129" s="67"/>
    </row>
    <row r="130" spans="1:14">
      <c r="A130" s="22"/>
      <c r="B130" s="3"/>
      <c r="C130" s="3"/>
      <c r="D130" s="3"/>
      <c r="E130" s="3"/>
      <c r="F130" s="22"/>
      <c r="G130" s="83" t="s">
        <v>49</v>
      </c>
      <c r="H130" s="79"/>
      <c r="I130" s="80"/>
      <c r="J130" s="81">
        <v>34</v>
      </c>
      <c r="K130" s="81">
        <f t="shared" si="26"/>
        <v>0</v>
      </c>
      <c r="L130" s="22"/>
      <c r="M130" s="3"/>
      <c r="N130" s="67"/>
    </row>
    <row r="131" spans="1:14">
      <c r="A131" s="22"/>
      <c r="B131" s="3"/>
      <c r="C131" s="3"/>
      <c r="D131" s="3"/>
      <c r="E131" s="3"/>
      <c r="F131" s="22"/>
      <c r="G131" s="120" t="s">
        <v>19</v>
      </c>
      <c r="H131" s="79"/>
      <c r="I131" s="80"/>
      <c r="J131" s="81">
        <v>80</v>
      </c>
      <c r="K131" s="81">
        <f t="shared" si="26"/>
        <v>0</v>
      </c>
      <c r="L131" s="22"/>
      <c r="M131" s="3"/>
      <c r="N131" s="67"/>
    </row>
    <row r="132" spans="1:14">
      <c r="A132" s="22"/>
      <c r="B132" s="3"/>
      <c r="C132" s="3"/>
      <c r="D132" s="3"/>
      <c r="E132" s="6" t="s">
        <v>9</v>
      </c>
      <c r="F132" s="8">
        <f>SUM(F129:F131)</f>
        <v>0</v>
      </c>
      <c r="G132" s="6"/>
      <c r="H132" s="6"/>
      <c r="I132" s="17"/>
      <c r="J132" s="5"/>
      <c r="K132" s="7">
        <f>SUM(K129:K131)</f>
        <v>0</v>
      </c>
      <c r="L132" s="7" t="e">
        <f>K132/F132</f>
        <v>#DIV/0!</v>
      </c>
      <c r="M132" s="3"/>
      <c r="N132" s="67"/>
    </row>
    <row r="133" spans="1:14">
      <c r="A133" s="22">
        <v>5071</v>
      </c>
      <c r="B133" s="120" t="s">
        <v>394</v>
      </c>
      <c r="C133" s="120" t="s">
        <v>121</v>
      </c>
      <c r="D133" s="120" t="s">
        <v>124</v>
      </c>
      <c r="E133" s="120" t="s">
        <v>316</v>
      </c>
      <c r="F133" s="90"/>
      <c r="G133" s="120" t="s">
        <v>27</v>
      </c>
      <c r="H133" s="79"/>
      <c r="I133" s="80"/>
      <c r="J133" s="81">
        <v>22</v>
      </c>
      <c r="K133" s="81">
        <f t="shared" ref="K133:K135" si="27">I133*J133</f>
        <v>0</v>
      </c>
      <c r="L133" s="22"/>
      <c r="M133" s="3"/>
      <c r="N133" s="67"/>
    </row>
    <row r="134" spans="1:14">
      <c r="A134" s="22"/>
      <c r="B134" s="120" t="s">
        <v>396</v>
      </c>
      <c r="C134" s="120" t="s">
        <v>121</v>
      </c>
      <c r="D134" s="120" t="s">
        <v>180</v>
      </c>
      <c r="E134" s="120" t="s">
        <v>397</v>
      </c>
      <c r="F134" s="90"/>
      <c r="G134" s="83" t="s">
        <v>49</v>
      </c>
      <c r="H134" s="79"/>
      <c r="I134" s="80"/>
      <c r="J134" s="81">
        <v>34</v>
      </c>
      <c r="K134" s="81">
        <f t="shared" si="27"/>
        <v>0</v>
      </c>
      <c r="L134" s="22"/>
      <c r="M134" s="3"/>
      <c r="N134" s="67"/>
    </row>
    <row r="135" spans="1:14">
      <c r="A135" s="22"/>
      <c r="B135" s="120" t="s">
        <v>398</v>
      </c>
      <c r="C135" s="120" t="s">
        <v>360</v>
      </c>
      <c r="D135" s="120" t="s">
        <v>361</v>
      </c>
      <c r="E135" s="120" t="s">
        <v>399</v>
      </c>
      <c r="F135" s="87"/>
      <c r="G135" s="120" t="s">
        <v>19</v>
      </c>
      <c r="H135" s="79"/>
      <c r="I135" s="80"/>
      <c r="J135" s="81">
        <v>80</v>
      </c>
      <c r="K135" s="81">
        <f t="shared" si="27"/>
        <v>0</v>
      </c>
      <c r="L135" s="22"/>
      <c r="M135" s="3"/>
      <c r="N135" s="67"/>
    </row>
    <row r="136" spans="1:14">
      <c r="A136" s="22"/>
      <c r="B136" s="120" t="s">
        <v>394</v>
      </c>
      <c r="C136" s="120" t="s">
        <v>121</v>
      </c>
      <c r="D136" s="120" t="s">
        <v>124</v>
      </c>
      <c r="E136" s="120" t="s">
        <v>395</v>
      </c>
      <c r="F136" s="90"/>
      <c r="G136" s="120"/>
      <c r="H136" s="79"/>
      <c r="I136" s="80"/>
      <c r="J136" s="81"/>
      <c r="K136" s="81"/>
      <c r="L136" s="22"/>
      <c r="M136" s="3"/>
      <c r="N136" s="67"/>
    </row>
    <row r="137" spans="1:14">
      <c r="A137" s="22"/>
      <c r="B137" s="120" t="s">
        <v>275</v>
      </c>
      <c r="C137" s="120" t="s">
        <v>267</v>
      </c>
      <c r="D137" s="120" t="s">
        <v>296</v>
      </c>
      <c r="E137" s="120" t="s">
        <v>232</v>
      </c>
      <c r="F137" s="90"/>
      <c r="G137" s="120"/>
      <c r="H137" s="79"/>
      <c r="I137" s="80"/>
      <c r="J137" s="81"/>
      <c r="K137" s="81"/>
      <c r="L137" s="22"/>
      <c r="M137" s="3"/>
      <c r="N137" s="67"/>
    </row>
    <row r="138" spans="1:14">
      <c r="A138" s="22"/>
      <c r="B138" s="120" t="s">
        <v>406</v>
      </c>
      <c r="C138" s="3" t="s">
        <v>233</v>
      </c>
      <c r="D138" s="3" t="s">
        <v>74</v>
      </c>
      <c r="E138" s="120" t="s">
        <v>407</v>
      </c>
      <c r="F138" s="87"/>
      <c r="G138" s="120"/>
      <c r="H138" s="79"/>
      <c r="I138" s="80"/>
      <c r="J138" s="81"/>
      <c r="K138" s="81"/>
      <c r="L138" s="22"/>
      <c r="M138" s="3"/>
      <c r="N138" s="67"/>
    </row>
    <row r="139" spans="1:14">
      <c r="A139" s="22"/>
      <c r="B139" s="120" t="s">
        <v>394</v>
      </c>
      <c r="C139" s="120" t="s">
        <v>121</v>
      </c>
      <c r="D139" s="120" t="s">
        <v>124</v>
      </c>
      <c r="E139" s="120" t="s">
        <v>395</v>
      </c>
      <c r="F139" s="90"/>
      <c r="G139" s="120"/>
      <c r="H139" s="79"/>
      <c r="I139" s="80"/>
      <c r="J139" s="81"/>
      <c r="K139" s="81"/>
      <c r="L139" s="22"/>
      <c r="M139" s="3"/>
      <c r="N139" s="67"/>
    </row>
    <row r="140" spans="1:14">
      <c r="A140" s="22"/>
      <c r="B140" s="120" t="s">
        <v>231</v>
      </c>
      <c r="C140" s="120" t="s">
        <v>121</v>
      </c>
      <c r="D140" s="120" t="s">
        <v>124</v>
      </c>
      <c r="E140" s="120" t="s">
        <v>270</v>
      </c>
      <c r="F140" s="87"/>
      <c r="G140" s="120"/>
      <c r="H140" s="79"/>
      <c r="I140" s="80"/>
      <c r="J140" s="81"/>
      <c r="K140" s="81"/>
      <c r="L140" s="22"/>
      <c r="M140" s="3"/>
      <c r="N140" s="67"/>
    </row>
    <row r="141" spans="1:14">
      <c r="A141" s="22"/>
      <c r="B141" s="3"/>
      <c r="C141" s="3"/>
      <c r="D141" s="3"/>
      <c r="E141" s="120" t="s">
        <v>262</v>
      </c>
      <c r="F141" s="4"/>
      <c r="G141" s="120"/>
      <c r="H141" s="79"/>
      <c r="I141" s="80"/>
      <c r="J141" s="81"/>
      <c r="K141" s="81"/>
      <c r="L141" s="22"/>
      <c r="M141" s="3"/>
      <c r="N141" s="67"/>
    </row>
    <row r="142" spans="1:14">
      <c r="A142" s="22"/>
      <c r="B142" s="3"/>
      <c r="C142" s="3"/>
      <c r="D142" s="3"/>
      <c r="E142" s="6" t="s">
        <v>9</v>
      </c>
      <c r="F142" s="8">
        <f>SUM(F133:F141)</f>
        <v>0</v>
      </c>
      <c r="G142" s="6"/>
      <c r="H142" s="6"/>
      <c r="I142" s="17"/>
      <c r="J142" s="5"/>
      <c r="K142" s="7">
        <f>SUM(K133:K141)</f>
        <v>0</v>
      </c>
      <c r="L142" s="7" t="e">
        <f>K142/F142</f>
        <v>#DIV/0!</v>
      </c>
      <c r="M142" s="3"/>
      <c r="N142" s="67"/>
    </row>
    <row r="143" spans="1:14">
      <c r="A143" s="11"/>
      <c r="B143" s="11"/>
      <c r="C143" s="11"/>
      <c r="D143" s="23" t="s">
        <v>30</v>
      </c>
      <c r="E143" s="24"/>
      <c r="F143" s="50">
        <f>F120+F124+F128+F132+F142</f>
        <v>0</v>
      </c>
      <c r="G143" s="51"/>
      <c r="H143" s="51"/>
      <c r="I143" s="51"/>
      <c r="J143" s="51"/>
      <c r="K143" s="50">
        <f>K120+K124+K128+K132+K142</f>
        <v>0</v>
      </c>
      <c r="L143" s="52" t="e">
        <f>K143/F143</f>
        <v>#DIV/0!</v>
      </c>
      <c r="M143" s="16"/>
    </row>
    <row r="144" spans="1:14">
      <c r="A144" s="11"/>
      <c r="B144" s="49"/>
      <c r="C144" s="49"/>
      <c r="D144" s="49"/>
      <c r="E144" s="69"/>
      <c r="F144" s="69"/>
      <c r="G144" s="69"/>
      <c r="H144" s="49"/>
      <c r="I144" s="69"/>
      <c r="J144" s="49"/>
      <c r="K144" s="69"/>
      <c r="L144" s="69"/>
      <c r="M144" s="16"/>
    </row>
    <row r="145" spans="1:14">
      <c r="A145" s="11"/>
      <c r="B145" s="11"/>
      <c r="C145" s="11"/>
      <c r="D145" s="26"/>
      <c r="E145" s="26"/>
      <c r="F145" s="27"/>
      <c r="G145" s="26"/>
      <c r="H145" s="26"/>
      <c r="I145" s="26"/>
      <c r="J145" s="26"/>
      <c r="K145" s="27"/>
      <c r="L145" s="15"/>
      <c r="M145" s="16"/>
    </row>
    <row r="146" spans="1:14">
      <c r="A146" s="1" t="s">
        <v>11</v>
      </c>
      <c r="B146" s="1"/>
      <c r="C146" s="1"/>
      <c r="D146" s="1"/>
      <c r="E146" s="1"/>
      <c r="K146" s="824" t="s">
        <v>423</v>
      </c>
      <c r="L146" s="824"/>
      <c r="M146" s="824"/>
    </row>
    <row r="147" spans="1:14">
      <c r="A147" s="6" t="s">
        <v>0</v>
      </c>
      <c r="B147" s="6" t="s">
        <v>7</v>
      </c>
      <c r="C147" s="6" t="s">
        <v>13</v>
      </c>
      <c r="D147" s="6" t="s">
        <v>14</v>
      </c>
      <c r="E147" s="6" t="s">
        <v>8</v>
      </c>
      <c r="F147" s="6" t="s">
        <v>1</v>
      </c>
      <c r="G147" s="6" t="s">
        <v>2</v>
      </c>
      <c r="H147" s="6" t="s">
        <v>15</v>
      </c>
      <c r="I147" s="6" t="s">
        <v>3</v>
      </c>
      <c r="J147" s="6" t="s">
        <v>4</v>
      </c>
      <c r="K147" s="6" t="s">
        <v>5</v>
      </c>
      <c r="L147" s="6" t="s">
        <v>12</v>
      </c>
      <c r="M147" s="6" t="s">
        <v>6</v>
      </c>
      <c r="N147" s="10"/>
    </row>
    <row r="148" spans="1:14">
      <c r="A148" s="6">
        <v>5717</v>
      </c>
      <c r="B148" s="120" t="s">
        <v>187</v>
      </c>
      <c r="C148" s="120" t="s">
        <v>121</v>
      </c>
      <c r="D148" s="120" t="s">
        <v>369</v>
      </c>
      <c r="E148" s="120" t="s">
        <v>197</v>
      </c>
      <c r="F148" s="99"/>
      <c r="G148" s="120" t="s">
        <v>250</v>
      </c>
      <c r="H148" s="79"/>
      <c r="I148" s="80"/>
      <c r="J148" s="81">
        <v>351</v>
      </c>
      <c r="K148" s="81">
        <f t="shared" ref="K148:K151" si="28">I148*J148</f>
        <v>0</v>
      </c>
      <c r="L148" s="6"/>
      <c r="M148" s="6"/>
      <c r="N148" s="10"/>
    </row>
    <row r="149" spans="1:14">
      <c r="A149" s="6"/>
      <c r="B149" s="120"/>
      <c r="C149" s="120"/>
      <c r="D149" s="120"/>
      <c r="E149" s="120" t="s">
        <v>402</v>
      </c>
      <c r="F149" s="108"/>
      <c r="G149" s="173" t="s">
        <v>298</v>
      </c>
      <c r="H149" s="79"/>
      <c r="I149" s="80"/>
      <c r="J149" s="81">
        <v>435</v>
      </c>
      <c r="K149" s="94">
        <f t="shared" si="28"/>
        <v>0</v>
      </c>
      <c r="L149" s="6"/>
      <c r="M149" s="6"/>
      <c r="N149" s="10"/>
    </row>
    <row r="150" spans="1:14">
      <c r="A150" s="6"/>
      <c r="B150" s="6"/>
      <c r="C150" s="6"/>
      <c r="D150" s="6"/>
      <c r="E150" s="6"/>
      <c r="F150" s="6"/>
      <c r="G150" s="95" t="s">
        <v>204</v>
      </c>
      <c r="H150" s="104"/>
      <c r="I150" s="105"/>
      <c r="J150" s="103">
        <v>375</v>
      </c>
      <c r="K150" s="97">
        <f t="shared" si="28"/>
        <v>0</v>
      </c>
      <c r="L150" s="6"/>
      <c r="M150" s="6"/>
      <c r="N150" s="10"/>
    </row>
    <row r="151" spans="1:14">
      <c r="A151" s="6"/>
      <c r="B151" s="6"/>
      <c r="C151" s="6"/>
      <c r="D151" s="6"/>
      <c r="E151" s="6"/>
      <c r="F151" s="6"/>
      <c r="G151" s="83" t="s">
        <v>206</v>
      </c>
      <c r="H151" s="79"/>
      <c r="I151" s="81"/>
      <c r="J151" s="81">
        <v>375</v>
      </c>
      <c r="K151" s="81">
        <f t="shared" si="28"/>
        <v>0</v>
      </c>
      <c r="L151" s="6"/>
      <c r="M151" s="6"/>
      <c r="N151" s="10"/>
    </row>
    <row r="152" spans="1:14">
      <c r="A152" s="6"/>
      <c r="B152" s="6"/>
      <c r="C152" s="6"/>
      <c r="D152" s="6"/>
      <c r="E152" s="6" t="s">
        <v>9</v>
      </c>
      <c r="F152" s="8">
        <f>SUM(F148:F151)</f>
        <v>0</v>
      </c>
      <c r="G152" s="6"/>
      <c r="H152" s="6"/>
      <c r="I152" s="5"/>
      <c r="J152" s="5"/>
      <c r="K152" s="7">
        <f>SUM(K148:K151)</f>
        <v>0</v>
      </c>
      <c r="L152" s="7" t="e">
        <f>K152/F152</f>
        <v>#DIV/0!</v>
      </c>
      <c r="M152" s="6"/>
      <c r="N152" s="10"/>
    </row>
    <row r="153" spans="1:14">
      <c r="A153" s="3">
        <v>4329</v>
      </c>
      <c r="B153" s="120" t="s">
        <v>348</v>
      </c>
      <c r="C153" s="120" t="s">
        <v>121</v>
      </c>
      <c r="D153" s="120" t="s">
        <v>369</v>
      </c>
      <c r="E153" s="120" t="s">
        <v>197</v>
      </c>
      <c r="F153" s="99"/>
      <c r="G153" s="120" t="s">
        <v>250</v>
      </c>
      <c r="H153" s="79"/>
      <c r="I153" s="80"/>
      <c r="J153" s="81">
        <v>351</v>
      </c>
      <c r="K153" s="81">
        <f t="shared" ref="K153:K156" si="29">I153*J153</f>
        <v>0</v>
      </c>
      <c r="L153" s="2"/>
      <c r="M153" s="2"/>
    </row>
    <row r="154" spans="1:14">
      <c r="A154" s="3"/>
      <c r="B154" s="120"/>
      <c r="C154" s="120"/>
      <c r="D154" s="120"/>
      <c r="E154" s="120" t="s">
        <v>402</v>
      </c>
      <c r="F154" s="108"/>
      <c r="G154" s="83" t="s">
        <v>206</v>
      </c>
      <c r="H154" s="79"/>
      <c r="I154" s="81"/>
      <c r="J154" s="81">
        <v>375</v>
      </c>
      <c r="K154" s="81">
        <f t="shared" si="29"/>
        <v>0</v>
      </c>
      <c r="L154" s="2"/>
      <c r="M154" s="2"/>
    </row>
    <row r="155" spans="1:14">
      <c r="A155" s="3"/>
      <c r="B155" s="3"/>
      <c r="C155" s="3"/>
      <c r="D155" s="3"/>
      <c r="E155" s="3"/>
      <c r="F155" s="4"/>
      <c r="G155" s="173" t="s">
        <v>298</v>
      </c>
      <c r="H155" s="79"/>
      <c r="I155" s="80"/>
      <c r="J155" s="81">
        <v>435</v>
      </c>
      <c r="K155" s="94">
        <f t="shared" si="29"/>
        <v>0</v>
      </c>
      <c r="L155" s="2"/>
      <c r="M155" s="2"/>
    </row>
    <row r="156" spans="1:14">
      <c r="A156" s="3"/>
      <c r="B156" s="3"/>
      <c r="C156" s="3"/>
      <c r="D156" s="3"/>
      <c r="E156" s="3"/>
      <c r="F156" s="4"/>
      <c r="G156" s="95" t="s">
        <v>251</v>
      </c>
      <c r="H156" s="25"/>
      <c r="I156" s="54"/>
      <c r="J156" s="55">
        <v>211</v>
      </c>
      <c r="K156" s="55">
        <f t="shared" si="29"/>
        <v>0</v>
      </c>
      <c r="L156" s="2"/>
      <c r="M156" s="2"/>
    </row>
    <row r="157" spans="1:14">
      <c r="A157" s="3"/>
      <c r="B157" s="3"/>
      <c r="C157" s="3"/>
      <c r="D157" s="3"/>
      <c r="E157" s="6" t="s">
        <v>9</v>
      </c>
      <c r="F157" s="8">
        <f>SUM(F153:F156)</f>
        <v>0</v>
      </c>
      <c r="G157" s="6"/>
      <c r="H157" s="6"/>
      <c r="I157" s="5"/>
      <c r="J157" s="5"/>
      <c r="K157" s="7">
        <f>SUM(K153:K156)</f>
        <v>0</v>
      </c>
      <c r="L157" s="7" t="e">
        <f>K157/F157</f>
        <v>#DIV/0!</v>
      </c>
      <c r="M157" s="2"/>
    </row>
    <row r="158" spans="1:14">
      <c r="A158" s="3">
        <v>4331</v>
      </c>
      <c r="B158" s="120" t="s">
        <v>393</v>
      </c>
      <c r="C158" s="120" t="s">
        <v>305</v>
      </c>
      <c r="D158" s="120" t="s">
        <v>306</v>
      </c>
      <c r="E158" s="120" t="s">
        <v>408</v>
      </c>
      <c r="F158" s="87"/>
      <c r="G158" s="83" t="s">
        <v>206</v>
      </c>
      <c r="H158" s="79"/>
      <c r="I158" s="81"/>
      <c r="J158" s="81">
        <v>375</v>
      </c>
      <c r="K158" s="81">
        <f t="shared" ref="K158" si="30">I158*J158</f>
        <v>0</v>
      </c>
      <c r="L158" s="2"/>
      <c r="M158" s="2"/>
    </row>
    <row r="159" spans="1:14">
      <c r="A159" s="3"/>
      <c r="B159" s="3"/>
      <c r="C159" s="3"/>
      <c r="D159" s="3"/>
      <c r="E159" s="6" t="s">
        <v>9</v>
      </c>
      <c r="F159" s="8">
        <f>SUM(F158:F158)</f>
        <v>0</v>
      </c>
      <c r="G159" s="6"/>
      <c r="H159" s="6"/>
      <c r="I159" s="5"/>
      <c r="J159" s="5"/>
      <c r="K159" s="7">
        <f>SUM(K158:K158)</f>
        <v>0</v>
      </c>
      <c r="L159" s="7" t="e">
        <f>K159/F159</f>
        <v>#DIV/0!</v>
      </c>
      <c r="M159" s="2"/>
    </row>
    <row r="160" spans="1:14">
      <c r="A160" s="3">
        <v>4332</v>
      </c>
      <c r="B160" s="120" t="s">
        <v>400</v>
      </c>
      <c r="C160" s="120" t="s">
        <v>121</v>
      </c>
      <c r="D160" s="120" t="s">
        <v>113</v>
      </c>
      <c r="E160" s="120" t="s">
        <v>401</v>
      </c>
      <c r="F160" s="87"/>
      <c r="G160" s="83" t="s">
        <v>206</v>
      </c>
      <c r="H160" s="79"/>
      <c r="I160" s="81"/>
      <c r="J160" s="81">
        <v>375</v>
      </c>
      <c r="K160" s="81">
        <f t="shared" ref="K160:K161" si="31">I160*J160</f>
        <v>0</v>
      </c>
      <c r="L160" s="2"/>
      <c r="M160" s="2"/>
    </row>
    <row r="161" spans="1:13">
      <c r="A161" s="3"/>
      <c r="B161" s="3"/>
      <c r="C161" s="3"/>
      <c r="D161" s="3"/>
      <c r="E161" s="3"/>
      <c r="F161" s="4"/>
      <c r="G161" s="173" t="s">
        <v>298</v>
      </c>
      <c r="H161" s="79"/>
      <c r="I161" s="80"/>
      <c r="J161" s="81">
        <v>435</v>
      </c>
      <c r="K161" s="94">
        <f t="shared" si="31"/>
        <v>0</v>
      </c>
      <c r="L161" s="2"/>
      <c r="M161" s="2"/>
    </row>
    <row r="162" spans="1:13">
      <c r="A162" s="3"/>
      <c r="B162" s="3"/>
      <c r="C162" s="3"/>
      <c r="D162" s="3"/>
      <c r="E162" s="6" t="s">
        <v>9</v>
      </c>
      <c r="F162" s="8">
        <f>SUM(F160:F161)</f>
        <v>0</v>
      </c>
      <c r="G162" s="6"/>
      <c r="H162" s="6"/>
      <c r="I162" s="5"/>
      <c r="J162" s="5"/>
      <c r="K162" s="7">
        <f>SUM(K160:K161)</f>
        <v>0</v>
      </c>
      <c r="L162" s="119" t="e">
        <f>K162/F162</f>
        <v>#DIV/0!</v>
      </c>
      <c r="M162" s="2"/>
    </row>
    <row r="163" spans="1:13">
      <c r="A163" s="3">
        <v>5720</v>
      </c>
      <c r="B163" s="120" t="s">
        <v>208</v>
      </c>
      <c r="C163" s="120" t="s">
        <v>121</v>
      </c>
      <c r="D163" s="120" t="s">
        <v>122</v>
      </c>
      <c r="E163" s="120" t="s">
        <v>93</v>
      </c>
      <c r="F163" s="99"/>
      <c r="G163" s="120" t="s">
        <v>250</v>
      </c>
      <c r="H163" s="79"/>
      <c r="I163" s="80"/>
      <c r="J163" s="81">
        <v>351</v>
      </c>
      <c r="K163" s="81">
        <f t="shared" ref="K163:K165" si="32">I163*J163</f>
        <v>0</v>
      </c>
      <c r="L163" s="2"/>
      <c r="M163" s="2"/>
    </row>
    <row r="164" spans="1:13">
      <c r="A164" s="3"/>
      <c r="B164" s="120"/>
      <c r="C164" s="120"/>
      <c r="D164" s="120"/>
      <c r="E164" s="120" t="s">
        <v>284</v>
      </c>
      <c r="F164" s="22"/>
      <c r="G164" s="83" t="s">
        <v>206</v>
      </c>
      <c r="H164" s="79"/>
      <c r="I164" s="81"/>
      <c r="J164" s="81">
        <v>375</v>
      </c>
      <c r="K164" s="81">
        <f t="shared" si="32"/>
        <v>0</v>
      </c>
      <c r="L164" s="2"/>
      <c r="M164" s="2"/>
    </row>
    <row r="165" spans="1:13">
      <c r="A165" s="3"/>
      <c r="B165" s="3"/>
      <c r="C165" s="3"/>
      <c r="D165" s="3"/>
      <c r="E165" s="3"/>
      <c r="F165" s="4"/>
      <c r="G165" s="173" t="s">
        <v>298</v>
      </c>
      <c r="H165" s="79"/>
      <c r="I165" s="80"/>
      <c r="J165" s="81">
        <v>435</v>
      </c>
      <c r="K165" s="94">
        <f t="shared" si="32"/>
        <v>0</v>
      </c>
      <c r="L165" s="2"/>
      <c r="M165" s="2"/>
    </row>
    <row r="166" spans="1:13">
      <c r="A166" s="3"/>
      <c r="B166" s="3"/>
      <c r="C166" s="3"/>
      <c r="D166" s="3"/>
      <c r="E166" s="6" t="s">
        <v>9</v>
      </c>
      <c r="F166" s="8">
        <f>SUM(F163:F165)</f>
        <v>0</v>
      </c>
      <c r="G166" s="6"/>
      <c r="H166" s="6"/>
      <c r="I166" s="5"/>
      <c r="J166" s="5"/>
      <c r="K166" s="7">
        <f>SUM(K163:K165)</f>
        <v>0</v>
      </c>
      <c r="L166" s="119" t="e">
        <f>K166/F166</f>
        <v>#DIV/0!</v>
      </c>
      <c r="M166" s="2"/>
    </row>
    <row r="167" spans="1:13">
      <c r="A167" s="3">
        <v>5719</v>
      </c>
      <c r="B167" s="120" t="s">
        <v>382</v>
      </c>
      <c r="C167" s="120" t="s">
        <v>253</v>
      </c>
      <c r="D167" s="120" t="s">
        <v>254</v>
      </c>
      <c r="E167" s="120" t="s">
        <v>102</v>
      </c>
      <c r="F167" s="87"/>
      <c r="G167" s="95" t="s">
        <v>251</v>
      </c>
      <c r="H167" s="25"/>
      <c r="I167" s="54"/>
      <c r="J167" s="55">
        <v>211</v>
      </c>
      <c r="K167" s="55">
        <f t="shared" ref="K167" si="33">I167*J167</f>
        <v>0</v>
      </c>
      <c r="L167" s="2"/>
      <c r="M167" s="2"/>
    </row>
    <row r="168" spans="1:13">
      <c r="A168" s="3"/>
      <c r="B168" s="3"/>
      <c r="C168" s="3"/>
      <c r="D168" s="3"/>
      <c r="E168" s="3"/>
      <c r="F168" s="4"/>
      <c r="G168" s="83" t="s">
        <v>206</v>
      </c>
      <c r="H168" s="79"/>
      <c r="I168" s="81"/>
      <c r="J168" s="81">
        <v>375</v>
      </c>
      <c r="K168" s="81">
        <f t="shared" ref="K168:K169" si="34">I168*J168</f>
        <v>0</v>
      </c>
      <c r="L168" s="2"/>
      <c r="M168" s="2"/>
    </row>
    <row r="169" spans="1:13">
      <c r="A169" s="3"/>
      <c r="B169" s="3"/>
      <c r="C169" s="3"/>
      <c r="D169" s="3"/>
      <c r="E169" s="3"/>
      <c r="F169" s="4"/>
      <c r="G169" s="173" t="s">
        <v>298</v>
      </c>
      <c r="H169" s="79"/>
      <c r="I169" s="80"/>
      <c r="J169" s="81">
        <v>435</v>
      </c>
      <c r="K169" s="94">
        <f t="shared" si="34"/>
        <v>0</v>
      </c>
      <c r="L169" s="2"/>
      <c r="M169" s="2"/>
    </row>
    <row r="170" spans="1:13">
      <c r="A170" s="3"/>
      <c r="B170" s="3"/>
      <c r="C170" s="3"/>
      <c r="D170" s="3"/>
      <c r="E170" s="6" t="s">
        <v>9</v>
      </c>
      <c r="F170" s="8">
        <f>SUM(F167:F169)</f>
        <v>0</v>
      </c>
      <c r="G170" s="6"/>
      <c r="H170" s="6"/>
      <c r="I170" s="5"/>
      <c r="J170" s="5"/>
      <c r="K170" s="7">
        <f>SUM(K167:K169)</f>
        <v>0</v>
      </c>
      <c r="L170" s="119" t="e">
        <f>K170/F170</f>
        <v>#DIV/0!</v>
      </c>
      <c r="M170" s="2"/>
    </row>
    <row r="171" spans="1:13">
      <c r="A171" s="3">
        <v>5721</v>
      </c>
      <c r="B171" s="120" t="s">
        <v>382</v>
      </c>
      <c r="C171" s="120" t="s">
        <v>253</v>
      </c>
      <c r="D171" s="120" t="s">
        <v>254</v>
      </c>
      <c r="E171" s="120" t="s">
        <v>409</v>
      </c>
      <c r="F171" s="87"/>
      <c r="G171" s="95" t="s">
        <v>251</v>
      </c>
      <c r="H171" s="25"/>
      <c r="I171" s="54"/>
      <c r="J171" s="55">
        <v>211</v>
      </c>
      <c r="K171" s="55">
        <f t="shared" ref="K171:K173" si="35">I171*J171</f>
        <v>0</v>
      </c>
      <c r="L171" s="2"/>
      <c r="M171" s="2"/>
    </row>
    <row r="172" spans="1:13">
      <c r="A172" s="3"/>
      <c r="B172" s="3"/>
      <c r="C172" s="3"/>
      <c r="D172" s="3"/>
      <c r="E172" s="3"/>
      <c r="F172" s="4"/>
      <c r="G172" s="83" t="s">
        <v>206</v>
      </c>
      <c r="H172" s="79"/>
      <c r="I172" s="81"/>
      <c r="J172" s="81">
        <v>375</v>
      </c>
      <c r="K172" s="81">
        <f t="shared" si="35"/>
        <v>0</v>
      </c>
      <c r="L172" s="2"/>
      <c r="M172" s="2"/>
    </row>
    <row r="173" spans="1:13">
      <c r="A173" s="3"/>
      <c r="B173" s="3"/>
      <c r="C173" s="3"/>
      <c r="D173" s="3"/>
      <c r="E173" s="3"/>
      <c r="F173" s="4"/>
      <c r="G173" s="173" t="s">
        <v>298</v>
      </c>
      <c r="H173" s="79"/>
      <c r="I173" s="80"/>
      <c r="J173" s="81">
        <v>435</v>
      </c>
      <c r="K173" s="94">
        <f t="shared" si="35"/>
        <v>0</v>
      </c>
      <c r="L173" s="2"/>
      <c r="M173" s="2"/>
    </row>
    <row r="174" spans="1:13">
      <c r="A174" s="3"/>
      <c r="B174" s="3"/>
      <c r="C174" s="3"/>
      <c r="D174" s="3"/>
      <c r="E174" s="6" t="s">
        <v>9</v>
      </c>
      <c r="F174" s="8">
        <f>SUM(F171:F173)</f>
        <v>0</v>
      </c>
      <c r="G174" s="6"/>
      <c r="H174" s="6"/>
      <c r="I174" s="5"/>
      <c r="J174" s="5"/>
      <c r="K174" s="7">
        <f>SUM(K171:K173)</f>
        <v>0</v>
      </c>
      <c r="L174" s="119" t="e">
        <f>K174/F174</f>
        <v>#DIV/0!</v>
      </c>
      <c r="M174" s="2"/>
    </row>
    <row r="175" spans="1:13">
      <c r="A175" s="3">
        <v>5721</v>
      </c>
      <c r="B175" s="120" t="s">
        <v>382</v>
      </c>
      <c r="C175" s="120" t="s">
        <v>253</v>
      </c>
      <c r="D175" s="120" t="s">
        <v>254</v>
      </c>
      <c r="E175" s="120" t="s">
        <v>410</v>
      </c>
      <c r="F175" s="87"/>
      <c r="G175" s="95" t="s">
        <v>251</v>
      </c>
      <c r="H175" s="25"/>
      <c r="I175" s="54"/>
      <c r="J175" s="55">
        <v>211</v>
      </c>
      <c r="K175" s="55">
        <f t="shared" ref="K175:K177" si="36">I175*J175</f>
        <v>0</v>
      </c>
      <c r="L175" s="2"/>
      <c r="M175" s="2"/>
    </row>
    <row r="176" spans="1:13">
      <c r="A176" s="3"/>
      <c r="B176" s="3"/>
      <c r="C176" s="3"/>
      <c r="D176" s="3"/>
      <c r="E176" s="3"/>
      <c r="F176" s="4"/>
      <c r="G176" s="83" t="s">
        <v>206</v>
      </c>
      <c r="H176" s="79"/>
      <c r="I176" s="81"/>
      <c r="J176" s="81">
        <v>375</v>
      </c>
      <c r="K176" s="81">
        <f t="shared" si="36"/>
        <v>0</v>
      </c>
      <c r="L176" s="2"/>
      <c r="M176" s="2"/>
    </row>
    <row r="177" spans="1:14">
      <c r="A177" s="3"/>
      <c r="B177" s="3"/>
      <c r="C177" s="3"/>
      <c r="D177" s="3"/>
      <c r="E177" s="3"/>
      <c r="F177" s="4"/>
      <c r="G177" s="173" t="s">
        <v>298</v>
      </c>
      <c r="H177" s="79"/>
      <c r="I177" s="80"/>
      <c r="J177" s="81">
        <v>435</v>
      </c>
      <c r="K177" s="94">
        <f t="shared" si="36"/>
        <v>0</v>
      </c>
      <c r="L177" s="2"/>
      <c r="M177" s="2"/>
    </row>
    <row r="178" spans="1:14">
      <c r="A178" s="3"/>
      <c r="B178" s="3"/>
      <c r="C178" s="3"/>
      <c r="D178" s="3"/>
      <c r="E178" s="6" t="s">
        <v>9</v>
      </c>
      <c r="F178" s="8">
        <f>SUM(F175:F177)</f>
        <v>0</v>
      </c>
      <c r="G178" s="6"/>
      <c r="H178" s="6"/>
      <c r="I178" s="5"/>
      <c r="J178" s="5"/>
      <c r="K178" s="7">
        <f>SUM(K175:K177)</f>
        <v>0</v>
      </c>
      <c r="L178" s="7" t="e">
        <f>K178/F178</f>
        <v>#DIV/0!</v>
      </c>
      <c r="M178" s="2"/>
    </row>
    <row r="179" spans="1:14">
      <c r="D179" s="23" t="s">
        <v>30</v>
      </c>
      <c r="E179" s="23"/>
      <c r="F179" s="50">
        <f>F152+F157+F159+F162+F166+F170+F174+F178</f>
        <v>0</v>
      </c>
      <c r="G179" s="51"/>
      <c r="H179" s="51"/>
      <c r="I179" s="51"/>
      <c r="J179" s="51"/>
      <c r="K179" s="50">
        <f>K152+K157+K159+K162+K166+K170+K174+K178</f>
        <v>0</v>
      </c>
      <c r="L179" s="52" t="e">
        <f>K179/F179</f>
        <v>#DIV/0!</v>
      </c>
    </row>
    <row r="181" spans="1:14">
      <c r="B181" s="49" t="s">
        <v>63</v>
      </c>
      <c r="C181" s="49"/>
      <c r="D181" s="49" t="s">
        <v>64</v>
      </c>
      <c r="E181" s="825" t="s">
        <v>65</v>
      </c>
      <c r="F181" s="825"/>
      <c r="G181" s="69" t="s">
        <v>66</v>
      </c>
      <c r="H181" s="49"/>
      <c r="I181" s="69" t="s">
        <v>67</v>
      </c>
      <c r="J181" s="49"/>
      <c r="K181" s="825" t="s">
        <v>68</v>
      </c>
      <c r="L181" s="825"/>
    </row>
    <row r="183" spans="1:14">
      <c r="A183" s="1" t="s">
        <v>42</v>
      </c>
      <c r="B183" s="1"/>
      <c r="C183" s="1"/>
      <c r="D183" s="1"/>
      <c r="E183" s="1"/>
      <c r="K183" s="824" t="s">
        <v>423</v>
      </c>
      <c r="L183" s="824"/>
      <c r="M183" s="824"/>
    </row>
    <row r="184" spans="1:14">
      <c r="A184" s="6"/>
      <c r="B184" s="6"/>
      <c r="C184" s="6"/>
      <c r="D184" s="6"/>
      <c r="E184" s="6"/>
      <c r="F184" s="6"/>
      <c r="G184" s="6" t="s">
        <v>2</v>
      </c>
      <c r="H184" s="6" t="s">
        <v>15</v>
      </c>
      <c r="I184" s="6" t="s">
        <v>3</v>
      </c>
      <c r="J184" s="6" t="s">
        <v>4</v>
      </c>
      <c r="K184" s="6" t="s">
        <v>5</v>
      </c>
      <c r="L184" s="6" t="s">
        <v>12</v>
      </c>
      <c r="M184" s="6" t="s">
        <v>6</v>
      </c>
      <c r="N184" s="10"/>
    </row>
    <row r="185" spans="1:14">
      <c r="A185" s="3"/>
      <c r="B185" s="25"/>
      <c r="C185" s="25"/>
      <c r="D185" s="25"/>
      <c r="E185" s="3"/>
      <c r="F185" s="4"/>
      <c r="G185" s="25" t="s">
        <v>77</v>
      </c>
      <c r="H185" s="36"/>
      <c r="I185" s="39"/>
      <c r="J185" s="40">
        <v>220</v>
      </c>
      <c r="K185" s="40">
        <f t="shared" ref="K185:K196" si="37">I185*J185</f>
        <v>0</v>
      </c>
      <c r="L185" s="2"/>
      <c r="M185" s="2"/>
    </row>
    <row r="186" spans="1:14">
      <c r="A186" s="3"/>
      <c r="B186" s="3"/>
      <c r="C186" s="3"/>
      <c r="D186" s="3"/>
      <c r="E186" s="3"/>
      <c r="F186" s="4"/>
      <c r="G186" s="25" t="s">
        <v>78</v>
      </c>
      <c r="H186" s="36"/>
      <c r="I186" s="39"/>
      <c r="J186" s="40">
        <v>585</v>
      </c>
      <c r="K186" s="40">
        <f t="shared" si="37"/>
        <v>0</v>
      </c>
      <c r="L186" s="2"/>
      <c r="M186" s="2"/>
    </row>
    <row r="187" spans="1:14">
      <c r="A187" s="3"/>
      <c r="B187" s="3"/>
      <c r="C187" s="3"/>
      <c r="D187" s="3"/>
      <c r="E187" s="3"/>
      <c r="F187" s="4"/>
      <c r="G187" s="25" t="s">
        <v>81</v>
      </c>
      <c r="H187" s="36"/>
      <c r="I187" s="39"/>
      <c r="J187" s="40">
        <v>110</v>
      </c>
      <c r="K187" s="40">
        <f t="shared" si="37"/>
        <v>0</v>
      </c>
      <c r="L187" s="2"/>
      <c r="M187" s="2"/>
    </row>
    <row r="188" spans="1:14">
      <c r="A188" s="3"/>
      <c r="B188" s="3"/>
      <c r="C188" s="3"/>
      <c r="D188" s="3"/>
      <c r="E188" s="3"/>
      <c r="F188" s="4"/>
      <c r="G188" s="25" t="s">
        <v>82</v>
      </c>
      <c r="H188" s="36"/>
      <c r="I188" s="39"/>
      <c r="J188" s="40">
        <v>400</v>
      </c>
      <c r="K188" s="40">
        <f t="shared" si="37"/>
        <v>0</v>
      </c>
      <c r="L188" s="2"/>
      <c r="M188" s="2"/>
    </row>
    <row r="189" spans="1:14">
      <c r="A189" s="3"/>
      <c r="B189" s="3"/>
      <c r="C189" s="3"/>
      <c r="D189" s="3"/>
      <c r="E189" s="3"/>
      <c r="F189" s="4"/>
      <c r="G189" s="25" t="s">
        <v>45</v>
      </c>
      <c r="H189" s="36"/>
      <c r="I189" s="39"/>
      <c r="J189" s="40">
        <v>56</v>
      </c>
      <c r="K189" s="57">
        <f t="shared" si="37"/>
        <v>0</v>
      </c>
      <c r="L189" s="2"/>
      <c r="M189" s="2"/>
    </row>
    <row r="190" spans="1:14">
      <c r="A190" s="3"/>
      <c r="B190" s="3"/>
      <c r="C190" s="3"/>
      <c r="D190" s="3"/>
      <c r="E190" s="3"/>
      <c r="F190" s="4"/>
      <c r="G190" s="25" t="s">
        <v>28</v>
      </c>
      <c r="H190" s="36"/>
      <c r="I190" s="39"/>
      <c r="J190" s="40">
        <v>15.5</v>
      </c>
      <c r="K190" s="57">
        <f t="shared" si="37"/>
        <v>0</v>
      </c>
      <c r="L190" s="2"/>
      <c r="M190" s="2"/>
    </row>
    <row r="191" spans="1:14">
      <c r="A191" s="3"/>
      <c r="B191" s="3"/>
      <c r="C191" s="3"/>
      <c r="D191" s="3"/>
      <c r="E191" s="3"/>
      <c r="F191" s="4"/>
      <c r="G191" s="25" t="s">
        <v>83</v>
      </c>
      <c r="H191" s="36"/>
      <c r="I191" s="39"/>
      <c r="J191" s="40">
        <v>320</v>
      </c>
      <c r="K191" s="57">
        <f t="shared" si="37"/>
        <v>0</v>
      </c>
      <c r="L191" s="2"/>
      <c r="M191" s="2"/>
    </row>
    <row r="192" spans="1:14">
      <c r="A192" s="3"/>
      <c r="B192" s="3"/>
      <c r="C192" s="3"/>
      <c r="D192" s="3"/>
      <c r="E192" s="3"/>
      <c r="F192" s="4"/>
      <c r="G192" s="25" t="s">
        <v>84</v>
      </c>
      <c r="H192" s="36"/>
      <c r="I192" s="39"/>
      <c r="J192" s="40">
        <v>350</v>
      </c>
      <c r="K192" s="57">
        <f t="shared" si="37"/>
        <v>0</v>
      </c>
      <c r="L192" s="2"/>
      <c r="M192" s="2"/>
    </row>
    <row r="193" spans="1:13">
      <c r="A193" s="3"/>
      <c r="B193" s="3"/>
      <c r="C193" s="3"/>
      <c r="D193" s="3"/>
      <c r="E193" s="3"/>
      <c r="F193" s="4"/>
      <c r="G193" s="25" t="s">
        <v>89</v>
      </c>
      <c r="H193" s="36"/>
      <c r="I193" s="39"/>
      <c r="J193" s="40">
        <v>313</v>
      </c>
      <c r="K193" s="40">
        <f t="shared" si="37"/>
        <v>0</v>
      </c>
      <c r="L193" s="2"/>
      <c r="M193" s="2"/>
    </row>
    <row r="194" spans="1:13">
      <c r="A194" s="3"/>
      <c r="B194" s="3"/>
      <c r="C194" s="3"/>
      <c r="D194" s="3"/>
      <c r="E194" s="6"/>
      <c r="F194" s="8"/>
      <c r="G194" s="25" t="s">
        <v>85</v>
      </c>
      <c r="H194" s="25" t="s">
        <v>86</v>
      </c>
      <c r="I194" s="40"/>
      <c r="J194" s="40">
        <v>7000</v>
      </c>
      <c r="K194" s="40">
        <f t="shared" si="37"/>
        <v>0</v>
      </c>
      <c r="L194" s="2"/>
      <c r="M194" s="2"/>
    </row>
    <row r="195" spans="1:13">
      <c r="A195" s="3"/>
      <c r="B195" s="3"/>
      <c r="C195" s="3"/>
      <c r="D195" s="3"/>
      <c r="E195" s="3"/>
      <c r="F195" s="4"/>
      <c r="G195" s="25" t="s">
        <v>87</v>
      </c>
      <c r="H195" s="25" t="s">
        <v>86</v>
      </c>
      <c r="I195" s="40"/>
      <c r="J195" s="40">
        <v>3500</v>
      </c>
      <c r="K195" s="40">
        <f t="shared" si="37"/>
        <v>0</v>
      </c>
      <c r="L195" s="2"/>
      <c r="M195" s="2"/>
    </row>
    <row r="196" spans="1:13">
      <c r="A196" s="3"/>
      <c r="B196" s="3"/>
      <c r="C196" s="3"/>
      <c r="D196" s="3"/>
      <c r="E196" s="3"/>
      <c r="F196" s="4"/>
      <c r="G196" s="25" t="s">
        <v>88</v>
      </c>
      <c r="H196" s="25" t="s">
        <v>86</v>
      </c>
      <c r="I196" s="40"/>
      <c r="J196" s="40">
        <v>3500</v>
      </c>
      <c r="K196" s="40">
        <f t="shared" si="37"/>
        <v>0</v>
      </c>
      <c r="L196" s="2"/>
      <c r="M196" s="2"/>
    </row>
    <row r="197" spans="1:13">
      <c r="A197" s="3"/>
      <c r="B197" s="3"/>
      <c r="C197" s="3"/>
      <c r="D197" s="3"/>
      <c r="E197" s="6" t="s">
        <v>9</v>
      </c>
      <c r="F197" s="8">
        <f>SUM(F185:F196)</f>
        <v>0</v>
      </c>
      <c r="G197" s="6"/>
      <c r="H197" s="6"/>
      <c r="I197" s="5"/>
      <c r="J197" s="5"/>
      <c r="K197" s="7">
        <f>SUM(K185:K196)</f>
        <v>0</v>
      </c>
      <c r="L197" s="7" t="e">
        <f>K197/F197</f>
        <v>#DIV/0!</v>
      </c>
      <c r="M197" s="2"/>
    </row>
    <row r="198" spans="1:13">
      <c r="A198" s="3"/>
      <c r="B198" s="3"/>
      <c r="C198" s="3"/>
      <c r="D198" s="3"/>
      <c r="E198" s="3"/>
      <c r="F198" s="58"/>
      <c r="G198" s="56" t="s">
        <v>90</v>
      </c>
      <c r="H198" s="25"/>
      <c r="I198" s="54"/>
      <c r="J198" s="55">
        <v>745</v>
      </c>
      <c r="K198" s="55">
        <f t="shared" ref="K198:K202" si="38">I198*J198</f>
        <v>0</v>
      </c>
      <c r="L198" s="2"/>
      <c r="M198" s="2"/>
    </row>
    <row r="199" spans="1:13">
      <c r="A199" s="3"/>
      <c r="B199" s="3"/>
      <c r="C199" s="3"/>
      <c r="D199" s="3"/>
      <c r="E199" s="3"/>
      <c r="F199" s="4"/>
      <c r="G199" s="25" t="s">
        <v>91</v>
      </c>
      <c r="H199" s="36"/>
      <c r="I199" s="39"/>
      <c r="J199" s="40">
        <v>220</v>
      </c>
      <c r="K199" s="40">
        <f t="shared" si="38"/>
        <v>0</v>
      </c>
      <c r="L199" s="2"/>
      <c r="M199" s="2"/>
    </row>
    <row r="200" spans="1:13">
      <c r="A200" s="3"/>
      <c r="B200" s="3"/>
      <c r="C200" s="3"/>
      <c r="D200" s="3"/>
      <c r="E200" s="3"/>
      <c r="F200" s="4"/>
      <c r="G200" s="25" t="s">
        <v>78</v>
      </c>
      <c r="H200" s="36"/>
      <c r="I200" s="39"/>
      <c r="J200" s="40">
        <v>585</v>
      </c>
      <c r="K200" s="40">
        <f t="shared" si="38"/>
        <v>0</v>
      </c>
      <c r="L200" s="2"/>
      <c r="M200" s="2"/>
    </row>
    <row r="201" spans="1:13">
      <c r="A201" s="3"/>
      <c r="B201" s="3"/>
      <c r="C201" s="3"/>
      <c r="D201" s="3"/>
      <c r="E201" s="3"/>
      <c r="F201" s="4"/>
      <c r="G201" s="25" t="s">
        <v>92</v>
      </c>
      <c r="H201" s="36"/>
      <c r="I201" s="39"/>
      <c r="J201" s="40">
        <v>720</v>
      </c>
      <c r="K201" s="40">
        <f t="shared" si="38"/>
        <v>0</v>
      </c>
      <c r="L201" s="2"/>
      <c r="M201" s="2"/>
    </row>
    <row r="202" spans="1:13">
      <c r="A202" s="3"/>
      <c r="B202" s="3"/>
      <c r="C202" s="3"/>
      <c r="D202" s="3"/>
      <c r="E202" s="3"/>
      <c r="F202" s="4"/>
      <c r="G202" s="25" t="s">
        <v>80</v>
      </c>
      <c r="H202" s="36"/>
      <c r="I202" s="39"/>
      <c r="J202" s="40">
        <v>720</v>
      </c>
      <c r="K202" s="40">
        <f t="shared" si="38"/>
        <v>0</v>
      </c>
      <c r="L202" s="2"/>
      <c r="M202" s="2"/>
    </row>
    <row r="203" spans="1:13">
      <c r="A203" s="3"/>
      <c r="B203" s="3"/>
      <c r="C203" s="3"/>
      <c r="D203" s="3"/>
      <c r="E203" s="3"/>
      <c r="F203" s="4"/>
      <c r="G203" s="56" t="s">
        <v>59</v>
      </c>
      <c r="H203" s="36"/>
      <c r="I203" s="39"/>
      <c r="J203" s="40">
        <v>1080</v>
      </c>
      <c r="K203" s="40">
        <f>I203*J203</f>
        <v>0</v>
      </c>
      <c r="L203" s="2"/>
      <c r="M203" s="2"/>
    </row>
    <row r="204" spans="1:13">
      <c r="A204" s="3"/>
      <c r="B204" s="3"/>
      <c r="C204" s="3"/>
      <c r="D204" s="3"/>
      <c r="E204" s="3"/>
      <c r="F204" s="4"/>
      <c r="G204" s="25" t="s">
        <v>94</v>
      </c>
      <c r="H204" s="36"/>
      <c r="I204" s="39"/>
      <c r="J204" s="40">
        <v>421</v>
      </c>
      <c r="K204" s="40">
        <f t="shared" ref="K204:K214" si="39">I204*J204</f>
        <v>0</v>
      </c>
      <c r="L204" s="2"/>
      <c r="M204" s="2"/>
    </row>
    <row r="205" spans="1:13">
      <c r="A205" s="3"/>
      <c r="B205" s="3"/>
      <c r="C205" s="3"/>
      <c r="D205" s="3"/>
      <c r="E205" s="3"/>
      <c r="F205" s="4"/>
      <c r="G205" s="56" t="s">
        <v>79</v>
      </c>
      <c r="H205" s="36"/>
      <c r="I205" s="39"/>
      <c r="J205" s="40">
        <v>464</v>
      </c>
      <c r="K205" s="40">
        <f t="shared" si="39"/>
        <v>0</v>
      </c>
      <c r="L205" s="2"/>
      <c r="M205" s="59" t="s">
        <v>95</v>
      </c>
    </row>
    <row r="206" spans="1:13">
      <c r="A206" s="3"/>
      <c r="B206" s="3"/>
      <c r="C206" s="3"/>
      <c r="D206" s="3"/>
      <c r="E206" s="3"/>
      <c r="F206" s="4"/>
      <c r="G206" s="25" t="s">
        <v>81</v>
      </c>
      <c r="H206" s="36"/>
      <c r="I206" s="39"/>
      <c r="J206" s="40">
        <v>110</v>
      </c>
      <c r="K206" s="40">
        <f t="shared" si="39"/>
        <v>0</v>
      </c>
      <c r="L206" s="2"/>
      <c r="M206" s="2"/>
    </row>
    <row r="207" spans="1:13">
      <c r="A207" s="3"/>
      <c r="B207" s="3"/>
      <c r="C207" s="3"/>
      <c r="D207" s="3"/>
      <c r="E207" s="3"/>
      <c r="F207" s="4"/>
      <c r="G207" s="25" t="s">
        <v>82</v>
      </c>
      <c r="H207" s="36"/>
      <c r="I207" s="39"/>
      <c r="J207" s="40">
        <v>400</v>
      </c>
      <c r="K207" s="40">
        <f t="shared" si="39"/>
        <v>0</v>
      </c>
      <c r="L207" s="2"/>
      <c r="M207" s="2"/>
    </row>
    <row r="208" spans="1:13">
      <c r="A208" s="3"/>
      <c r="B208" s="3"/>
      <c r="C208" s="3"/>
      <c r="D208" s="3"/>
      <c r="E208" s="3"/>
      <c r="F208" s="4"/>
      <c r="G208" s="25" t="s">
        <v>45</v>
      </c>
      <c r="H208" s="36"/>
      <c r="I208" s="39"/>
      <c r="J208" s="40">
        <v>56</v>
      </c>
      <c r="K208" s="57">
        <f t="shared" si="39"/>
        <v>0</v>
      </c>
      <c r="L208" s="2"/>
      <c r="M208" s="2"/>
    </row>
    <row r="209" spans="1:13">
      <c r="A209" s="3"/>
      <c r="B209" s="3"/>
      <c r="C209" s="3"/>
      <c r="D209" s="3"/>
      <c r="E209" s="3"/>
      <c r="F209" s="4"/>
      <c r="G209" s="25" t="s">
        <v>28</v>
      </c>
      <c r="H209" s="36"/>
      <c r="I209" s="39"/>
      <c r="J209" s="40">
        <v>15.5</v>
      </c>
      <c r="K209" s="57">
        <f t="shared" si="39"/>
        <v>0</v>
      </c>
      <c r="L209" s="2"/>
      <c r="M209" s="2"/>
    </row>
    <row r="210" spans="1:13">
      <c r="A210" s="3"/>
      <c r="B210" s="3"/>
      <c r="C210" s="3"/>
      <c r="D210" s="3"/>
      <c r="E210" s="3"/>
      <c r="F210" s="4"/>
      <c r="G210" s="25" t="s">
        <v>83</v>
      </c>
      <c r="H210" s="36"/>
      <c r="I210" s="39"/>
      <c r="J210" s="40">
        <v>320</v>
      </c>
      <c r="K210" s="57">
        <f t="shared" si="39"/>
        <v>0</v>
      </c>
      <c r="L210" s="2"/>
      <c r="M210" s="2"/>
    </row>
    <row r="211" spans="1:13">
      <c r="A211" s="3"/>
      <c r="B211" s="3"/>
      <c r="C211" s="3"/>
      <c r="D211" s="3"/>
      <c r="E211" s="3"/>
      <c r="F211" s="4"/>
      <c r="G211" s="25" t="s">
        <v>84</v>
      </c>
      <c r="H211" s="36"/>
      <c r="I211" s="39"/>
      <c r="J211" s="40">
        <v>350</v>
      </c>
      <c r="K211" s="57">
        <f t="shared" si="39"/>
        <v>0</v>
      </c>
      <c r="L211" s="2"/>
      <c r="M211" s="2"/>
    </row>
    <row r="212" spans="1:13">
      <c r="A212" s="3"/>
      <c r="B212" s="3"/>
      <c r="C212" s="3"/>
      <c r="D212" s="3"/>
      <c r="E212" s="3"/>
      <c r="F212" s="4"/>
      <c r="G212" s="25" t="s">
        <v>85</v>
      </c>
      <c r="H212" s="25" t="s">
        <v>86</v>
      </c>
      <c r="I212" s="40"/>
      <c r="J212" s="40">
        <v>7000</v>
      </c>
      <c r="K212" s="40">
        <f t="shared" si="39"/>
        <v>0</v>
      </c>
      <c r="L212" s="2"/>
      <c r="M212" s="2"/>
    </row>
    <row r="213" spans="1:13">
      <c r="A213" s="3"/>
      <c r="B213" s="3"/>
      <c r="C213" s="3"/>
      <c r="D213" s="3"/>
      <c r="E213" s="3"/>
      <c r="F213" s="4"/>
      <c r="G213" s="25" t="s">
        <v>87</v>
      </c>
      <c r="H213" s="25" t="s">
        <v>86</v>
      </c>
      <c r="I213" s="40"/>
      <c r="J213" s="40">
        <v>3500</v>
      </c>
      <c r="K213" s="40">
        <f t="shared" si="39"/>
        <v>0</v>
      </c>
      <c r="L213" s="2"/>
      <c r="M213" s="2"/>
    </row>
    <row r="214" spans="1:13">
      <c r="A214" s="3"/>
      <c r="B214" s="3"/>
      <c r="C214" s="3"/>
      <c r="D214" s="3"/>
      <c r="E214" s="3"/>
      <c r="F214" s="4"/>
      <c r="G214" s="25" t="s">
        <v>88</v>
      </c>
      <c r="H214" s="25" t="s">
        <v>86</v>
      </c>
      <c r="I214" s="40"/>
      <c r="J214" s="40">
        <v>3500</v>
      </c>
      <c r="K214" s="40">
        <f t="shared" si="39"/>
        <v>0</v>
      </c>
      <c r="L214" s="2"/>
      <c r="M214" s="2"/>
    </row>
    <row r="215" spans="1:13">
      <c r="A215" s="3"/>
      <c r="B215" s="3"/>
      <c r="C215" s="3"/>
      <c r="D215" s="3"/>
      <c r="E215" s="6" t="s">
        <v>9</v>
      </c>
      <c r="F215" s="8">
        <f>SUM(F198:F214)</f>
        <v>0</v>
      </c>
      <c r="G215" s="6"/>
      <c r="H215" s="6"/>
      <c r="I215" s="5"/>
      <c r="J215" s="5"/>
      <c r="K215" s="7">
        <f>SUM(K198:K214)</f>
        <v>0</v>
      </c>
      <c r="L215" s="60" t="e">
        <f>K215/F215</f>
        <v>#DIV/0!</v>
      </c>
      <c r="M215" s="2"/>
    </row>
    <row r="216" spans="1:13">
      <c r="D216" s="23" t="s">
        <v>30</v>
      </c>
      <c r="E216" s="23"/>
      <c r="F216" s="50">
        <f>F197+F215</f>
        <v>0</v>
      </c>
      <c r="G216" s="51"/>
      <c r="H216" s="51"/>
      <c r="I216" s="51"/>
      <c r="J216" s="51"/>
      <c r="K216" s="50">
        <f>K197+K215</f>
        <v>0</v>
      </c>
      <c r="L216" s="52" t="e">
        <f>K216/F216</f>
        <v>#DIV/0!</v>
      </c>
    </row>
    <row r="217" spans="1:13" s="71" customFormat="1" ht="15" customHeight="1"/>
    <row r="218" spans="1:13" ht="15" customHeight="1"/>
    <row r="219" spans="1:13" ht="15" customHeight="1">
      <c r="B219" s="28"/>
      <c r="C219" s="28"/>
      <c r="D219" s="133" t="s">
        <v>1009</v>
      </c>
      <c r="E219" s="405">
        <f>F140+F216</f>
        <v>0</v>
      </c>
      <c r="F219" s="133"/>
      <c r="G219" s="134">
        <f>K35+K51+K76+K81+K140+K159+K171+K216</f>
        <v>0</v>
      </c>
      <c r="H219" s="135"/>
      <c r="I219" s="135"/>
      <c r="J219" s="135"/>
      <c r="K219" s="135"/>
      <c r="L219" s="134" t="e">
        <f>G219/E219</f>
        <v>#DIV/0!</v>
      </c>
    </row>
    <row r="220" spans="1:13" ht="15" customHeight="1">
      <c r="B220" s="28"/>
      <c r="C220" s="28"/>
      <c r="D220" s="109" t="s">
        <v>855</v>
      </c>
      <c r="E220" s="406"/>
      <c r="F220" s="109"/>
      <c r="G220" s="359">
        <f>K199</f>
        <v>0</v>
      </c>
      <c r="H220" s="370"/>
      <c r="I220" s="359">
        <f>'01'!G170+'02'!G217+'03'!G310+'04'!G223</f>
        <v>0</v>
      </c>
      <c r="J220" s="416">
        <f>G220+M233</f>
        <v>0</v>
      </c>
      <c r="K220" s="360"/>
      <c r="L220" s="396"/>
    </row>
    <row r="221" spans="1:13" ht="15" customHeight="1">
      <c r="B221" s="28"/>
      <c r="C221" s="28"/>
      <c r="D221" s="323" t="s">
        <v>854</v>
      </c>
      <c r="E221" s="361"/>
      <c r="F221" s="323"/>
      <c r="G221" s="397">
        <f>G219-G220</f>
        <v>0</v>
      </c>
      <c r="H221" s="398"/>
      <c r="I221" s="399">
        <f>'01'!G171+'02'!G218+'03'!G311+'04'!G224</f>
        <v>0</v>
      </c>
      <c r="J221" s="400"/>
      <c r="K221" s="400"/>
      <c r="L221" s="401"/>
    </row>
    <row r="222" spans="1:13" ht="15" customHeight="1">
      <c r="B222" s="28"/>
      <c r="C222" s="28"/>
      <c r="D222" s="109" t="s">
        <v>853</v>
      </c>
      <c r="E222" s="407"/>
      <c r="F222" s="109"/>
      <c r="G222" s="410">
        <f>SUM(G220:G221)</f>
        <v>0</v>
      </c>
      <c r="H222" s="402"/>
      <c r="I222" s="403">
        <f>'01'!G169+'02'!G216+'03'!G309+'04'!G222</f>
        <v>0</v>
      </c>
      <c r="J222" s="402"/>
      <c r="K222" s="402"/>
      <c r="L222" s="404" t="e">
        <f>G222/E219</f>
        <v>#DIV/0!</v>
      </c>
    </row>
    <row r="223" spans="1:13" ht="15" customHeight="1">
      <c r="B223" s="28"/>
      <c r="C223" s="28"/>
      <c r="D223" s="395" t="s">
        <v>906</v>
      </c>
      <c r="E223" s="408"/>
      <c r="F223" s="109"/>
      <c r="G223" s="409">
        <f>M233</f>
        <v>0</v>
      </c>
      <c r="H223" s="392"/>
      <c r="I223" s="391"/>
      <c r="J223" s="391"/>
      <c r="K223" s="393"/>
    </row>
    <row r="224" spans="1:13" ht="15" customHeight="1">
      <c r="B224" s="28"/>
      <c r="C224" s="28"/>
      <c r="D224" s="29"/>
      <c r="E224" s="29"/>
      <c r="F224" s="29"/>
      <c r="G224" s="29"/>
      <c r="H224" s="30"/>
      <c r="I224" s="29"/>
      <c r="J224" s="29"/>
      <c r="K224" s="29"/>
      <c r="L224" s="29"/>
    </row>
    <row r="225" spans="1:13" ht="15" customHeight="1">
      <c r="B225" s="28"/>
      <c r="C225" s="28"/>
      <c r="D225" s="829" t="s">
        <v>852</v>
      </c>
      <c r="E225" s="829"/>
      <c r="F225" s="357">
        <f>G245</f>
        <v>0</v>
      </c>
      <c r="G225" s="29"/>
      <c r="H225" s="500" t="s">
        <v>908</v>
      </c>
      <c r="I225" s="830" t="s">
        <v>199</v>
      </c>
      <c r="J225" s="831"/>
      <c r="K225" s="80"/>
      <c r="L225" s="81">
        <v>530</v>
      </c>
      <c r="M225" s="81">
        <f t="shared" ref="M225:M230" si="40">K225*L225</f>
        <v>0</v>
      </c>
    </row>
    <row r="226" spans="1:13" ht="15" customHeight="1">
      <c r="B226" s="28"/>
      <c r="C226" s="28"/>
      <c r="D226" s="829" t="s">
        <v>835</v>
      </c>
      <c r="E226" s="829"/>
      <c r="F226" s="357">
        <f>G231+G232</f>
        <v>0</v>
      </c>
      <c r="G226" s="29"/>
      <c r="H226" s="500" t="s">
        <v>909</v>
      </c>
      <c r="I226" s="830" t="s">
        <v>196</v>
      </c>
      <c r="J226" s="831"/>
      <c r="K226" s="80"/>
      <c r="L226" s="81">
        <v>888</v>
      </c>
      <c r="M226" s="81">
        <f t="shared" si="40"/>
        <v>0</v>
      </c>
    </row>
    <row r="227" spans="1:13" ht="15" customHeight="1">
      <c r="B227" s="28"/>
      <c r="C227" s="28"/>
      <c r="D227" s="829" t="s">
        <v>836</v>
      </c>
      <c r="E227" s="829"/>
      <c r="F227" s="357">
        <f>SUM(F225:F226)</f>
        <v>0</v>
      </c>
      <c r="G227" s="29"/>
      <c r="H227" s="500" t="s">
        <v>910</v>
      </c>
      <c r="I227" s="830" t="s">
        <v>192</v>
      </c>
      <c r="J227" s="831"/>
      <c r="K227" s="80"/>
      <c r="L227" s="81">
        <v>1126</v>
      </c>
      <c r="M227" s="81">
        <f t="shared" si="40"/>
        <v>0</v>
      </c>
    </row>
    <row r="228" spans="1:13" ht="15" customHeight="1">
      <c r="B228" s="28"/>
      <c r="C228" s="28"/>
      <c r="D228" s="799" t="s">
        <v>847</v>
      </c>
      <c r="E228" s="799"/>
      <c r="F228" s="357">
        <f>F225-G221</f>
        <v>0</v>
      </c>
      <c r="G228" s="29"/>
      <c r="H228" s="500" t="s">
        <v>908</v>
      </c>
      <c r="I228" s="832" t="s">
        <v>460</v>
      </c>
      <c r="J228" s="833"/>
      <c r="K228" s="80"/>
      <c r="L228" s="81">
        <v>920</v>
      </c>
      <c r="M228" s="81">
        <f t="shared" si="40"/>
        <v>0</v>
      </c>
    </row>
    <row r="229" spans="1:13" ht="15" customHeight="1">
      <c r="B229" s="28"/>
      <c r="C229" s="28"/>
      <c r="D229" s="29"/>
      <c r="E229" s="29"/>
      <c r="F229" s="29"/>
      <c r="G229" s="29"/>
      <c r="H229" s="500" t="s">
        <v>912</v>
      </c>
      <c r="I229" s="834" t="s">
        <v>315</v>
      </c>
      <c r="J229" s="835"/>
      <c r="K229" s="80"/>
      <c r="L229" s="81">
        <v>2184</v>
      </c>
      <c r="M229" s="81">
        <f t="shared" si="40"/>
        <v>0</v>
      </c>
    </row>
    <row r="230" spans="1:13" ht="15" customHeight="1">
      <c r="B230" s="836" t="s">
        <v>833</v>
      </c>
      <c r="C230" s="837"/>
      <c r="D230" s="805" t="s">
        <v>844</v>
      </c>
      <c r="E230" s="805" t="s">
        <v>845</v>
      </c>
      <c r="F230" s="805" t="s">
        <v>846</v>
      </c>
      <c r="G230" s="805" t="s">
        <v>5</v>
      </c>
      <c r="H230" s="500" t="s">
        <v>911</v>
      </c>
      <c r="I230" s="830" t="s">
        <v>286</v>
      </c>
      <c r="J230" s="831"/>
      <c r="K230" s="80"/>
      <c r="L230" s="81">
        <v>2065</v>
      </c>
      <c r="M230" s="81">
        <f t="shared" si="40"/>
        <v>0</v>
      </c>
    </row>
    <row r="231" spans="1:13" ht="15" customHeight="1">
      <c r="B231" s="28"/>
      <c r="C231" s="28"/>
      <c r="D231" s="805" t="s">
        <v>837</v>
      </c>
      <c r="E231" s="109">
        <v>15.5</v>
      </c>
      <c r="F231" s="122"/>
      <c r="G231" s="357">
        <f>F231*E231</f>
        <v>0</v>
      </c>
      <c r="H231" s="500" t="s">
        <v>909</v>
      </c>
      <c r="I231" s="838"/>
      <c r="J231" s="839"/>
      <c r="K231" s="2"/>
      <c r="L231" s="2"/>
      <c r="M231" s="388"/>
    </row>
    <row r="232" spans="1:13" ht="15" customHeight="1">
      <c r="B232" s="28"/>
      <c r="C232" s="28"/>
      <c r="D232" s="805" t="s">
        <v>1062</v>
      </c>
      <c r="E232" s="109">
        <v>34</v>
      </c>
      <c r="F232" s="122"/>
      <c r="G232" s="329">
        <f t="shared" ref="G232" si="41">F232*E232</f>
        <v>0</v>
      </c>
      <c r="H232" s="500" t="s">
        <v>911</v>
      </c>
      <c r="I232" s="841"/>
      <c r="J232" s="842"/>
      <c r="K232" s="394"/>
      <c r="L232" s="394"/>
      <c r="M232" s="2"/>
    </row>
    <row r="233" spans="1:13" ht="15" customHeight="1">
      <c r="A233" s="68"/>
      <c r="B233" s="29"/>
      <c r="C233" s="29"/>
      <c r="D233" s="322" t="s">
        <v>843</v>
      </c>
      <c r="E233" s="317"/>
      <c r="F233" s="492">
        <f>SUM(F231:F232)</f>
        <v>0</v>
      </c>
      <c r="G233" s="440">
        <f>SUM(G231:G232)</f>
        <v>0</v>
      </c>
      <c r="H233" s="29"/>
      <c r="I233" s="838" t="s">
        <v>906</v>
      </c>
      <c r="J233" s="839"/>
      <c r="K233" s="147">
        <f>SUM(K225:K232)</f>
        <v>0</v>
      </c>
      <c r="L233" s="2"/>
      <c r="M233" s="388">
        <f>SUM(M225:M232)</f>
        <v>0</v>
      </c>
    </row>
    <row r="234" spans="1:13" ht="15" customHeight="1">
      <c r="B234" s="28"/>
      <c r="C234" s="28"/>
      <c r="D234" s="805" t="s">
        <v>1070</v>
      </c>
      <c r="E234" s="109">
        <v>227</v>
      </c>
      <c r="F234" s="122"/>
      <c r="G234" s="357">
        <f t="shared" ref="G234:G244" si="42">F234*E234</f>
        <v>0</v>
      </c>
      <c r="H234" s="29"/>
      <c r="I234" s="29"/>
      <c r="J234" s="29"/>
      <c r="K234" s="29"/>
      <c r="L234" s="29"/>
      <c r="M234" s="263">
        <f>G220+M233</f>
        <v>0</v>
      </c>
    </row>
    <row r="235" spans="1:13" ht="15" customHeight="1">
      <c r="B235" s="28"/>
      <c r="C235" s="28"/>
      <c r="D235" s="805" t="s">
        <v>1065</v>
      </c>
      <c r="E235" s="389">
        <v>165</v>
      </c>
      <c r="F235" s="122"/>
      <c r="G235" s="357">
        <f t="shared" si="42"/>
        <v>0</v>
      </c>
      <c r="H235" s="29"/>
      <c r="I235" s="29"/>
      <c r="J235" s="29"/>
      <c r="K235" s="29"/>
      <c r="L235" s="29"/>
    </row>
    <row r="236" spans="1:13" ht="15" customHeight="1">
      <c r="B236" s="28"/>
      <c r="C236" s="28"/>
      <c r="D236" s="807" t="s">
        <v>1066</v>
      </c>
      <c r="E236" s="389">
        <v>165</v>
      </c>
      <c r="F236" s="122"/>
      <c r="G236" s="357">
        <f t="shared" si="42"/>
        <v>0</v>
      </c>
      <c r="H236" s="29"/>
      <c r="I236" s="29"/>
      <c r="J236" s="29"/>
      <c r="K236" s="29"/>
      <c r="L236" s="29"/>
    </row>
    <row r="237" spans="1:13" ht="15" customHeight="1">
      <c r="B237" s="28"/>
      <c r="C237" s="28"/>
      <c r="D237" s="805" t="s">
        <v>1067</v>
      </c>
      <c r="E237" s="389">
        <v>416</v>
      </c>
      <c r="F237" s="122"/>
      <c r="G237" s="357">
        <f t="shared" si="42"/>
        <v>0</v>
      </c>
      <c r="H237" s="29"/>
      <c r="I237" s="29"/>
      <c r="J237" s="29"/>
      <c r="K237" s="29"/>
      <c r="L237" s="29"/>
    </row>
    <row r="238" spans="1:13" ht="15" customHeight="1">
      <c r="B238" s="28"/>
      <c r="C238" s="28"/>
      <c r="D238" s="805" t="s">
        <v>1241</v>
      </c>
      <c r="E238" s="389">
        <v>46</v>
      </c>
      <c r="F238" s="122"/>
      <c r="G238" s="357">
        <f t="shared" si="42"/>
        <v>0</v>
      </c>
      <c r="H238" s="28"/>
      <c r="I238" s="28"/>
      <c r="J238" s="28"/>
      <c r="K238" s="28"/>
      <c r="L238" s="28"/>
    </row>
    <row r="239" spans="1:13" ht="15" customHeight="1">
      <c r="B239" s="28"/>
      <c r="C239" s="28"/>
      <c r="D239" s="805" t="s">
        <v>1242</v>
      </c>
      <c r="E239" s="109">
        <v>22</v>
      </c>
      <c r="F239" s="122"/>
      <c r="G239" s="357">
        <f t="shared" si="42"/>
        <v>0</v>
      </c>
    </row>
    <row r="240" spans="1:13" ht="15" customHeight="1">
      <c r="B240" s="28"/>
      <c r="C240" s="28"/>
      <c r="D240" s="805" t="s">
        <v>1062</v>
      </c>
      <c r="E240" s="109">
        <v>34</v>
      </c>
      <c r="F240" s="122"/>
      <c r="G240" s="357">
        <f t="shared" si="42"/>
        <v>0</v>
      </c>
    </row>
    <row r="241" spans="1:13" ht="15" customHeight="1">
      <c r="B241" s="28"/>
      <c r="C241" s="28"/>
      <c r="D241" s="805" t="s">
        <v>24</v>
      </c>
      <c r="E241" s="109">
        <v>74</v>
      </c>
      <c r="F241" s="122"/>
      <c r="G241" s="357">
        <f t="shared" si="42"/>
        <v>0</v>
      </c>
    </row>
    <row r="242" spans="1:13" ht="15" customHeight="1">
      <c r="B242" s="28"/>
      <c r="C242" s="28"/>
      <c r="D242" s="534" t="s">
        <v>185</v>
      </c>
      <c r="E242" s="109">
        <v>490</v>
      </c>
      <c r="F242" s="122"/>
      <c r="G242" s="357">
        <f t="shared" si="42"/>
        <v>0</v>
      </c>
    </row>
    <row r="243" spans="1:13" ht="15" customHeight="1">
      <c r="D243" s="805" t="s">
        <v>184</v>
      </c>
      <c r="E243" s="109">
        <v>336</v>
      </c>
      <c r="F243" s="122"/>
      <c r="G243" s="357">
        <f t="shared" si="42"/>
        <v>0</v>
      </c>
    </row>
    <row r="244" spans="1:13" ht="15" customHeight="1">
      <c r="D244" s="805" t="s">
        <v>839</v>
      </c>
      <c r="E244" s="109">
        <v>120</v>
      </c>
      <c r="F244" s="122"/>
      <c r="G244" s="357">
        <f t="shared" si="42"/>
        <v>0</v>
      </c>
    </row>
    <row r="245" spans="1:13" ht="15" customHeight="1">
      <c r="D245" s="331" t="s">
        <v>843</v>
      </c>
      <c r="E245" s="109"/>
      <c r="F245" s="122">
        <f>SUM(F234:F244)</f>
        <v>0</v>
      </c>
      <c r="G245" s="357">
        <f>SUM(G234:G244)</f>
        <v>0</v>
      </c>
    </row>
    <row r="246" spans="1:13" ht="15" customHeight="1">
      <c r="D246" s="322" t="s">
        <v>969</v>
      </c>
      <c r="E246" s="317"/>
      <c r="F246" s="492">
        <f>F233+F245</f>
        <v>0</v>
      </c>
      <c r="G246" s="440">
        <f>G233+G245</f>
        <v>0</v>
      </c>
    </row>
    <row r="247" spans="1:13" ht="15" customHeight="1"/>
    <row r="248" spans="1:13" ht="15" customHeight="1"/>
    <row r="249" spans="1:13" ht="15" customHeight="1"/>
    <row r="250" spans="1:13" ht="15" customHeight="1"/>
    <row r="251" spans="1:13" ht="15" customHeight="1"/>
    <row r="252" spans="1:13" ht="15" customHeight="1"/>
    <row r="253" spans="1:13" ht="15" customHeight="1"/>
    <row r="254" spans="1:13" ht="15" customHeight="1"/>
    <row r="255" spans="1:13" ht="15" customHeight="1"/>
    <row r="256" spans="1:13" s="64" customFormat="1" ht="15" customHeight="1">
      <c r="A256" s="840" t="s">
        <v>240</v>
      </c>
      <c r="B256" s="840"/>
      <c r="C256" s="840" t="s">
        <v>765</v>
      </c>
      <c r="D256" s="840"/>
      <c r="E256" s="840" t="s">
        <v>764</v>
      </c>
      <c r="F256" s="840"/>
      <c r="G256" s="380" t="s">
        <v>66</v>
      </c>
      <c r="H256" s="840" t="s">
        <v>411</v>
      </c>
      <c r="I256" s="840"/>
      <c r="J256" s="840"/>
      <c r="K256" s="840" t="s">
        <v>68</v>
      </c>
      <c r="L256" s="840"/>
      <c r="M256" s="840"/>
    </row>
  </sheetData>
  <mergeCells count="31">
    <mergeCell ref="K256:M256"/>
    <mergeCell ref="I232:J232"/>
    <mergeCell ref="I233:J233"/>
    <mergeCell ref="A256:B256"/>
    <mergeCell ref="C256:D256"/>
    <mergeCell ref="E256:F256"/>
    <mergeCell ref="H256:J256"/>
    <mergeCell ref="I228:J228"/>
    <mergeCell ref="I229:J229"/>
    <mergeCell ref="B230:C230"/>
    <mergeCell ref="I230:J230"/>
    <mergeCell ref="I231:J231"/>
    <mergeCell ref="D225:E225"/>
    <mergeCell ref="D226:E226"/>
    <mergeCell ref="I225:J225"/>
    <mergeCell ref="I226:J226"/>
    <mergeCell ref="D227:E227"/>
    <mergeCell ref="I227:J227"/>
    <mergeCell ref="K24:M24"/>
    <mergeCell ref="A1:N1"/>
    <mergeCell ref="A2:N2"/>
    <mergeCell ref="A3:N3"/>
    <mergeCell ref="K4:M4"/>
    <mergeCell ref="K14:M14"/>
    <mergeCell ref="K183:M183"/>
    <mergeCell ref="E181:F181"/>
    <mergeCell ref="K181:L181"/>
    <mergeCell ref="K49:M49"/>
    <mergeCell ref="K56:M56"/>
    <mergeCell ref="K115:M115"/>
    <mergeCell ref="K146:M146"/>
  </mergeCells>
  <pageMargins left="0.7" right="0.7" top="0.75" bottom="0.75" header="0.3" footer="0.3"/>
  <pageSetup scale="7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186"/>
  <sheetViews>
    <sheetView topLeftCell="A139" workbookViewId="0">
      <selection activeCell="E150" sqref="E150"/>
    </sheetView>
  </sheetViews>
  <sheetFormatPr defaultRowHeight="15"/>
  <cols>
    <col min="2" max="2" width="13.42578125" bestFit="1" customWidth="1"/>
    <col min="3" max="3" width="12.5703125" bestFit="1" customWidth="1"/>
    <col min="4" max="4" width="19.5703125" customWidth="1"/>
    <col min="5" max="5" width="12.7109375" bestFit="1" customWidth="1"/>
    <col min="6" max="6" width="10.5703125" bestFit="1" customWidth="1"/>
    <col min="7" max="7" width="24.42578125" bestFit="1" customWidth="1"/>
    <col min="8" max="8" width="6.42578125" bestFit="1" customWidth="1"/>
    <col min="9" max="9" width="10.5703125" bestFit="1" customWidth="1"/>
    <col min="10" max="10" width="9.5703125" bestFit="1" customWidth="1"/>
    <col min="11" max="11" width="11.5703125" bestFit="1" customWidth="1"/>
    <col min="12" max="12" width="9.42578125" customWidth="1"/>
    <col min="13" max="13" width="11.85546875" bestFit="1" customWidth="1"/>
    <col min="14" max="14" width="11.42578125" customWidth="1"/>
    <col min="15" max="15" width="10.5703125" bestFit="1" customWidth="1"/>
  </cols>
  <sheetData>
    <row r="1" spans="1:14" ht="23.25" customHeight="1">
      <c r="A1" s="851" t="s">
        <v>146</v>
      </c>
      <c r="B1" s="851"/>
      <c r="C1" s="851"/>
      <c r="D1" s="851"/>
      <c r="E1" s="851"/>
      <c r="F1" s="851"/>
      <c r="G1" s="851"/>
      <c r="H1" s="851"/>
      <c r="I1" s="851"/>
      <c r="J1" s="851"/>
      <c r="K1" s="851"/>
      <c r="L1" s="851"/>
      <c r="M1" s="851"/>
      <c r="N1" s="851"/>
    </row>
    <row r="2" spans="1:14">
      <c r="A2" s="852" t="s">
        <v>147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</row>
    <row r="3" spans="1:14" s="9" customFormat="1">
      <c r="A3" s="853" t="s">
        <v>148</v>
      </c>
      <c r="B3" s="853"/>
      <c r="C3" s="853"/>
      <c r="D3" s="853"/>
      <c r="E3" s="853"/>
      <c r="F3" s="853"/>
      <c r="G3" s="853"/>
      <c r="H3" s="853"/>
      <c r="I3" s="853"/>
      <c r="J3" s="853"/>
      <c r="K3" s="853"/>
      <c r="L3" s="853"/>
      <c r="M3" s="853"/>
      <c r="N3" s="853"/>
    </row>
    <row r="4" spans="1:14">
      <c r="A4" s="617" t="s">
        <v>21</v>
      </c>
      <c r="B4" s="617"/>
      <c r="C4" s="617"/>
      <c r="D4" s="617"/>
      <c r="E4" s="617"/>
      <c r="F4" s="618"/>
      <c r="G4" s="618"/>
      <c r="H4" s="618"/>
      <c r="I4" s="618"/>
      <c r="J4" s="618"/>
      <c r="K4" s="849" t="s">
        <v>1212</v>
      </c>
      <c r="L4" s="849"/>
      <c r="M4" s="849"/>
      <c r="N4" s="618"/>
    </row>
    <row r="5" spans="1:14">
      <c r="A5" s="647" t="s">
        <v>0</v>
      </c>
      <c r="B5" s="647" t="s">
        <v>7</v>
      </c>
      <c r="C5" s="647" t="s">
        <v>13</v>
      </c>
      <c r="D5" s="647" t="s">
        <v>14</v>
      </c>
      <c r="E5" s="647" t="s">
        <v>8</v>
      </c>
      <c r="F5" s="647" t="s">
        <v>1</v>
      </c>
      <c r="G5" s="647" t="s">
        <v>2</v>
      </c>
      <c r="H5" s="647" t="s">
        <v>15</v>
      </c>
      <c r="I5" s="647" t="s">
        <v>3</v>
      </c>
      <c r="J5" s="647" t="s">
        <v>4</v>
      </c>
      <c r="K5" s="647" t="s">
        <v>5</v>
      </c>
      <c r="L5" s="647" t="s">
        <v>12</v>
      </c>
      <c r="M5" s="647" t="s">
        <v>6</v>
      </c>
      <c r="N5" s="657"/>
    </row>
    <row r="6" spans="1:14">
      <c r="A6" s="178">
        <v>1</v>
      </c>
      <c r="B6" s="178" t="s">
        <v>511</v>
      </c>
      <c r="C6" s="178" t="s">
        <v>121</v>
      </c>
      <c r="D6" s="178" t="s">
        <v>180</v>
      </c>
      <c r="E6" s="178"/>
      <c r="F6" s="621"/>
      <c r="G6" s="178" t="s">
        <v>170</v>
      </c>
      <c r="H6" s="192"/>
      <c r="I6" s="554"/>
      <c r="J6" s="614">
        <v>227</v>
      </c>
      <c r="K6" s="614">
        <f t="shared" ref="K6:K7" si="0">I6*J6</f>
        <v>0</v>
      </c>
      <c r="L6" s="192"/>
      <c r="M6" s="620">
        <f>I6+I10+I14+I18</f>
        <v>0</v>
      </c>
      <c r="N6" s="178" t="s">
        <v>173</v>
      </c>
    </row>
    <row r="7" spans="1:14">
      <c r="A7" s="178"/>
      <c r="B7" s="178"/>
      <c r="C7" s="178"/>
      <c r="D7" s="178"/>
      <c r="E7" s="178"/>
      <c r="F7" s="621"/>
      <c r="G7" s="178" t="s">
        <v>171</v>
      </c>
      <c r="H7" s="192"/>
      <c r="I7" s="554"/>
      <c r="J7" s="614">
        <v>416</v>
      </c>
      <c r="K7" s="614">
        <f t="shared" si="0"/>
        <v>0</v>
      </c>
      <c r="L7" s="192"/>
      <c r="M7" s="620">
        <f>I7+I11+I15+I19+I28+I34+I46</f>
        <v>0</v>
      </c>
      <c r="N7" s="178" t="s">
        <v>174</v>
      </c>
    </row>
    <row r="8" spans="1:14">
      <c r="A8" s="178"/>
      <c r="B8" s="178"/>
      <c r="C8" s="178"/>
      <c r="D8" s="178"/>
      <c r="E8" s="178"/>
      <c r="F8" s="621"/>
      <c r="G8" s="178" t="s">
        <v>172</v>
      </c>
      <c r="H8" s="192"/>
      <c r="I8" s="554"/>
      <c r="J8" s="614">
        <v>165</v>
      </c>
      <c r="K8" s="614">
        <f>I8*J8</f>
        <v>0</v>
      </c>
      <c r="L8" s="192"/>
      <c r="M8" s="620">
        <f>I8+I12+I16+I20+I29+I35+I47</f>
        <v>0</v>
      </c>
      <c r="N8" s="178" t="s">
        <v>172</v>
      </c>
    </row>
    <row r="9" spans="1:14">
      <c r="A9" s="178"/>
      <c r="B9" s="178"/>
      <c r="C9" s="178"/>
      <c r="D9" s="178"/>
      <c r="E9" s="180" t="s">
        <v>9</v>
      </c>
      <c r="F9" s="622">
        <f>SUM(F6:F8)</f>
        <v>0</v>
      </c>
      <c r="G9" s="180"/>
      <c r="H9" s="180"/>
      <c r="I9" s="554"/>
      <c r="J9" s="614"/>
      <c r="K9" s="152">
        <f>SUM(K6:K8)</f>
        <v>0</v>
      </c>
      <c r="L9" s="152" t="e">
        <f>K9/F9</f>
        <v>#DIV/0!</v>
      </c>
      <c r="M9" s="620">
        <f>I26+I32+I44+I53+I56+I62</f>
        <v>0</v>
      </c>
      <c r="N9" s="178" t="s">
        <v>24</v>
      </c>
    </row>
    <row r="10" spans="1:14">
      <c r="A10" s="178">
        <v>2</v>
      </c>
      <c r="B10" s="178" t="s">
        <v>588</v>
      </c>
      <c r="C10" s="178" t="s">
        <v>121</v>
      </c>
      <c r="D10" s="178" t="s">
        <v>324</v>
      </c>
      <c r="E10" s="178"/>
      <c r="F10" s="621"/>
      <c r="G10" s="178" t="s">
        <v>170</v>
      </c>
      <c r="H10" s="192"/>
      <c r="I10" s="554"/>
      <c r="J10" s="614">
        <v>227</v>
      </c>
      <c r="K10" s="614">
        <f t="shared" ref="K10:K11" si="1">I10*J10</f>
        <v>0</v>
      </c>
      <c r="L10" s="192"/>
      <c r="M10" s="620">
        <f>I27+I33+I45</f>
        <v>0</v>
      </c>
      <c r="N10" s="178" t="s">
        <v>175</v>
      </c>
    </row>
    <row r="11" spans="1:14">
      <c r="A11" s="178"/>
      <c r="B11" s="657"/>
      <c r="C11" s="178"/>
      <c r="D11" s="178"/>
      <c r="E11" s="178"/>
      <c r="F11" s="621"/>
      <c r="G11" s="178" t="s">
        <v>171</v>
      </c>
      <c r="H11" s="192"/>
      <c r="I11" s="554"/>
      <c r="J11" s="614">
        <v>416</v>
      </c>
      <c r="K11" s="614">
        <f t="shared" si="1"/>
        <v>0</v>
      </c>
      <c r="L11" s="192"/>
      <c r="M11" s="620">
        <f>I30+I36+I48</f>
        <v>0</v>
      </c>
      <c r="N11" s="179" t="s">
        <v>176</v>
      </c>
    </row>
    <row r="12" spans="1:14">
      <c r="A12" s="178"/>
      <c r="B12" s="178"/>
      <c r="C12" s="178"/>
      <c r="D12" s="178"/>
      <c r="E12" s="178"/>
      <c r="F12" s="621"/>
      <c r="G12" s="178" t="s">
        <v>172</v>
      </c>
      <c r="H12" s="192"/>
      <c r="I12" s="554"/>
      <c r="J12" s="614">
        <v>165</v>
      </c>
      <c r="K12" s="614">
        <f>I12*J12</f>
        <v>0</v>
      </c>
      <c r="L12" s="192"/>
      <c r="M12" s="620">
        <f>I54+I57+I63</f>
        <v>0</v>
      </c>
      <c r="N12" s="613" t="s">
        <v>10</v>
      </c>
    </row>
    <row r="13" spans="1:14">
      <c r="A13" s="178"/>
      <c r="B13" s="178"/>
      <c r="C13" s="178"/>
      <c r="D13" s="178"/>
      <c r="E13" s="180" t="s">
        <v>9</v>
      </c>
      <c r="F13" s="622">
        <f>SUM(F10:F12)</f>
        <v>0</v>
      </c>
      <c r="G13" s="180"/>
      <c r="H13" s="180"/>
      <c r="I13" s="554"/>
      <c r="J13" s="614"/>
      <c r="K13" s="152">
        <f>SUM(K10:K12)</f>
        <v>0</v>
      </c>
      <c r="L13" s="152" t="e">
        <f>K13/F13</f>
        <v>#DIV/0!</v>
      </c>
      <c r="M13" s="491"/>
      <c r="N13" s="613" t="s">
        <v>1201</v>
      </c>
    </row>
    <row r="14" spans="1:14">
      <c r="A14" s="178">
        <v>3</v>
      </c>
      <c r="B14" s="178" t="s">
        <v>589</v>
      </c>
      <c r="C14" s="178" t="s">
        <v>590</v>
      </c>
      <c r="D14" s="178" t="s">
        <v>591</v>
      </c>
      <c r="E14" s="178"/>
      <c r="F14" s="621"/>
      <c r="G14" s="178" t="s">
        <v>170</v>
      </c>
      <c r="H14" s="192"/>
      <c r="I14" s="554"/>
      <c r="J14" s="614">
        <v>227</v>
      </c>
      <c r="K14" s="614">
        <f t="shared" ref="K14:K15" si="2">I14*J14</f>
        <v>0</v>
      </c>
      <c r="L14" s="192"/>
      <c r="M14" s="491"/>
      <c r="N14" s="613" t="s">
        <v>1202</v>
      </c>
    </row>
    <row r="15" spans="1:14">
      <c r="A15" s="178"/>
      <c r="B15" s="178"/>
      <c r="C15" s="178"/>
      <c r="D15" s="178"/>
      <c r="E15" s="178"/>
      <c r="F15" s="621"/>
      <c r="G15" s="178" t="s">
        <v>171</v>
      </c>
      <c r="H15" s="192"/>
      <c r="I15" s="554"/>
      <c r="J15" s="614">
        <v>416</v>
      </c>
      <c r="K15" s="614">
        <f t="shared" si="2"/>
        <v>0</v>
      </c>
      <c r="L15" s="192"/>
      <c r="M15" s="491"/>
      <c r="N15" s="613" t="s">
        <v>1203</v>
      </c>
    </row>
    <row r="16" spans="1:14">
      <c r="A16" s="178"/>
      <c r="B16" s="178"/>
      <c r="C16" s="178"/>
      <c r="D16" s="178"/>
      <c r="E16" s="178"/>
      <c r="F16" s="621"/>
      <c r="G16" s="178" t="s">
        <v>172</v>
      </c>
      <c r="H16" s="192"/>
      <c r="I16" s="554"/>
      <c r="J16" s="614">
        <v>165</v>
      </c>
      <c r="K16" s="614">
        <f>I16*J16</f>
        <v>0</v>
      </c>
      <c r="L16" s="192"/>
      <c r="M16" s="491"/>
      <c r="N16" s="613" t="s">
        <v>1204</v>
      </c>
    </row>
    <row r="17" spans="1:15">
      <c r="A17" s="178"/>
      <c r="B17" s="178"/>
      <c r="C17" s="178"/>
      <c r="D17" s="178"/>
      <c r="E17" s="180" t="s">
        <v>9</v>
      </c>
      <c r="F17" s="622">
        <f>SUM(F14:F16)</f>
        <v>0</v>
      </c>
      <c r="G17" s="180"/>
      <c r="H17" s="180"/>
      <c r="I17" s="554"/>
      <c r="J17" s="614"/>
      <c r="K17" s="152">
        <f>SUM(K14:K16)</f>
        <v>0</v>
      </c>
      <c r="L17" s="152" t="e">
        <f>K17/F17</f>
        <v>#DIV/0!</v>
      </c>
      <c r="M17" s="491"/>
      <c r="N17" s="153" t="s">
        <v>1205</v>
      </c>
    </row>
    <row r="18" spans="1:15">
      <c r="A18" s="178">
        <v>4</v>
      </c>
      <c r="B18" s="178" t="s">
        <v>592</v>
      </c>
      <c r="C18" s="178" t="s">
        <v>593</v>
      </c>
      <c r="D18" s="178" t="s">
        <v>510</v>
      </c>
      <c r="E18" s="180"/>
      <c r="F18" s="621"/>
      <c r="G18" s="178" t="s">
        <v>170</v>
      </c>
      <c r="H18" s="192"/>
      <c r="I18" s="554"/>
      <c r="J18" s="614">
        <v>227</v>
      </c>
      <c r="K18" s="614">
        <f t="shared" ref="K18:K19" si="3">I18*J18</f>
        <v>0</v>
      </c>
      <c r="L18" s="192"/>
      <c r="M18" s="491"/>
      <c r="N18" s="153" t="s">
        <v>1206</v>
      </c>
    </row>
    <row r="19" spans="1:15">
      <c r="A19" s="178"/>
      <c r="B19" s="178" t="s">
        <v>277</v>
      </c>
      <c r="C19" s="178" t="s">
        <v>309</v>
      </c>
      <c r="D19" s="178" t="s">
        <v>594</v>
      </c>
      <c r="E19" s="178"/>
      <c r="F19" s="621"/>
      <c r="G19" s="178" t="s">
        <v>171</v>
      </c>
      <c r="H19" s="192"/>
      <c r="I19" s="554"/>
      <c r="J19" s="614">
        <v>416</v>
      </c>
      <c r="K19" s="614">
        <f t="shared" si="3"/>
        <v>0</v>
      </c>
      <c r="L19" s="192"/>
      <c r="M19" s="491"/>
      <c r="N19" s="153" t="s">
        <v>1207</v>
      </c>
    </row>
    <row r="20" spans="1:15">
      <c r="A20" s="178"/>
      <c r="B20" s="178"/>
      <c r="C20" s="178" t="s">
        <v>233</v>
      </c>
      <c r="D20" s="178" t="s">
        <v>595</v>
      </c>
      <c r="E20" s="178"/>
      <c r="F20" s="621"/>
      <c r="G20" s="178" t="s">
        <v>172</v>
      </c>
      <c r="H20" s="192"/>
      <c r="I20" s="554"/>
      <c r="J20" s="614">
        <v>165</v>
      </c>
      <c r="K20" s="614">
        <f>I20*J20</f>
        <v>0</v>
      </c>
      <c r="L20" s="192"/>
      <c r="M20" s="491"/>
      <c r="N20" s="153" t="s">
        <v>1208</v>
      </c>
    </row>
    <row r="21" spans="1:15">
      <c r="A21" s="178"/>
      <c r="B21" s="178"/>
      <c r="C21" s="178" t="s">
        <v>217</v>
      </c>
      <c r="D21" s="178" t="s">
        <v>469</v>
      </c>
      <c r="E21" s="178"/>
      <c r="F21" s="621"/>
      <c r="G21" s="178"/>
      <c r="H21" s="192"/>
      <c r="I21" s="554"/>
      <c r="J21" s="614"/>
      <c r="K21" s="614"/>
      <c r="L21" s="192"/>
      <c r="M21" s="491"/>
      <c r="N21" s="153" t="s">
        <v>912</v>
      </c>
    </row>
    <row r="22" spans="1:15">
      <c r="A22" s="178"/>
      <c r="B22" s="178"/>
      <c r="C22" s="178"/>
      <c r="D22" s="178"/>
      <c r="E22" s="180" t="s">
        <v>9</v>
      </c>
      <c r="F22" s="622">
        <f>SUM(F18:F21)</f>
        <v>0</v>
      </c>
      <c r="G22" s="180"/>
      <c r="H22" s="180"/>
      <c r="I22" s="554"/>
      <c r="J22" s="614"/>
      <c r="K22" s="152">
        <f>SUM(K18:K21)</f>
        <v>0</v>
      </c>
      <c r="L22" s="152" t="e">
        <f>K22/F22</f>
        <v>#DIV/0!</v>
      </c>
      <c r="M22" s="491"/>
      <c r="N22" s="153" t="s">
        <v>1209</v>
      </c>
    </row>
    <row r="23" spans="1:15" s="107" customFormat="1" ht="12.75">
      <c r="A23" s="623"/>
      <c r="B23" s="623"/>
      <c r="C23" s="623"/>
      <c r="D23" s="624" t="s">
        <v>30</v>
      </c>
      <c r="E23" s="624"/>
      <c r="F23" s="625">
        <f>F9+F13+F17+F22</f>
        <v>0</v>
      </c>
      <c r="G23" s="626"/>
      <c r="H23" s="626"/>
      <c r="I23" s="626"/>
      <c r="J23" s="626"/>
      <c r="K23" s="625">
        <f>K9+K13+K17+K22</f>
        <v>0</v>
      </c>
      <c r="L23" s="627" t="e">
        <f>K23/F23</f>
        <v>#DIV/0!</v>
      </c>
      <c r="M23" s="623"/>
      <c r="N23" s="623"/>
    </row>
    <row r="24" spans="1:15">
      <c r="A24" s="702" t="s">
        <v>23</v>
      </c>
      <c r="B24" s="702"/>
      <c r="C24" s="702"/>
      <c r="D24" s="702"/>
      <c r="E24" s="702"/>
      <c r="F24" s="657"/>
      <c r="G24" s="657"/>
      <c r="H24" s="657"/>
      <c r="I24" s="657"/>
      <c r="J24" s="657"/>
      <c r="K24" s="849" t="s">
        <v>1212</v>
      </c>
      <c r="L24" s="849"/>
      <c r="M24" s="849"/>
      <c r="N24" s="657"/>
    </row>
    <row r="25" spans="1:15">
      <c r="A25" s="647" t="s">
        <v>0</v>
      </c>
      <c r="B25" s="647" t="s">
        <v>7</v>
      </c>
      <c r="C25" s="647" t="s">
        <v>13</v>
      </c>
      <c r="D25" s="647" t="s">
        <v>14</v>
      </c>
      <c r="E25" s="647" t="s">
        <v>8</v>
      </c>
      <c r="F25" s="647" t="s">
        <v>1</v>
      </c>
      <c r="G25" s="647" t="s">
        <v>2</v>
      </c>
      <c r="H25" s="647" t="s">
        <v>15</v>
      </c>
      <c r="I25" s="647" t="s">
        <v>3</v>
      </c>
      <c r="J25" s="647" t="s">
        <v>4</v>
      </c>
      <c r="K25" s="647" t="s">
        <v>5</v>
      </c>
      <c r="L25" s="647" t="s">
        <v>12</v>
      </c>
      <c r="M25" s="647" t="s">
        <v>6</v>
      </c>
      <c r="N25" s="657"/>
    </row>
    <row r="26" spans="1:15">
      <c r="A26" s="121">
        <v>1</v>
      </c>
      <c r="B26" s="178" t="s">
        <v>456</v>
      </c>
      <c r="C26" s="178" t="s">
        <v>386</v>
      </c>
      <c r="D26" s="178" t="s">
        <v>452</v>
      </c>
      <c r="E26" s="178"/>
      <c r="F26" s="619"/>
      <c r="G26" s="178" t="s">
        <v>24</v>
      </c>
      <c r="H26" s="192"/>
      <c r="I26" s="554"/>
      <c r="J26" s="614">
        <v>74</v>
      </c>
      <c r="K26" s="614">
        <f t="shared" ref="K26:K28" si="4">I26*J26</f>
        <v>0</v>
      </c>
      <c r="L26" s="491"/>
      <c r="M26" s="491"/>
      <c r="N26" s="657"/>
    </row>
    <row r="27" spans="1:15">
      <c r="A27" s="121"/>
      <c r="B27" s="248"/>
      <c r="C27" s="248"/>
      <c r="D27" s="248"/>
      <c r="E27" s="121"/>
      <c r="F27" s="703"/>
      <c r="G27" s="178" t="s">
        <v>18</v>
      </c>
      <c r="H27" s="192"/>
      <c r="I27" s="554"/>
      <c r="J27" s="614">
        <v>46</v>
      </c>
      <c r="K27" s="614">
        <f t="shared" si="4"/>
        <v>0</v>
      </c>
      <c r="L27" s="491"/>
      <c r="M27" s="491"/>
      <c r="N27" s="657"/>
    </row>
    <row r="28" spans="1:15">
      <c r="A28" s="121"/>
      <c r="B28" s="248"/>
      <c r="C28" s="248"/>
      <c r="D28" s="248"/>
      <c r="E28" s="121"/>
      <c r="F28" s="703"/>
      <c r="G28" s="178" t="s">
        <v>171</v>
      </c>
      <c r="H28" s="192"/>
      <c r="I28" s="554"/>
      <c r="J28" s="614">
        <v>416</v>
      </c>
      <c r="K28" s="614">
        <f t="shared" si="4"/>
        <v>0</v>
      </c>
      <c r="L28" s="491"/>
      <c r="M28" s="491"/>
      <c r="N28" s="657"/>
    </row>
    <row r="29" spans="1:15">
      <c r="A29" s="121"/>
      <c r="B29" s="248"/>
      <c r="C29" s="248"/>
      <c r="D29" s="248"/>
      <c r="E29" s="121"/>
      <c r="F29" s="703"/>
      <c r="G29" s="178" t="s">
        <v>172</v>
      </c>
      <c r="H29" s="192"/>
      <c r="I29" s="554"/>
      <c r="J29" s="614">
        <v>165</v>
      </c>
      <c r="K29" s="614">
        <f>I29*J29</f>
        <v>0</v>
      </c>
      <c r="L29" s="491"/>
      <c r="M29" s="491"/>
      <c r="N29" s="657"/>
    </row>
    <row r="30" spans="1:15">
      <c r="A30" s="121"/>
      <c r="B30" s="248"/>
      <c r="C30" s="248"/>
      <c r="D30" s="248"/>
      <c r="E30" s="121"/>
      <c r="F30" s="703"/>
      <c r="G30" s="179" t="s">
        <v>181</v>
      </c>
      <c r="H30" s="192"/>
      <c r="I30" s="554"/>
      <c r="J30" s="614">
        <v>165</v>
      </c>
      <c r="K30" s="614">
        <f t="shared" ref="K30" si="5">I30*J30</f>
        <v>0</v>
      </c>
      <c r="L30" s="491"/>
      <c r="M30" s="491"/>
      <c r="N30" s="657"/>
      <c r="O30" s="19"/>
    </row>
    <row r="31" spans="1:15">
      <c r="A31" s="121"/>
      <c r="B31" s="248"/>
      <c r="C31" s="248"/>
      <c r="D31" s="248"/>
      <c r="E31" s="180" t="s">
        <v>9</v>
      </c>
      <c r="F31" s="622">
        <f>SUM(F26:F30)</f>
        <v>0</v>
      </c>
      <c r="G31" s="180"/>
      <c r="H31" s="180"/>
      <c r="I31" s="554"/>
      <c r="J31" s="614"/>
      <c r="K31" s="152">
        <f>SUM(K26:K30)</f>
        <v>0</v>
      </c>
      <c r="L31" s="152" t="e">
        <f>K31/F31</f>
        <v>#DIV/0!</v>
      </c>
      <c r="M31" s="491"/>
      <c r="N31" s="657"/>
    </row>
    <row r="32" spans="1:15">
      <c r="A32" s="121">
        <v>3</v>
      </c>
      <c r="B32" s="178" t="s">
        <v>546</v>
      </c>
      <c r="C32" s="178" t="s">
        <v>547</v>
      </c>
      <c r="D32" s="178" t="s">
        <v>548</v>
      </c>
      <c r="E32" s="178"/>
      <c r="F32" s="621"/>
      <c r="G32" s="178" t="s">
        <v>24</v>
      </c>
      <c r="H32" s="192"/>
      <c r="I32" s="554"/>
      <c r="J32" s="614">
        <v>74</v>
      </c>
      <c r="K32" s="614">
        <f t="shared" ref="K32:K34" si="6">I32*J32</f>
        <v>0</v>
      </c>
      <c r="L32" s="491"/>
      <c r="M32" s="491"/>
      <c r="N32" s="657"/>
    </row>
    <row r="33" spans="1:14">
      <c r="A33" s="121"/>
      <c r="B33" s="248"/>
      <c r="C33" s="248"/>
      <c r="D33" s="248"/>
      <c r="E33" s="121"/>
      <c r="F33" s="703"/>
      <c r="G33" s="178" t="s">
        <v>18</v>
      </c>
      <c r="H33" s="192"/>
      <c r="I33" s="554"/>
      <c r="J33" s="614">
        <v>46</v>
      </c>
      <c r="K33" s="614">
        <f t="shared" si="6"/>
        <v>0</v>
      </c>
      <c r="L33" s="491"/>
      <c r="M33" s="491"/>
      <c r="N33" s="657"/>
    </row>
    <row r="34" spans="1:14">
      <c r="A34" s="121"/>
      <c r="B34" s="248"/>
      <c r="C34" s="248"/>
      <c r="D34" s="248"/>
      <c r="E34" s="121"/>
      <c r="F34" s="703"/>
      <c r="G34" s="178" t="s">
        <v>171</v>
      </c>
      <c r="H34" s="192"/>
      <c r="I34" s="554"/>
      <c r="J34" s="614">
        <v>416</v>
      </c>
      <c r="K34" s="614">
        <f t="shared" si="6"/>
        <v>0</v>
      </c>
      <c r="L34" s="491"/>
      <c r="M34" s="491"/>
      <c r="N34" s="657"/>
    </row>
    <row r="35" spans="1:14">
      <c r="A35" s="121"/>
      <c r="B35" s="248"/>
      <c r="C35" s="248"/>
      <c r="D35" s="248"/>
      <c r="E35" s="121"/>
      <c r="F35" s="703"/>
      <c r="G35" s="178" t="s">
        <v>172</v>
      </c>
      <c r="H35" s="192"/>
      <c r="I35" s="554"/>
      <c r="J35" s="614">
        <v>165</v>
      </c>
      <c r="K35" s="614">
        <f>I35*J35</f>
        <v>0</v>
      </c>
      <c r="L35" s="491"/>
      <c r="M35" s="491"/>
      <c r="N35" s="657"/>
    </row>
    <row r="36" spans="1:14">
      <c r="A36" s="121"/>
      <c r="B36" s="248"/>
      <c r="C36" s="248"/>
      <c r="D36" s="248"/>
      <c r="E36" s="121"/>
      <c r="F36" s="703"/>
      <c r="G36" s="179" t="s">
        <v>181</v>
      </c>
      <c r="H36" s="192"/>
      <c r="I36" s="554"/>
      <c r="J36" s="614">
        <v>165</v>
      </c>
      <c r="K36" s="614">
        <f t="shared" ref="K36" si="7">I36*J36</f>
        <v>0</v>
      </c>
      <c r="L36" s="491"/>
      <c r="M36" s="491"/>
      <c r="N36" s="657"/>
    </row>
    <row r="37" spans="1:14">
      <c r="A37" s="121"/>
      <c r="B37" s="248"/>
      <c r="C37" s="248"/>
      <c r="D37" s="248"/>
      <c r="E37" s="180" t="s">
        <v>9</v>
      </c>
      <c r="F37" s="622">
        <f>SUM(F32:F36)</f>
        <v>0</v>
      </c>
      <c r="G37" s="180"/>
      <c r="H37" s="180"/>
      <c r="I37" s="554"/>
      <c r="J37" s="614"/>
      <c r="K37" s="152">
        <f>SUM(K32:K36)</f>
        <v>0</v>
      </c>
      <c r="L37" s="152" t="e">
        <f>K37/F37</f>
        <v>#DIV/0!</v>
      </c>
      <c r="M37" s="491"/>
      <c r="N37" s="657"/>
    </row>
    <row r="38" spans="1:14">
      <c r="A38" s="153">
        <v>4</v>
      </c>
      <c r="B38" s="178" t="s">
        <v>549</v>
      </c>
      <c r="C38" s="178" t="s">
        <v>470</v>
      </c>
      <c r="D38" s="178" t="s">
        <v>467</v>
      </c>
      <c r="E38" s="178"/>
      <c r="F38" s="619"/>
      <c r="G38" s="178" t="s">
        <v>24</v>
      </c>
      <c r="H38" s="192"/>
      <c r="I38" s="554"/>
      <c r="J38" s="614">
        <v>74</v>
      </c>
      <c r="K38" s="614">
        <f t="shared" ref="K38:K40" si="8">I38*J38</f>
        <v>0</v>
      </c>
      <c r="L38" s="491"/>
      <c r="M38" s="491"/>
      <c r="N38" s="657"/>
    </row>
    <row r="39" spans="1:14">
      <c r="A39" s="121"/>
      <c r="B39" s="248"/>
      <c r="C39" s="248"/>
      <c r="D39" s="248"/>
      <c r="E39" s="180"/>
      <c r="F39" s="622"/>
      <c r="G39" s="178" t="s">
        <v>18</v>
      </c>
      <c r="H39" s="192"/>
      <c r="I39" s="554"/>
      <c r="J39" s="614">
        <v>46</v>
      </c>
      <c r="K39" s="614">
        <f t="shared" si="8"/>
        <v>0</v>
      </c>
      <c r="L39" s="491"/>
      <c r="M39" s="491"/>
      <c r="N39" s="657"/>
    </row>
    <row r="40" spans="1:14">
      <c r="A40" s="121"/>
      <c r="B40" s="248"/>
      <c r="C40" s="248"/>
      <c r="D40" s="248"/>
      <c r="E40" s="180"/>
      <c r="F40" s="622"/>
      <c r="G40" s="178" t="s">
        <v>171</v>
      </c>
      <c r="H40" s="192"/>
      <c r="I40" s="554"/>
      <c r="J40" s="614">
        <v>416</v>
      </c>
      <c r="K40" s="614">
        <f t="shared" si="8"/>
        <v>0</v>
      </c>
      <c r="L40" s="491"/>
      <c r="M40" s="491"/>
      <c r="N40" s="657"/>
    </row>
    <row r="41" spans="1:14">
      <c r="A41" s="121"/>
      <c r="B41" s="248"/>
      <c r="C41" s="248"/>
      <c r="D41" s="248"/>
      <c r="E41" s="180"/>
      <c r="F41" s="622"/>
      <c r="G41" s="178" t="s">
        <v>172</v>
      </c>
      <c r="H41" s="192"/>
      <c r="I41" s="554"/>
      <c r="J41" s="614">
        <v>165</v>
      </c>
      <c r="K41" s="614">
        <f>I41*J41</f>
        <v>0</v>
      </c>
      <c r="L41" s="491"/>
      <c r="M41" s="491"/>
      <c r="N41" s="657"/>
    </row>
    <row r="42" spans="1:14">
      <c r="A42" s="121"/>
      <c r="B42" s="248"/>
      <c r="C42" s="248"/>
      <c r="D42" s="248"/>
      <c r="E42" s="180"/>
      <c r="F42" s="622"/>
      <c r="G42" s="179" t="s">
        <v>181</v>
      </c>
      <c r="H42" s="192"/>
      <c r="I42" s="554"/>
      <c r="J42" s="614">
        <v>165</v>
      </c>
      <c r="K42" s="614">
        <f t="shared" ref="K42" si="9">I42*J42</f>
        <v>0</v>
      </c>
      <c r="L42" s="491"/>
      <c r="M42" s="491"/>
      <c r="N42" s="657"/>
    </row>
    <row r="43" spans="1:14">
      <c r="A43" s="121"/>
      <c r="B43" s="248"/>
      <c r="C43" s="248"/>
      <c r="D43" s="248"/>
      <c r="E43" s="180" t="s">
        <v>9</v>
      </c>
      <c r="F43" s="622">
        <f>SUM(F38:F42)</f>
        <v>0</v>
      </c>
      <c r="G43" s="180"/>
      <c r="H43" s="180"/>
      <c r="I43" s="554"/>
      <c r="J43" s="614"/>
      <c r="K43" s="152">
        <f>SUM(K38:K42)</f>
        <v>0</v>
      </c>
      <c r="L43" s="152" t="e">
        <f>K43/F43</f>
        <v>#DIV/0!</v>
      </c>
      <c r="M43" s="491"/>
      <c r="N43" s="657"/>
    </row>
    <row r="44" spans="1:14">
      <c r="A44" s="121">
        <v>5</v>
      </c>
      <c r="B44" s="178" t="s">
        <v>551</v>
      </c>
      <c r="C44" s="178" t="s">
        <v>121</v>
      </c>
      <c r="D44" s="178" t="s">
        <v>442</v>
      </c>
      <c r="E44" s="180"/>
      <c r="F44" s="619"/>
      <c r="G44" s="178" t="s">
        <v>24</v>
      </c>
      <c r="H44" s="192"/>
      <c r="I44" s="554"/>
      <c r="J44" s="614">
        <v>74</v>
      </c>
      <c r="K44" s="614">
        <f t="shared" ref="K44:K46" si="10">I44*J44</f>
        <v>0</v>
      </c>
      <c r="L44" s="491"/>
      <c r="M44" s="491"/>
      <c r="N44" s="657"/>
    </row>
    <row r="45" spans="1:14">
      <c r="A45" s="121"/>
      <c r="B45" s="178" t="s">
        <v>627</v>
      </c>
      <c r="C45" s="178" t="s">
        <v>121</v>
      </c>
      <c r="D45" s="178" t="s">
        <v>442</v>
      </c>
      <c r="E45" s="180"/>
      <c r="F45" s="619"/>
      <c r="G45" s="178" t="s">
        <v>18</v>
      </c>
      <c r="H45" s="192"/>
      <c r="I45" s="554"/>
      <c r="J45" s="614">
        <v>46</v>
      </c>
      <c r="K45" s="614">
        <f t="shared" si="10"/>
        <v>0</v>
      </c>
      <c r="L45" s="491"/>
      <c r="M45" s="491"/>
      <c r="N45" s="657"/>
    </row>
    <row r="46" spans="1:14">
      <c r="A46" s="121"/>
      <c r="B46" s="248"/>
      <c r="C46" s="248"/>
      <c r="D46" s="248"/>
      <c r="E46" s="180"/>
      <c r="F46" s="622"/>
      <c r="G46" s="178" t="s">
        <v>171</v>
      </c>
      <c r="H46" s="192"/>
      <c r="I46" s="554"/>
      <c r="J46" s="614">
        <v>416</v>
      </c>
      <c r="K46" s="614">
        <f t="shared" si="10"/>
        <v>0</v>
      </c>
      <c r="L46" s="491"/>
      <c r="M46" s="491"/>
      <c r="N46" s="657"/>
    </row>
    <row r="47" spans="1:14">
      <c r="A47" s="121"/>
      <c r="B47" s="248"/>
      <c r="C47" s="248"/>
      <c r="D47" s="248"/>
      <c r="E47" s="180"/>
      <c r="F47" s="622"/>
      <c r="G47" s="178" t="s">
        <v>172</v>
      </c>
      <c r="H47" s="192"/>
      <c r="I47" s="554"/>
      <c r="J47" s="614">
        <v>165</v>
      </c>
      <c r="K47" s="614">
        <f>I47*J47</f>
        <v>0</v>
      </c>
      <c r="L47" s="491"/>
      <c r="M47" s="491"/>
      <c r="N47" s="657"/>
    </row>
    <row r="48" spans="1:14">
      <c r="A48" s="121"/>
      <c r="B48" s="248"/>
      <c r="C48" s="248"/>
      <c r="D48" s="248"/>
      <c r="E48" s="180"/>
      <c r="F48" s="622"/>
      <c r="G48" s="179" t="s">
        <v>181</v>
      </c>
      <c r="H48" s="192"/>
      <c r="I48" s="554"/>
      <c r="J48" s="614">
        <v>165</v>
      </c>
      <c r="K48" s="614">
        <f t="shared" ref="K48" si="11">I48*J48</f>
        <v>0</v>
      </c>
      <c r="L48" s="491"/>
      <c r="M48" s="491"/>
      <c r="N48" s="657"/>
    </row>
    <row r="49" spans="1:14" s="107" customFormat="1" ht="12.75">
      <c r="A49" s="178"/>
      <c r="B49" s="178"/>
      <c r="C49" s="178"/>
      <c r="D49" s="178"/>
      <c r="E49" s="180" t="s">
        <v>9</v>
      </c>
      <c r="F49" s="622">
        <f>SUM(F44:F48)</f>
        <v>0</v>
      </c>
      <c r="G49" s="180"/>
      <c r="H49" s="180"/>
      <c r="I49" s="554"/>
      <c r="J49" s="614"/>
      <c r="K49" s="152">
        <f>SUM(K44:K48)</f>
        <v>0</v>
      </c>
      <c r="L49" s="152" t="e">
        <f>K49/F49</f>
        <v>#DIV/0!</v>
      </c>
      <c r="M49" s="192"/>
      <c r="N49" s="623"/>
    </row>
    <row r="50" spans="1:14" s="107" customFormat="1" ht="12.75">
      <c r="A50" s="630"/>
      <c r="B50" s="630"/>
      <c r="C50" s="630"/>
      <c r="D50" s="180" t="s">
        <v>30</v>
      </c>
      <c r="E50" s="180"/>
      <c r="F50" s="625">
        <f>F31+F37+F43+F49</f>
        <v>0</v>
      </c>
      <c r="G50" s="631"/>
      <c r="H50" s="631"/>
      <c r="I50" s="631"/>
      <c r="J50" s="631"/>
      <c r="K50" s="625">
        <f>K31+K37+K43+K49</f>
        <v>0</v>
      </c>
      <c r="L50" s="627" t="e">
        <f>K50/F50</f>
        <v>#DIV/0!</v>
      </c>
      <c r="M50" s="192"/>
      <c r="N50" s="623"/>
    </row>
    <row r="51" spans="1:14">
      <c r="A51" s="628" t="s">
        <v>22</v>
      </c>
      <c r="B51" s="628"/>
      <c r="C51" s="628"/>
      <c r="D51" s="628"/>
      <c r="E51" s="628"/>
      <c r="F51" s="623"/>
      <c r="G51" s="623"/>
      <c r="H51" s="623"/>
      <c r="I51" s="623"/>
      <c r="J51" s="623"/>
      <c r="K51" s="849" t="s">
        <v>1212</v>
      </c>
      <c r="L51" s="849"/>
      <c r="M51" s="849"/>
      <c r="N51" s="657"/>
    </row>
    <row r="52" spans="1:14">
      <c r="A52" s="180" t="s">
        <v>0</v>
      </c>
      <c r="B52" s="180" t="s">
        <v>7</v>
      </c>
      <c r="C52" s="180" t="s">
        <v>13</v>
      </c>
      <c r="D52" s="180" t="s">
        <v>14</v>
      </c>
      <c r="E52" s="180" t="s">
        <v>8</v>
      </c>
      <c r="F52" s="180" t="s">
        <v>1</v>
      </c>
      <c r="G52" s="180" t="s">
        <v>2</v>
      </c>
      <c r="H52" s="180" t="s">
        <v>15</v>
      </c>
      <c r="I52" s="180" t="s">
        <v>3</v>
      </c>
      <c r="J52" s="180" t="s">
        <v>4</v>
      </c>
      <c r="K52" s="180" t="s">
        <v>5</v>
      </c>
      <c r="L52" s="180" t="s">
        <v>12</v>
      </c>
      <c r="M52" s="180" t="s">
        <v>6</v>
      </c>
      <c r="N52" s="657"/>
    </row>
    <row r="53" spans="1:14">
      <c r="A53" s="178">
        <v>1</v>
      </c>
      <c r="B53" s="178" t="s">
        <v>552</v>
      </c>
      <c r="C53" s="629" t="s">
        <v>553</v>
      </c>
      <c r="D53" s="629" t="s">
        <v>554</v>
      </c>
      <c r="E53" s="178"/>
      <c r="F53" s="621"/>
      <c r="G53" s="178" t="s">
        <v>24</v>
      </c>
      <c r="H53" s="192"/>
      <c r="I53" s="554"/>
      <c r="J53" s="614">
        <v>74</v>
      </c>
      <c r="K53" s="614">
        <f t="shared" ref="K53:K54" si="12">I53*J53</f>
        <v>0</v>
      </c>
      <c r="L53" s="192"/>
      <c r="M53" s="162"/>
      <c r="N53" s="657"/>
    </row>
    <row r="54" spans="1:14">
      <c r="A54" s="178"/>
      <c r="B54" s="178"/>
      <c r="C54" s="178"/>
      <c r="D54" s="178"/>
      <c r="E54" s="178"/>
      <c r="F54" s="621"/>
      <c r="G54" s="613" t="s">
        <v>10</v>
      </c>
      <c r="H54" s="192"/>
      <c r="I54" s="554"/>
      <c r="J54" s="614">
        <v>120</v>
      </c>
      <c r="K54" s="614">
        <f t="shared" si="12"/>
        <v>0</v>
      </c>
      <c r="L54" s="192"/>
      <c r="M54" s="192"/>
      <c r="N54" s="657"/>
    </row>
    <row r="55" spans="1:14">
      <c r="A55" s="178"/>
      <c r="B55" s="178"/>
      <c r="C55" s="178"/>
      <c r="D55" s="178"/>
      <c r="E55" s="180" t="s">
        <v>9</v>
      </c>
      <c r="F55" s="622">
        <f>SUM(F53:F54)</f>
        <v>0</v>
      </c>
      <c r="G55" s="180"/>
      <c r="H55" s="180"/>
      <c r="I55" s="554"/>
      <c r="J55" s="614"/>
      <c r="K55" s="152">
        <f>SUM(K53:K54)</f>
        <v>0</v>
      </c>
      <c r="L55" s="152" t="e">
        <f>K55/F55</f>
        <v>#DIV/0!</v>
      </c>
      <c r="M55" s="192"/>
      <c r="N55" s="657"/>
    </row>
    <row r="56" spans="1:14">
      <c r="A56" s="178">
        <v>2</v>
      </c>
      <c r="B56" s="178" t="s">
        <v>551</v>
      </c>
      <c r="C56" s="178" t="s">
        <v>121</v>
      </c>
      <c r="D56" s="178" t="s">
        <v>442</v>
      </c>
      <c r="E56" s="180"/>
      <c r="F56" s="619"/>
      <c r="G56" s="178" t="s">
        <v>24</v>
      </c>
      <c r="H56" s="192"/>
      <c r="I56" s="554"/>
      <c r="J56" s="614">
        <v>74</v>
      </c>
      <c r="K56" s="614">
        <f t="shared" ref="K56:K57" si="13">I56*J56</f>
        <v>0</v>
      </c>
      <c r="L56" s="192"/>
      <c r="M56" s="192"/>
      <c r="N56" s="657"/>
    </row>
    <row r="57" spans="1:14">
      <c r="A57" s="178"/>
      <c r="B57" s="178" t="s">
        <v>627</v>
      </c>
      <c r="C57" s="178" t="s">
        <v>121</v>
      </c>
      <c r="D57" s="178" t="s">
        <v>442</v>
      </c>
      <c r="E57" s="180"/>
      <c r="F57" s="619"/>
      <c r="G57" s="613" t="s">
        <v>10</v>
      </c>
      <c r="H57" s="192"/>
      <c r="I57" s="554"/>
      <c r="J57" s="614">
        <v>120</v>
      </c>
      <c r="K57" s="614">
        <f t="shared" si="13"/>
        <v>0</v>
      </c>
      <c r="L57" s="192"/>
      <c r="M57" s="192"/>
      <c r="N57" s="657"/>
    </row>
    <row r="58" spans="1:14">
      <c r="A58" s="178"/>
      <c r="B58" s="178"/>
      <c r="C58" s="178"/>
      <c r="D58" s="178"/>
      <c r="E58" s="180" t="s">
        <v>9</v>
      </c>
      <c r="F58" s="622">
        <f>SUM(F56:F57)</f>
        <v>0</v>
      </c>
      <c r="G58" s="180"/>
      <c r="H58" s="180"/>
      <c r="I58" s="554"/>
      <c r="J58" s="614"/>
      <c r="K58" s="152">
        <f>SUM(K56:K57)</f>
        <v>0</v>
      </c>
      <c r="L58" s="152" t="e">
        <f>K58/F58</f>
        <v>#DIV/0!</v>
      </c>
      <c r="M58" s="192"/>
      <c r="N58" s="657"/>
    </row>
    <row r="59" spans="1:14">
      <c r="A59" s="178">
        <v>3</v>
      </c>
      <c r="B59" s="178" t="s">
        <v>537</v>
      </c>
      <c r="C59" s="629" t="s">
        <v>542</v>
      </c>
      <c r="D59" s="629" t="s">
        <v>539</v>
      </c>
      <c r="E59" s="178"/>
      <c r="F59" s="621"/>
      <c r="G59" s="178" t="s">
        <v>24</v>
      </c>
      <c r="H59" s="192"/>
      <c r="I59" s="554"/>
      <c r="J59" s="614">
        <v>74</v>
      </c>
      <c r="K59" s="614">
        <f t="shared" ref="K59:K60" si="14">I59*J59</f>
        <v>0</v>
      </c>
      <c r="L59" s="152"/>
      <c r="M59" s="192"/>
      <c r="N59" s="657"/>
    </row>
    <row r="60" spans="1:14">
      <c r="A60" s="178"/>
      <c r="B60" s="178"/>
      <c r="C60" s="178"/>
      <c r="D60" s="178"/>
      <c r="E60" s="180"/>
      <c r="F60" s="622"/>
      <c r="G60" s="613" t="s">
        <v>10</v>
      </c>
      <c r="H60" s="192"/>
      <c r="I60" s="554"/>
      <c r="J60" s="614">
        <v>120</v>
      </c>
      <c r="K60" s="614">
        <f t="shared" si="14"/>
        <v>0</v>
      </c>
      <c r="L60" s="152"/>
      <c r="M60" s="192"/>
      <c r="N60" s="657"/>
    </row>
    <row r="61" spans="1:14">
      <c r="A61" s="178"/>
      <c r="B61" s="178"/>
      <c r="C61" s="178"/>
      <c r="D61" s="178"/>
      <c r="E61" s="180" t="s">
        <v>9</v>
      </c>
      <c r="F61" s="622">
        <f>SUM(F59:F60)</f>
        <v>0</v>
      </c>
      <c r="G61" s="180"/>
      <c r="H61" s="180"/>
      <c r="I61" s="554"/>
      <c r="J61" s="614"/>
      <c r="K61" s="152">
        <f>SUM(K59:K60)</f>
        <v>0</v>
      </c>
      <c r="L61" s="152" t="e">
        <f>K61/F61</f>
        <v>#DIV/0!</v>
      </c>
      <c r="M61" s="192"/>
      <c r="N61" s="657"/>
    </row>
    <row r="62" spans="1:14">
      <c r="A62" s="178">
        <v>4</v>
      </c>
      <c r="B62" s="178" t="s">
        <v>456</v>
      </c>
      <c r="C62" s="178" t="s">
        <v>386</v>
      </c>
      <c r="D62" s="178" t="s">
        <v>452</v>
      </c>
      <c r="E62" s="178"/>
      <c r="F62" s="619"/>
      <c r="G62" s="178" t="s">
        <v>24</v>
      </c>
      <c r="H62" s="192"/>
      <c r="I62" s="554"/>
      <c r="J62" s="614">
        <v>74</v>
      </c>
      <c r="K62" s="614">
        <f t="shared" ref="K62:K63" si="15">I62*J62</f>
        <v>0</v>
      </c>
      <c r="L62" s="192"/>
      <c r="M62" s="192"/>
      <c r="N62" s="657"/>
    </row>
    <row r="63" spans="1:14">
      <c r="A63" s="178"/>
      <c r="B63" s="178"/>
      <c r="C63" s="178"/>
      <c r="D63" s="178"/>
      <c r="E63" s="178"/>
      <c r="F63" s="621"/>
      <c r="G63" s="613" t="s">
        <v>10</v>
      </c>
      <c r="H63" s="192"/>
      <c r="I63" s="554"/>
      <c r="J63" s="614">
        <v>120</v>
      </c>
      <c r="K63" s="614">
        <f t="shared" si="15"/>
        <v>0</v>
      </c>
      <c r="L63" s="192"/>
      <c r="M63" s="192"/>
      <c r="N63" s="657"/>
    </row>
    <row r="64" spans="1:14">
      <c r="A64" s="178"/>
      <c r="B64" s="178"/>
      <c r="C64" s="178"/>
      <c r="D64" s="178"/>
      <c r="E64" s="180" t="s">
        <v>9</v>
      </c>
      <c r="F64" s="622">
        <f>SUM(F62:F63)</f>
        <v>0</v>
      </c>
      <c r="G64" s="180"/>
      <c r="H64" s="180"/>
      <c r="I64" s="554"/>
      <c r="J64" s="614"/>
      <c r="K64" s="152">
        <f>SUM(K62:K63)</f>
        <v>0</v>
      </c>
      <c r="L64" s="152" t="e">
        <f>K64/F64</f>
        <v>#DIV/0!</v>
      </c>
      <c r="M64" s="192"/>
      <c r="N64" s="657"/>
    </row>
    <row r="65" spans="1:14">
      <c r="A65" s="623"/>
      <c r="B65" s="623"/>
      <c r="C65" s="623"/>
      <c r="D65" s="624" t="s">
        <v>30</v>
      </c>
      <c r="E65" s="624"/>
      <c r="F65" s="625">
        <f>F55+F58+F61+F64</f>
        <v>0</v>
      </c>
      <c r="G65" s="626"/>
      <c r="H65" s="626"/>
      <c r="I65" s="626"/>
      <c r="J65" s="626"/>
      <c r="K65" s="625">
        <f>K55+K58+K61+K64</f>
        <v>0</v>
      </c>
      <c r="L65" s="627" t="e">
        <f>K65/F65</f>
        <v>#DIV/0!</v>
      </c>
      <c r="M65" s="623"/>
      <c r="N65" s="657"/>
    </row>
    <row r="66" spans="1:14">
      <c r="A66" s="702" t="s">
        <v>16</v>
      </c>
      <c r="B66" s="702"/>
      <c r="C66" s="702"/>
      <c r="D66" s="702"/>
      <c r="E66" s="702"/>
      <c r="F66" s="657"/>
      <c r="G66" s="657"/>
      <c r="H66" s="657"/>
      <c r="I66" s="657"/>
      <c r="J66" s="657"/>
      <c r="K66" s="849" t="s">
        <v>1212</v>
      </c>
      <c r="L66" s="849"/>
      <c r="M66" s="849"/>
      <c r="N66" s="657"/>
    </row>
    <row r="67" spans="1:14">
      <c r="A67" s="647" t="s">
        <v>0</v>
      </c>
      <c r="B67" s="647" t="s">
        <v>7</v>
      </c>
      <c r="C67" s="647" t="s">
        <v>13</v>
      </c>
      <c r="D67" s="647" t="s">
        <v>14</v>
      </c>
      <c r="E67" s="647" t="s">
        <v>8</v>
      </c>
      <c r="F67" s="647" t="s">
        <v>1</v>
      </c>
      <c r="G67" s="647" t="s">
        <v>2</v>
      </c>
      <c r="H67" s="647" t="s">
        <v>15</v>
      </c>
      <c r="I67" s="647" t="s">
        <v>3</v>
      </c>
      <c r="J67" s="647" t="s">
        <v>4</v>
      </c>
      <c r="K67" s="647" t="s">
        <v>5</v>
      </c>
      <c r="L67" s="647" t="s">
        <v>12</v>
      </c>
      <c r="M67" s="647" t="s">
        <v>6</v>
      </c>
      <c r="N67" s="657"/>
    </row>
    <row r="68" spans="1:14">
      <c r="A68" s="121"/>
      <c r="B68" s="178" t="s">
        <v>551</v>
      </c>
      <c r="C68" s="178" t="s">
        <v>121</v>
      </c>
      <c r="D68" s="178" t="s">
        <v>442</v>
      </c>
      <c r="E68" s="180"/>
      <c r="F68" s="619"/>
      <c r="G68" s="248" t="s">
        <v>75</v>
      </c>
      <c r="H68" s="248"/>
      <c r="I68" s="704"/>
      <c r="J68" s="705">
        <v>367</v>
      </c>
      <c r="K68" s="705">
        <f t="shared" ref="K68" si="16">I68*J68</f>
        <v>0</v>
      </c>
      <c r="L68" s="491"/>
      <c r="M68" s="34"/>
      <c r="N68" s="657"/>
    </row>
    <row r="69" spans="1:14">
      <c r="A69" s="121"/>
      <c r="B69" s="178" t="s">
        <v>627</v>
      </c>
      <c r="C69" s="178" t="s">
        <v>121</v>
      </c>
      <c r="D69" s="178" t="s">
        <v>442</v>
      </c>
      <c r="E69" s="180"/>
      <c r="F69" s="619"/>
      <c r="G69" s="248" t="s">
        <v>70</v>
      </c>
      <c r="H69" s="641"/>
      <c r="I69" s="642"/>
      <c r="J69" s="643">
        <v>146</v>
      </c>
      <c r="K69" s="643">
        <f t="shared" ref="K69:K70" si="17">I69*J69</f>
        <v>0</v>
      </c>
      <c r="L69" s="491"/>
      <c r="M69" s="491"/>
      <c r="N69" s="657"/>
    </row>
    <row r="70" spans="1:14">
      <c r="A70" s="121"/>
      <c r="B70" s="178"/>
      <c r="C70" s="178"/>
      <c r="D70" s="178"/>
      <c r="E70" s="180"/>
      <c r="F70" s="619"/>
      <c r="G70" s="248" t="s">
        <v>20</v>
      </c>
      <c r="H70" s="641"/>
      <c r="I70" s="642"/>
      <c r="J70" s="643">
        <v>315</v>
      </c>
      <c r="K70" s="643">
        <f t="shared" si="17"/>
        <v>0</v>
      </c>
      <c r="L70" s="491"/>
      <c r="M70" s="491"/>
      <c r="N70" s="657"/>
    </row>
    <row r="71" spans="1:14">
      <c r="A71" s="121"/>
      <c r="B71" s="121"/>
      <c r="C71" s="121"/>
      <c r="D71" s="121"/>
      <c r="E71" s="647" t="s">
        <v>9</v>
      </c>
      <c r="F71" s="706">
        <f>SUM(F68:F70)</f>
        <v>0</v>
      </c>
      <c r="G71" s="647"/>
      <c r="H71" s="647"/>
      <c r="I71" s="707"/>
      <c r="J71" s="708"/>
      <c r="K71" s="60">
        <f>SUM(K69:K70)</f>
        <v>0</v>
      </c>
      <c r="L71" s="60" t="e">
        <f>K71/F71</f>
        <v>#DIV/0!</v>
      </c>
      <c r="M71" s="491"/>
      <c r="N71" s="657"/>
    </row>
    <row r="72" spans="1:14">
      <c r="A72" s="709"/>
      <c r="B72" s="709"/>
      <c r="C72" s="709"/>
      <c r="D72" s="611" t="s">
        <v>30</v>
      </c>
      <c r="E72" s="611"/>
      <c r="F72" s="710">
        <f>F71</f>
        <v>0</v>
      </c>
      <c r="G72" s="711"/>
      <c r="H72" s="711"/>
      <c r="I72" s="711"/>
      <c r="J72" s="711"/>
      <c r="K72" s="710">
        <f>K71</f>
        <v>0</v>
      </c>
      <c r="L72" s="712" t="e">
        <f>K72/F72</f>
        <v>#DIV/0!</v>
      </c>
      <c r="M72" s="713"/>
      <c r="N72" s="657"/>
    </row>
    <row r="73" spans="1:14">
      <c r="A73" s="702" t="s">
        <v>72</v>
      </c>
      <c r="B73" s="702"/>
      <c r="C73" s="702"/>
      <c r="D73" s="702"/>
      <c r="E73" s="702"/>
      <c r="F73" s="657"/>
      <c r="G73" s="657"/>
      <c r="H73" s="657"/>
      <c r="I73" s="714"/>
      <c r="J73" s="657"/>
      <c r="K73" s="849" t="s">
        <v>1212</v>
      </c>
      <c r="L73" s="849"/>
      <c r="M73" s="849"/>
      <c r="N73" s="657"/>
    </row>
    <row r="74" spans="1:14">
      <c r="A74" s="647" t="s">
        <v>0</v>
      </c>
      <c r="B74" s="647" t="s">
        <v>7</v>
      </c>
      <c r="C74" s="647" t="s">
        <v>13</v>
      </c>
      <c r="D74" s="647" t="s">
        <v>14</v>
      </c>
      <c r="E74" s="647" t="s">
        <v>8</v>
      </c>
      <c r="F74" s="647" t="s">
        <v>1</v>
      </c>
      <c r="G74" s="647" t="s">
        <v>2</v>
      </c>
      <c r="H74" s="647" t="s">
        <v>15</v>
      </c>
      <c r="I74" s="715" t="s">
        <v>3</v>
      </c>
      <c r="J74" s="647" t="s">
        <v>4</v>
      </c>
      <c r="K74" s="647" t="s">
        <v>5</v>
      </c>
      <c r="L74" s="647" t="s">
        <v>12</v>
      </c>
      <c r="M74" s="647" t="s">
        <v>6</v>
      </c>
      <c r="N74" s="658"/>
    </row>
    <row r="75" spans="1:14">
      <c r="A75" s="178">
        <v>5728</v>
      </c>
      <c r="B75" s="178" t="s">
        <v>552</v>
      </c>
      <c r="C75" s="629" t="s">
        <v>553</v>
      </c>
      <c r="D75" s="629" t="s">
        <v>554</v>
      </c>
      <c r="E75" s="178" t="s">
        <v>101</v>
      </c>
      <c r="F75" s="621"/>
      <c r="G75" s="639" t="s">
        <v>190</v>
      </c>
      <c r="H75" s="192"/>
      <c r="I75" s="554"/>
      <c r="J75" s="614">
        <v>890</v>
      </c>
      <c r="K75" s="614">
        <f t="shared" ref="K75:K80" si="18">I75*J75</f>
        <v>0</v>
      </c>
      <c r="L75" s="491"/>
      <c r="M75" s="491"/>
      <c r="N75" s="657"/>
    </row>
    <row r="76" spans="1:14">
      <c r="A76" s="121"/>
      <c r="B76" s="178"/>
      <c r="C76" s="178"/>
      <c r="D76" s="178"/>
      <c r="E76" s="178"/>
      <c r="F76" s="178"/>
      <c r="G76" s="179" t="s">
        <v>183</v>
      </c>
      <c r="H76" s="192"/>
      <c r="I76" s="554"/>
      <c r="J76" s="614">
        <v>1950</v>
      </c>
      <c r="K76" s="614">
        <f t="shared" si="18"/>
        <v>0</v>
      </c>
      <c r="L76" s="491"/>
      <c r="M76" s="491"/>
      <c r="N76" s="657"/>
    </row>
    <row r="77" spans="1:14">
      <c r="A77" s="121"/>
      <c r="B77" s="121"/>
      <c r="C77" s="121"/>
      <c r="D77" s="121"/>
      <c r="E77" s="121"/>
      <c r="F77" s="703"/>
      <c r="G77" s="179" t="s">
        <v>198</v>
      </c>
      <c r="H77" s="178"/>
      <c r="I77" s="632"/>
      <c r="J77" s="614">
        <v>2852</v>
      </c>
      <c r="K77" s="633">
        <f t="shared" si="18"/>
        <v>0</v>
      </c>
      <c r="L77" s="491"/>
      <c r="M77" s="491"/>
      <c r="N77" s="657"/>
    </row>
    <row r="78" spans="1:14">
      <c r="A78" s="121"/>
      <c r="B78" s="121"/>
      <c r="C78" s="121"/>
      <c r="D78" s="121"/>
      <c r="E78" s="121"/>
      <c r="F78" s="703"/>
      <c r="G78" s="640" t="s">
        <v>192</v>
      </c>
      <c r="H78" s="192"/>
      <c r="I78" s="554"/>
      <c r="J78" s="614">
        <v>1742</v>
      </c>
      <c r="K78" s="614">
        <f t="shared" si="18"/>
        <v>0</v>
      </c>
      <c r="L78" s="491"/>
      <c r="M78" s="491"/>
      <c r="N78" s="657"/>
    </row>
    <row r="79" spans="1:14">
      <c r="A79" s="121"/>
      <c r="B79" s="121"/>
      <c r="C79" s="121"/>
      <c r="D79" s="121"/>
      <c r="E79" s="121"/>
      <c r="F79" s="703"/>
      <c r="G79" s="640" t="s">
        <v>279</v>
      </c>
      <c r="H79" s="178"/>
      <c r="I79" s="632"/>
      <c r="J79" s="614">
        <v>876</v>
      </c>
      <c r="K79" s="614">
        <f t="shared" si="18"/>
        <v>0</v>
      </c>
      <c r="L79" s="491"/>
      <c r="M79" s="491"/>
      <c r="N79" s="657"/>
    </row>
    <row r="80" spans="1:14">
      <c r="A80" s="121"/>
      <c r="B80" s="121"/>
      <c r="C80" s="121"/>
      <c r="D80" s="121"/>
      <c r="E80" s="121"/>
      <c r="F80" s="703"/>
      <c r="G80" s="640" t="s">
        <v>329</v>
      </c>
      <c r="H80" s="178"/>
      <c r="I80" s="632"/>
      <c r="J80" s="614">
        <v>1787</v>
      </c>
      <c r="K80" s="614">
        <f t="shared" si="18"/>
        <v>0</v>
      </c>
      <c r="L80" s="491"/>
      <c r="M80" s="491"/>
      <c r="N80" s="657"/>
    </row>
    <row r="81" spans="1:14">
      <c r="A81" s="121"/>
      <c r="B81" s="121"/>
      <c r="C81" s="121"/>
      <c r="D81" s="121"/>
      <c r="E81" s="121"/>
      <c r="F81" s="703"/>
      <c r="G81" s="178" t="s">
        <v>184</v>
      </c>
      <c r="H81" s="192"/>
      <c r="I81" s="554"/>
      <c r="J81" s="614">
        <v>396</v>
      </c>
      <c r="K81" s="614">
        <f t="shared" ref="K81:K82" si="19">I81*J81</f>
        <v>0</v>
      </c>
      <c r="L81" s="491"/>
      <c r="M81" s="491"/>
      <c r="N81" s="657"/>
    </row>
    <row r="82" spans="1:14">
      <c r="A82" s="121"/>
      <c r="B82" s="121"/>
      <c r="C82" s="121"/>
      <c r="D82" s="121"/>
      <c r="E82" s="121"/>
      <c r="F82" s="703"/>
      <c r="G82" s="640" t="s">
        <v>185</v>
      </c>
      <c r="H82" s="192"/>
      <c r="I82" s="554"/>
      <c r="J82" s="614">
        <v>623</v>
      </c>
      <c r="K82" s="614">
        <f t="shared" si="19"/>
        <v>0</v>
      </c>
      <c r="L82" s="491"/>
      <c r="M82" s="491"/>
      <c r="N82" s="657"/>
    </row>
    <row r="83" spans="1:14">
      <c r="A83" s="121"/>
      <c r="B83" s="121"/>
      <c r="C83" s="121"/>
      <c r="D83" s="121"/>
      <c r="E83" s="647" t="s">
        <v>9</v>
      </c>
      <c r="F83" s="706">
        <f>SUM(F75:F82)</f>
        <v>0</v>
      </c>
      <c r="G83" s="647"/>
      <c r="H83" s="647"/>
      <c r="I83" s="707"/>
      <c r="J83" s="708"/>
      <c r="K83" s="60">
        <f>SUM(K75:K82)</f>
        <v>0</v>
      </c>
      <c r="L83" s="60" t="e">
        <f>K83/F83</f>
        <v>#DIV/0!</v>
      </c>
      <c r="M83" s="491"/>
      <c r="N83" s="657"/>
    </row>
    <row r="84" spans="1:14">
      <c r="A84" s="178">
        <v>5738</v>
      </c>
      <c r="B84" s="178" t="s">
        <v>583</v>
      </c>
      <c r="C84" s="178" t="s">
        <v>513</v>
      </c>
      <c r="D84" s="178" t="s">
        <v>120</v>
      </c>
      <c r="E84" s="178" t="s">
        <v>232</v>
      </c>
      <c r="F84" s="638"/>
      <c r="G84" s="639" t="s">
        <v>190</v>
      </c>
      <c r="H84" s="192"/>
      <c r="I84" s="554"/>
      <c r="J84" s="614">
        <v>890</v>
      </c>
      <c r="K84" s="614">
        <f t="shared" ref="K84" si="20">I84*J84</f>
        <v>0</v>
      </c>
      <c r="L84" s="491"/>
      <c r="M84" s="491"/>
      <c r="N84" s="657"/>
    </row>
    <row r="85" spans="1:14" s="10" customFormat="1">
      <c r="A85" s="178"/>
      <c r="B85" s="178"/>
      <c r="C85" s="178"/>
      <c r="D85" s="178"/>
      <c r="E85" s="178"/>
      <c r="F85" s="621"/>
      <c r="G85" s="640" t="s">
        <v>192</v>
      </c>
      <c r="H85" s="192"/>
      <c r="I85" s="554"/>
      <c r="J85" s="614">
        <v>1742</v>
      </c>
      <c r="K85" s="614">
        <f t="shared" ref="K85:K86" si="21">I85*J85</f>
        <v>0</v>
      </c>
      <c r="L85" s="491"/>
      <c r="M85" s="491"/>
      <c r="N85" s="657"/>
    </row>
    <row r="86" spans="1:14" s="10" customFormat="1">
      <c r="A86" s="178"/>
      <c r="B86" s="178"/>
      <c r="C86" s="178"/>
      <c r="D86" s="178"/>
      <c r="E86" s="178"/>
      <c r="F86" s="621"/>
      <c r="G86" s="640" t="s">
        <v>199</v>
      </c>
      <c r="H86" s="192"/>
      <c r="I86" s="554"/>
      <c r="J86" s="614">
        <v>674</v>
      </c>
      <c r="K86" s="614">
        <f t="shared" si="21"/>
        <v>0</v>
      </c>
      <c r="L86" s="491"/>
      <c r="M86" s="491"/>
      <c r="N86" s="657"/>
    </row>
    <row r="87" spans="1:14">
      <c r="A87" s="178"/>
      <c r="B87" s="178"/>
      <c r="C87" s="178"/>
      <c r="D87" s="178"/>
      <c r="E87" s="178"/>
      <c r="F87" s="621"/>
      <c r="G87" s="178" t="s">
        <v>184</v>
      </c>
      <c r="H87" s="192"/>
      <c r="I87" s="554"/>
      <c r="J87" s="614">
        <v>396</v>
      </c>
      <c r="K87" s="614">
        <f t="shared" ref="K87:K88" si="22">I87*J87</f>
        <v>0</v>
      </c>
      <c r="L87" s="491"/>
      <c r="M87" s="491"/>
      <c r="N87" s="657"/>
    </row>
    <row r="88" spans="1:14">
      <c r="A88" s="178"/>
      <c r="B88" s="178"/>
      <c r="C88" s="178"/>
      <c r="D88" s="178"/>
      <c r="E88" s="178"/>
      <c r="F88" s="621"/>
      <c r="G88" s="640" t="s">
        <v>185</v>
      </c>
      <c r="H88" s="192"/>
      <c r="I88" s="554"/>
      <c r="J88" s="614">
        <v>623</v>
      </c>
      <c r="K88" s="614">
        <f t="shared" si="22"/>
        <v>0</v>
      </c>
      <c r="L88" s="491"/>
      <c r="M88" s="491"/>
      <c r="N88" s="657"/>
    </row>
    <row r="89" spans="1:14">
      <c r="A89" s="178"/>
      <c r="B89" s="178"/>
      <c r="C89" s="178"/>
      <c r="D89" s="178"/>
      <c r="E89" s="180" t="s">
        <v>9</v>
      </c>
      <c r="F89" s="622">
        <f>SUM(F84:F88)</f>
        <v>0</v>
      </c>
      <c r="G89" s="647"/>
      <c r="H89" s="647"/>
      <c r="I89" s="707"/>
      <c r="J89" s="708"/>
      <c r="K89" s="60">
        <f>SUM(K84:K88)</f>
        <v>0</v>
      </c>
      <c r="L89" s="60" t="e">
        <f>K89/F89</f>
        <v>#DIV/0!</v>
      </c>
      <c r="M89" s="491"/>
      <c r="N89" s="657"/>
    </row>
    <row r="90" spans="1:14">
      <c r="A90" s="178">
        <v>5736</v>
      </c>
      <c r="B90" s="178" t="s">
        <v>543</v>
      </c>
      <c r="C90" s="629" t="s">
        <v>455</v>
      </c>
      <c r="D90" s="629" t="s">
        <v>568</v>
      </c>
      <c r="E90" s="178" t="s">
        <v>102</v>
      </c>
      <c r="F90" s="638"/>
      <c r="G90" s="639" t="s">
        <v>190</v>
      </c>
      <c r="H90" s="192"/>
      <c r="I90" s="554"/>
      <c r="J90" s="614">
        <v>890</v>
      </c>
      <c r="K90" s="614">
        <f t="shared" ref="K90:K95" si="23">I90*J90</f>
        <v>0</v>
      </c>
      <c r="L90" s="491"/>
      <c r="M90" s="491"/>
      <c r="N90" s="657"/>
    </row>
    <row r="91" spans="1:14">
      <c r="A91" s="178"/>
      <c r="B91" s="178"/>
      <c r="C91" s="178"/>
      <c r="D91" s="178"/>
      <c r="E91" s="178"/>
      <c r="F91" s="621"/>
      <c r="G91" s="640" t="s">
        <v>192</v>
      </c>
      <c r="H91" s="192"/>
      <c r="I91" s="554"/>
      <c r="J91" s="614">
        <v>1742</v>
      </c>
      <c r="K91" s="614">
        <f t="shared" si="23"/>
        <v>0</v>
      </c>
      <c r="L91" s="491"/>
      <c r="M91" s="491"/>
      <c r="N91" s="657"/>
    </row>
    <row r="92" spans="1:14">
      <c r="A92" s="121"/>
      <c r="B92" s="121"/>
      <c r="C92" s="121"/>
      <c r="D92" s="121"/>
      <c r="E92" s="121"/>
      <c r="F92" s="703"/>
      <c r="G92" s="640" t="s">
        <v>193</v>
      </c>
      <c r="H92" s="192"/>
      <c r="I92" s="554"/>
      <c r="J92" s="614">
        <v>1545</v>
      </c>
      <c r="K92" s="614">
        <f t="shared" si="23"/>
        <v>0</v>
      </c>
      <c r="L92" s="491"/>
      <c r="M92" s="491"/>
      <c r="N92" s="657"/>
    </row>
    <row r="93" spans="1:14">
      <c r="A93" s="121"/>
      <c r="B93" s="121"/>
      <c r="C93" s="121"/>
      <c r="D93" s="121"/>
      <c r="E93" s="121"/>
      <c r="F93" s="703"/>
      <c r="G93" s="179" t="s">
        <v>183</v>
      </c>
      <c r="H93" s="192"/>
      <c r="I93" s="554"/>
      <c r="J93" s="614">
        <v>1950</v>
      </c>
      <c r="K93" s="614">
        <f t="shared" si="23"/>
        <v>0</v>
      </c>
      <c r="L93" s="491"/>
      <c r="M93" s="491"/>
      <c r="N93" s="657"/>
    </row>
    <row r="94" spans="1:14">
      <c r="A94" s="121"/>
      <c r="B94" s="121"/>
      <c r="C94" s="121"/>
      <c r="D94" s="121"/>
      <c r="E94" s="121"/>
      <c r="F94" s="703"/>
      <c r="G94" s="178" t="s">
        <v>184</v>
      </c>
      <c r="H94" s="192"/>
      <c r="I94" s="554"/>
      <c r="J94" s="614">
        <v>396</v>
      </c>
      <c r="K94" s="614">
        <f t="shared" si="23"/>
        <v>0</v>
      </c>
      <c r="L94" s="491"/>
      <c r="M94" s="491"/>
      <c r="N94" s="657"/>
    </row>
    <row r="95" spans="1:14">
      <c r="A95" s="121"/>
      <c r="B95" s="121"/>
      <c r="C95" s="121"/>
      <c r="D95" s="121"/>
      <c r="E95" s="121"/>
      <c r="F95" s="703"/>
      <c r="G95" s="640" t="s">
        <v>185</v>
      </c>
      <c r="H95" s="192"/>
      <c r="I95" s="554"/>
      <c r="J95" s="614">
        <v>623</v>
      </c>
      <c r="K95" s="614">
        <f t="shared" si="23"/>
        <v>0</v>
      </c>
      <c r="L95" s="491"/>
      <c r="M95" s="491"/>
      <c r="N95" s="657"/>
    </row>
    <row r="96" spans="1:14">
      <c r="A96" s="121"/>
      <c r="B96" s="121"/>
      <c r="C96" s="121"/>
      <c r="D96" s="121"/>
      <c r="E96" s="180" t="s">
        <v>9</v>
      </c>
      <c r="F96" s="622">
        <f>SUM(F90:F95)</f>
        <v>0</v>
      </c>
      <c r="G96" s="647"/>
      <c r="H96" s="647"/>
      <c r="I96" s="707"/>
      <c r="J96" s="708"/>
      <c r="K96" s="60">
        <f>SUM(K90:K95)</f>
        <v>0</v>
      </c>
      <c r="L96" s="60" t="e">
        <f>K96/F96</f>
        <v>#DIV/0!</v>
      </c>
      <c r="M96" s="491"/>
      <c r="N96" s="657"/>
    </row>
    <row r="97" spans="1:14">
      <c r="A97" s="178">
        <v>5873</v>
      </c>
      <c r="B97" s="178" t="s">
        <v>502</v>
      </c>
      <c r="C97" s="178" t="s">
        <v>268</v>
      </c>
      <c r="D97" s="178" t="s">
        <v>74</v>
      </c>
      <c r="E97" s="178" t="s">
        <v>326</v>
      </c>
      <c r="F97" s="638"/>
      <c r="G97" s="640" t="s">
        <v>196</v>
      </c>
      <c r="H97" s="192"/>
      <c r="I97" s="554"/>
      <c r="J97" s="614">
        <v>1380</v>
      </c>
      <c r="K97" s="614">
        <f t="shared" ref="K97:K101" si="24">I97*J97</f>
        <v>0</v>
      </c>
      <c r="L97" s="104"/>
      <c r="M97" s="491"/>
      <c r="N97" s="657"/>
    </row>
    <row r="98" spans="1:14">
      <c r="A98" s="178"/>
      <c r="B98" s="178"/>
      <c r="C98" s="178"/>
      <c r="D98" s="178"/>
      <c r="E98" s="178"/>
      <c r="F98" s="621"/>
      <c r="G98" s="640" t="s">
        <v>192</v>
      </c>
      <c r="H98" s="192"/>
      <c r="I98" s="554"/>
      <c r="J98" s="614">
        <v>1742</v>
      </c>
      <c r="K98" s="614">
        <f t="shared" si="24"/>
        <v>0</v>
      </c>
      <c r="L98" s="104"/>
      <c r="M98" s="491"/>
      <c r="N98" s="657"/>
    </row>
    <row r="99" spans="1:14">
      <c r="A99" s="178"/>
      <c r="B99" s="121"/>
      <c r="C99" s="121"/>
      <c r="D99" s="121"/>
      <c r="E99" s="121"/>
      <c r="F99" s="703"/>
      <c r="G99" s="640" t="s">
        <v>193</v>
      </c>
      <c r="H99" s="192"/>
      <c r="I99" s="554"/>
      <c r="J99" s="614">
        <v>1545</v>
      </c>
      <c r="K99" s="614">
        <f t="shared" si="24"/>
        <v>0</v>
      </c>
      <c r="L99" s="104"/>
      <c r="M99" s="491"/>
      <c r="N99" s="657"/>
    </row>
    <row r="100" spans="1:14">
      <c r="A100" s="178"/>
      <c r="B100" s="121"/>
      <c r="C100" s="121"/>
      <c r="D100" s="121"/>
      <c r="E100" s="121"/>
      <c r="F100" s="703"/>
      <c r="G100" s="178" t="s">
        <v>184</v>
      </c>
      <c r="H100" s="178"/>
      <c r="I100" s="554"/>
      <c r="J100" s="614">
        <v>369</v>
      </c>
      <c r="K100" s="633">
        <f t="shared" si="24"/>
        <v>0</v>
      </c>
      <c r="L100" s="104"/>
      <c r="M100" s="491"/>
      <c r="N100" s="657"/>
    </row>
    <row r="101" spans="1:14">
      <c r="A101" s="178"/>
      <c r="B101" s="121"/>
      <c r="C101" s="121"/>
      <c r="D101" s="121"/>
      <c r="E101" s="121"/>
      <c r="F101" s="703"/>
      <c r="G101" s="640" t="s">
        <v>185</v>
      </c>
      <c r="H101" s="192"/>
      <c r="I101" s="554"/>
      <c r="J101" s="614">
        <v>623</v>
      </c>
      <c r="K101" s="614">
        <f t="shared" si="24"/>
        <v>0</v>
      </c>
      <c r="L101" s="104"/>
      <c r="M101" s="491"/>
      <c r="N101" s="657"/>
    </row>
    <row r="102" spans="1:14">
      <c r="A102" s="178"/>
      <c r="B102" s="121"/>
      <c r="C102" s="121"/>
      <c r="D102" s="121"/>
      <c r="E102" s="180" t="s">
        <v>9</v>
      </c>
      <c r="F102" s="622">
        <f>SUM(F97:F101)</f>
        <v>0</v>
      </c>
      <c r="G102" s="647"/>
      <c r="H102" s="647"/>
      <c r="I102" s="707"/>
      <c r="J102" s="708"/>
      <c r="K102" s="60">
        <f>SUM(K97:K101)</f>
        <v>0</v>
      </c>
      <c r="L102" s="60" t="e">
        <f>K102/F102</f>
        <v>#DIV/0!</v>
      </c>
      <c r="M102" s="491"/>
      <c r="N102" s="657"/>
    </row>
    <row r="103" spans="1:14">
      <c r="A103" s="178">
        <v>5737</v>
      </c>
      <c r="B103" s="178" t="s">
        <v>584</v>
      </c>
      <c r="C103" s="178" t="s">
        <v>268</v>
      </c>
      <c r="D103" s="178" t="s">
        <v>505</v>
      </c>
      <c r="E103" s="178" t="s">
        <v>232</v>
      </c>
      <c r="F103" s="638"/>
      <c r="G103" s="179" t="s">
        <v>314</v>
      </c>
      <c r="H103" s="192"/>
      <c r="I103" s="554"/>
      <c r="J103" s="614">
        <v>1695</v>
      </c>
      <c r="K103" s="614">
        <f t="shared" ref="K103:K106" si="25">I103*J103</f>
        <v>0</v>
      </c>
      <c r="L103" s="491"/>
      <c r="M103" s="491"/>
      <c r="N103" s="657"/>
    </row>
    <row r="104" spans="1:14">
      <c r="A104" s="178"/>
      <c r="B104" s="178"/>
      <c r="C104" s="178"/>
      <c r="D104" s="178"/>
      <c r="E104" s="178"/>
      <c r="F104" s="621"/>
      <c r="G104" s="179" t="s">
        <v>244</v>
      </c>
      <c r="H104" s="192"/>
      <c r="I104" s="554"/>
      <c r="J104" s="614">
        <v>1341</v>
      </c>
      <c r="K104" s="614">
        <f t="shared" si="25"/>
        <v>0</v>
      </c>
      <c r="L104" s="491"/>
      <c r="M104" s="491"/>
      <c r="N104" s="657"/>
    </row>
    <row r="105" spans="1:14">
      <c r="A105" s="178"/>
      <c r="B105" s="121"/>
      <c r="C105" s="121"/>
      <c r="D105" s="121"/>
      <c r="E105" s="121"/>
      <c r="F105" s="703"/>
      <c r="G105" s="178" t="s">
        <v>184</v>
      </c>
      <c r="H105" s="178"/>
      <c r="I105" s="554"/>
      <c r="J105" s="614">
        <v>369</v>
      </c>
      <c r="K105" s="633">
        <f t="shared" si="25"/>
        <v>0</v>
      </c>
      <c r="L105" s="491"/>
      <c r="M105" s="491"/>
      <c r="N105" s="657"/>
    </row>
    <row r="106" spans="1:14">
      <c r="A106" s="178"/>
      <c r="B106" s="121"/>
      <c r="C106" s="121"/>
      <c r="D106" s="121"/>
      <c r="E106" s="121"/>
      <c r="F106" s="703"/>
      <c r="G106" s="640" t="s">
        <v>185</v>
      </c>
      <c r="H106" s="192"/>
      <c r="I106" s="632"/>
      <c r="J106" s="614">
        <v>623</v>
      </c>
      <c r="K106" s="614">
        <f t="shared" si="25"/>
        <v>0</v>
      </c>
      <c r="L106" s="491"/>
      <c r="M106" s="491"/>
      <c r="N106" s="657"/>
    </row>
    <row r="107" spans="1:14">
      <c r="A107" s="178"/>
      <c r="B107" s="121"/>
      <c r="C107" s="121"/>
      <c r="D107" s="121"/>
      <c r="E107" s="180" t="s">
        <v>9</v>
      </c>
      <c r="F107" s="622">
        <f>SUM(F103:F106)</f>
        <v>0</v>
      </c>
      <c r="G107" s="647"/>
      <c r="H107" s="647"/>
      <c r="I107" s="707"/>
      <c r="J107" s="708"/>
      <c r="K107" s="60">
        <f>SUM(K103:K106)</f>
        <v>0</v>
      </c>
      <c r="L107" s="60" t="e">
        <f>K107/F107</f>
        <v>#DIV/0!</v>
      </c>
      <c r="M107" s="491"/>
      <c r="N107" s="657"/>
    </row>
    <row r="108" spans="1:14">
      <c r="A108" s="178">
        <v>5731</v>
      </c>
      <c r="B108" s="178" t="s">
        <v>585</v>
      </c>
      <c r="C108" s="178" t="s">
        <v>339</v>
      </c>
      <c r="D108" s="178" t="s">
        <v>536</v>
      </c>
      <c r="E108" s="178" t="s">
        <v>586</v>
      </c>
      <c r="F108" s="621"/>
      <c r="G108" s="639" t="s">
        <v>190</v>
      </c>
      <c r="H108" s="192"/>
      <c r="I108" s="554"/>
      <c r="J108" s="614">
        <v>890</v>
      </c>
      <c r="K108" s="614">
        <f t="shared" ref="K108:K112" si="26">I108*J108</f>
        <v>0</v>
      </c>
      <c r="L108" s="192"/>
      <c r="M108" s="491"/>
      <c r="N108" s="657"/>
    </row>
    <row r="109" spans="1:14">
      <c r="A109" s="178"/>
      <c r="B109" s="178"/>
      <c r="C109" s="178"/>
      <c r="D109" s="178"/>
      <c r="E109" s="178"/>
      <c r="F109" s="178"/>
      <c r="G109" s="640" t="s">
        <v>192</v>
      </c>
      <c r="H109" s="192"/>
      <c r="I109" s="554"/>
      <c r="J109" s="614">
        <v>1742</v>
      </c>
      <c r="K109" s="614">
        <f t="shared" si="26"/>
        <v>0</v>
      </c>
      <c r="L109" s="192"/>
      <c r="M109" s="491"/>
      <c r="N109" s="657"/>
    </row>
    <row r="110" spans="1:14">
      <c r="A110" s="121"/>
      <c r="B110" s="178"/>
      <c r="C110" s="178"/>
      <c r="D110" s="178"/>
      <c r="E110" s="178"/>
      <c r="F110" s="621"/>
      <c r="G110" s="640" t="s">
        <v>283</v>
      </c>
      <c r="H110" s="192"/>
      <c r="I110" s="554"/>
      <c r="J110" s="614">
        <v>1290</v>
      </c>
      <c r="K110" s="614">
        <f t="shared" si="26"/>
        <v>0</v>
      </c>
      <c r="L110" s="192"/>
      <c r="M110" s="491"/>
      <c r="N110" s="657"/>
    </row>
    <row r="111" spans="1:14">
      <c r="A111" s="121"/>
      <c r="B111" s="178"/>
      <c r="C111" s="178"/>
      <c r="D111" s="178"/>
      <c r="E111" s="178"/>
      <c r="F111" s="621"/>
      <c r="G111" s="178" t="s">
        <v>184</v>
      </c>
      <c r="H111" s="192"/>
      <c r="I111" s="554"/>
      <c r="J111" s="614">
        <v>396</v>
      </c>
      <c r="K111" s="614">
        <f t="shared" si="26"/>
        <v>0</v>
      </c>
      <c r="L111" s="192"/>
      <c r="M111" s="491"/>
      <c r="N111" s="657"/>
    </row>
    <row r="112" spans="1:14">
      <c r="A112" s="121"/>
      <c r="B112" s="178"/>
      <c r="C112" s="178"/>
      <c r="D112" s="178"/>
      <c r="E112" s="178"/>
      <c r="F112" s="621"/>
      <c r="G112" s="640" t="s">
        <v>185</v>
      </c>
      <c r="H112" s="192"/>
      <c r="I112" s="554"/>
      <c r="J112" s="614">
        <v>623</v>
      </c>
      <c r="K112" s="614">
        <f t="shared" si="26"/>
        <v>0</v>
      </c>
      <c r="L112" s="192"/>
      <c r="M112" s="491"/>
      <c r="N112" s="657"/>
    </row>
    <row r="113" spans="1:14">
      <c r="A113" s="121"/>
      <c r="B113" s="121"/>
      <c r="C113" s="121"/>
      <c r="D113" s="121"/>
      <c r="E113" s="180" t="s">
        <v>9</v>
      </c>
      <c r="F113" s="622">
        <f>SUM(F108:F112)</f>
        <v>0</v>
      </c>
      <c r="G113" s="647"/>
      <c r="H113" s="647"/>
      <c r="I113" s="707"/>
      <c r="J113" s="708"/>
      <c r="K113" s="60">
        <f>SUM(K108:K112)</f>
        <v>0</v>
      </c>
      <c r="L113" s="60" t="e">
        <f>K113/F113</f>
        <v>#DIV/0!</v>
      </c>
      <c r="M113" s="491"/>
      <c r="N113" s="657"/>
    </row>
    <row r="114" spans="1:14">
      <c r="A114" s="709"/>
      <c r="B114" s="709"/>
      <c r="C114" s="709"/>
      <c r="D114" s="611" t="s">
        <v>30</v>
      </c>
      <c r="E114" s="611"/>
      <c r="F114" s="710">
        <f>F83+F89+F96+F102+F107+F113</f>
        <v>0</v>
      </c>
      <c r="G114" s="711"/>
      <c r="H114" s="711"/>
      <c r="I114" s="711"/>
      <c r="J114" s="711"/>
      <c r="K114" s="710">
        <f>K83+K89+K96+K102+K107+K113</f>
        <v>0</v>
      </c>
      <c r="L114" s="712" t="e">
        <f>K114/F114</f>
        <v>#DIV/0!</v>
      </c>
      <c r="M114" s="713"/>
      <c r="N114" s="657"/>
    </row>
    <row r="115" spans="1:14" ht="15" customHeight="1">
      <c r="A115" s="702" t="s">
        <v>40</v>
      </c>
      <c r="B115" s="702"/>
      <c r="C115" s="702"/>
      <c r="D115" s="702"/>
      <c r="E115" s="702"/>
      <c r="F115" s="657"/>
      <c r="G115" s="657"/>
      <c r="H115" s="657"/>
      <c r="I115" s="714"/>
      <c r="J115" s="657"/>
      <c r="K115" s="849" t="s">
        <v>1212</v>
      </c>
      <c r="L115" s="849"/>
      <c r="M115" s="849"/>
      <c r="N115" s="657"/>
    </row>
    <row r="116" spans="1:14" ht="15" customHeight="1">
      <c r="A116" s="647" t="s">
        <v>0</v>
      </c>
      <c r="B116" s="647" t="s">
        <v>7</v>
      </c>
      <c r="C116" s="647" t="s">
        <v>13</v>
      </c>
      <c r="D116" s="647" t="s">
        <v>14</v>
      </c>
      <c r="E116" s="647" t="s">
        <v>8</v>
      </c>
      <c r="F116" s="647" t="s">
        <v>1</v>
      </c>
      <c r="G116" s="647" t="s">
        <v>2</v>
      </c>
      <c r="H116" s="647" t="s">
        <v>15</v>
      </c>
      <c r="I116" s="715" t="s">
        <v>3</v>
      </c>
      <c r="J116" s="647" t="s">
        <v>4</v>
      </c>
      <c r="K116" s="647" t="s">
        <v>5</v>
      </c>
      <c r="L116" s="647" t="s">
        <v>12</v>
      </c>
      <c r="M116" s="647" t="s">
        <v>6</v>
      </c>
      <c r="N116" s="658"/>
    </row>
    <row r="117" spans="1:14" ht="15" customHeight="1">
      <c r="A117" s="178">
        <v>5231</v>
      </c>
      <c r="B117" s="178" t="s">
        <v>552</v>
      </c>
      <c r="C117" s="629" t="s">
        <v>553</v>
      </c>
      <c r="D117" s="629" t="s">
        <v>554</v>
      </c>
      <c r="E117" s="178" t="s">
        <v>101</v>
      </c>
      <c r="F117" s="621"/>
      <c r="G117" s="178" t="s">
        <v>27</v>
      </c>
      <c r="H117" s="192"/>
      <c r="I117" s="554"/>
      <c r="J117" s="614">
        <v>22</v>
      </c>
      <c r="K117" s="614">
        <f t="shared" ref="K117:K119" si="27">I117*J117</f>
        <v>0</v>
      </c>
      <c r="L117" s="121"/>
      <c r="M117" s="121"/>
      <c r="N117" s="648"/>
    </row>
    <row r="118" spans="1:14" ht="15" customHeight="1">
      <c r="A118" s="121"/>
      <c r="B118" s="121"/>
      <c r="C118" s="121"/>
      <c r="D118" s="121"/>
      <c r="E118" s="121"/>
      <c r="F118" s="121"/>
      <c r="G118" s="179" t="s">
        <v>49</v>
      </c>
      <c r="H118" s="192"/>
      <c r="I118" s="554"/>
      <c r="J118" s="614">
        <v>34</v>
      </c>
      <c r="K118" s="614">
        <f t="shared" si="27"/>
        <v>0</v>
      </c>
      <c r="L118" s="121"/>
      <c r="M118" s="121"/>
      <c r="N118" s="648"/>
    </row>
    <row r="119" spans="1:14" ht="15" customHeight="1">
      <c r="A119" s="121"/>
      <c r="B119" s="121"/>
      <c r="C119" s="121"/>
      <c r="D119" s="121"/>
      <c r="E119" s="121"/>
      <c r="F119" s="121"/>
      <c r="G119" s="178" t="s">
        <v>19</v>
      </c>
      <c r="H119" s="192"/>
      <c r="I119" s="554"/>
      <c r="J119" s="614">
        <v>80</v>
      </c>
      <c r="K119" s="614">
        <f t="shared" si="27"/>
        <v>0</v>
      </c>
      <c r="L119" s="121"/>
      <c r="M119" s="121"/>
      <c r="N119" s="648"/>
    </row>
    <row r="120" spans="1:14" ht="15" customHeight="1">
      <c r="A120" s="121"/>
      <c r="B120" s="121"/>
      <c r="C120" s="121"/>
      <c r="D120" s="121"/>
      <c r="E120" s="647" t="s">
        <v>9</v>
      </c>
      <c r="F120" s="706">
        <f>SUM(F117:F118)</f>
        <v>0</v>
      </c>
      <c r="G120" s="647"/>
      <c r="H120" s="647"/>
      <c r="I120" s="707"/>
      <c r="J120" s="708"/>
      <c r="K120" s="60">
        <f>SUM(K117:K119)</f>
        <v>0</v>
      </c>
      <c r="L120" s="60" t="e">
        <f>K120/F120</f>
        <v>#DIV/0!</v>
      </c>
      <c r="M120" s="491"/>
      <c r="N120" s="657"/>
    </row>
    <row r="121" spans="1:14" ht="15" customHeight="1">
      <c r="A121" s="178">
        <v>5459</v>
      </c>
      <c r="B121" s="178" t="s">
        <v>570</v>
      </c>
      <c r="C121" s="178" t="s">
        <v>121</v>
      </c>
      <c r="D121" s="178" t="s">
        <v>74</v>
      </c>
      <c r="E121" s="178" t="s">
        <v>129</v>
      </c>
      <c r="F121" s="638"/>
      <c r="G121" s="178" t="s">
        <v>27</v>
      </c>
      <c r="H121" s="192"/>
      <c r="I121" s="554"/>
      <c r="J121" s="614">
        <v>22</v>
      </c>
      <c r="K121" s="614">
        <f t="shared" ref="K121:K123" si="28">I121*J121</f>
        <v>0</v>
      </c>
      <c r="L121" s="121"/>
      <c r="M121" s="121"/>
      <c r="N121" s="648"/>
    </row>
    <row r="122" spans="1:14" ht="15" customHeight="1">
      <c r="A122" s="121"/>
      <c r="B122" s="121"/>
      <c r="C122" s="121"/>
      <c r="D122" s="121"/>
      <c r="E122" s="121"/>
      <c r="F122" s="121"/>
      <c r="G122" s="179" t="s">
        <v>49</v>
      </c>
      <c r="H122" s="192"/>
      <c r="I122" s="554"/>
      <c r="J122" s="614">
        <v>34</v>
      </c>
      <c r="K122" s="614">
        <f t="shared" si="28"/>
        <v>0</v>
      </c>
      <c r="L122" s="121"/>
      <c r="M122" s="121"/>
      <c r="N122" s="648"/>
    </row>
    <row r="123" spans="1:14" ht="15" customHeight="1">
      <c r="A123" s="121"/>
      <c r="B123" s="121"/>
      <c r="C123" s="121"/>
      <c r="D123" s="121"/>
      <c r="E123" s="121"/>
      <c r="F123" s="121"/>
      <c r="G123" s="178" t="s">
        <v>19</v>
      </c>
      <c r="H123" s="192"/>
      <c r="I123" s="554"/>
      <c r="J123" s="614">
        <v>80</v>
      </c>
      <c r="K123" s="614">
        <f t="shared" si="28"/>
        <v>0</v>
      </c>
      <c r="L123" s="121"/>
      <c r="M123" s="121"/>
      <c r="N123" s="648"/>
    </row>
    <row r="124" spans="1:14" ht="15" customHeight="1">
      <c r="A124" s="121"/>
      <c r="B124" s="121"/>
      <c r="C124" s="121"/>
      <c r="D124" s="121"/>
      <c r="E124" s="647" t="s">
        <v>9</v>
      </c>
      <c r="F124" s="706">
        <f>SUM(F121:F122)</f>
        <v>0</v>
      </c>
      <c r="G124" s="647"/>
      <c r="H124" s="647"/>
      <c r="I124" s="707"/>
      <c r="J124" s="708"/>
      <c r="K124" s="60">
        <f>SUM(K121:K122)</f>
        <v>0</v>
      </c>
      <c r="L124" s="60" t="e">
        <f>K124/F124</f>
        <v>#DIV/0!</v>
      </c>
      <c r="M124" s="491"/>
      <c r="N124" s="657"/>
    </row>
    <row r="125" spans="1:14" ht="15" customHeight="1">
      <c r="A125" s="709"/>
      <c r="B125" s="709"/>
      <c r="C125" s="709"/>
      <c r="D125" s="611" t="s">
        <v>30</v>
      </c>
      <c r="E125" s="716"/>
      <c r="F125" s="710">
        <f>F120+F124</f>
        <v>0</v>
      </c>
      <c r="G125" s="711"/>
      <c r="H125" s="711"/>
      <c r="I125" s="711"/>
      <c r="J125" s="711"/>
      <c r="K125" s="710">
        <f>K120+K124</f>
        <v>0</v>
      </c>
      <c r="L125" s="712" t="e">
        <f>K125/F125</f>
        <v>#DIV/0!</v>
      </c>
      <c r="M125" s="713"/>
      <c r="N125" s="657"/>
    </row>
    <row r="126" spans="1:14" ht="15" customHeight="1">
      <c r="A126" s="702" t="s">
        <v>11</v>
      </c>
      <c r="B126" s="702"/>
      <c r="C126" s="702"/>
      <c r="D126" s="702"/>
      <c r="E126" s="702"/>
      <c r="F126" s="657"/>
      <c r="G126" s="657"/>
      <c r="H126" s="657"/>
      <c r="I126" s="657"/>
      <c r="J126" s="657"/>
      <c r="K126" s="849" t="s">
        <v>1212</v>
      </c>
      <c r="L126" s="849"/>
      <c r="M126" s="849"/>
      <c r="N126" s="657"/>
    </row>
    <row r="127" spans="1:14" ht="15" customHeight="1">
      <c r="A127" s="647" t="s">
        <v>0</v>
      </c>
      <c r="B127" s="647" t="s">
        <v>7</v>
      </c>
      <c r="C127" s="647" t="s">
        <v>13</v>
      </c>
      <c r="D127" s="647" t="s">
        <v>14</v>
      </c>
      <c r="E127" s="647" t="s">
        <v>8</v>
      </c>
      <c r="F127" s="647" t="s">
        <v>1</v>
      </c>
      <c r="G127" s="647" t="s">
        <v>2</v>
      </c>
      <c r="H127" s="647" t="s">
        <v>15</v>
      </c>
      <c r="I127" s="647" t="s">
        <v>3</v>
      </c>
      <c r="J127" s="647" t="s">
        <v>4</v>
      </c>
      <c r="K127" s="647" t="s">
        <v>5</v>
      </c>
      <c r="L127" s="647" t="s">
        <v>12</v>
      </c>
      <c r="M127" s="647" t="s">
        <v>6</v>
      </c>
      <c r="N127" s="658"/>
    </row>
    <row r="128" spans="1:14" ht="15" customHeight="1">
      <c r="A128" s="178">
        <v>5679</v>
      </c>
      <c r="B128" s="178" t="s">
        <v>570</v>
      </c>
      <c r="C128" s="178" t="s">
        <v>121</v>
      </c>
      <c r="D128" s="178" t="s">
        <v>74</v>
      </c>
      <c r="E128" s="178" t="s">
        <v>129</v>
      </c>
      <c r="F128" s="638"/>
      <c r="G128" s="179" t="s">
        <v>298</v>
      </c>
      <c r="H128" s="192"/>
      <c r="I128" s="554"/>
      <c r="J128" s="614">
        <v>435</v>
      </c>
      <c r="K128" s="633">
        <f t="shared" ref="K128:K129" si="29">I128*J128</f>
        <v>0</v>
      </c>
      <c r="L128" s="491"/>
      <c r="M128" s="491"/>
      <c r="N128" s="657"/>
    </row>
    <row r="129" spans="1:14" ht="15" customHeight="1">
      <c r="A129" s="121"/>
      <c r="B129" s="121"/>
      <c r="C129" s="121"/>
      <c r="D129" s="121"/>
      <c r="E129" s="121"/>
      <c r="F129" s="703"/>
      <c r="G129" s="179" t="s">
        <v>206</v>
      </c>
      <c r="H129" s="192"/>
      <c r="I129" s="614"/>
      <c r="J129" s="614">
        <v>375</v>
      </c>
      <c r="K129" s="614">
        <f t="shared" si="29"/>
        <v>0</v>
      </c>
      <c r="L129" s="491"/>
      <c r="M129" s="491"/>
      <c r="N129" s="657"/>
    </row>
    <row r="130" spans="1:14" ht="15" customHeight="1">
      <c r="A130" s="121"/>
      <c r="B130" s="121"/>
      <c r="C130" s="121"/>
      <c r="D130" s="121"/>
      <c r="E130" s="647" t="s">
        <v>9</v>
      </c>
      <c r="F130" s="706">
        <f>SUM(F128:F128)</f>
        <v>0</v>
      </c>
      <c r="G130" s="647"/>
      <c r="H130" s="647"/>
      <c r="I130" s="708"/>
      <c r="J130" s="708"/>
      <c r="K130" s="60">
        <f>SUM(K128:K129)</f>
        <v>0</v>
      </c>
      <c r="L130" s="60" t="e">
        <f>K130/F130</f>
        <v>#DIV/0!</v>
      </c>
      <c r="M130" s="491"/>
      <c r="N130" s="657"/>
    </row>
    <row r="131" spans="1:14" ht="15" customHeight="1">
      <c r="A131" s="178">
        <v>5680</v>
      </c>
      <c r="B131" s="178" t="s">
        <v>358</v>
      </c>
      <c r="C131" s="178" t="s">
        <v>121</v>
      </c>
      <c r="D131" s="178" t="s">
        <v>334</v>
      </c>
      <c r="E131" s="178" t="s">
        <v>404</v>
      </c>
      <c r="F131" s="621"/>
      <c r="G131" s="179" t="s">
        <v>206</v>
      </c>
      <c r="H131" s="192"/>
      <c r="I131" s="614"/>
      <c r="J131" s="614">
        <v>375</v>
      </c>
      <c r="K131" s="614">
        <f t="shared" ref="K131:K136" si="30">I131*J131</f>
        <v>0</v>
      </c>
      <c r="L131" s="192"/>
      <c r="M131" s="491"/>
      <c r="N131" s="657"/>
    </row>
    <row r="132" spans="1:14" ht="15" customHeight="1">
      <c r="A132" s="121"/>
      <c r="B132" s="178"/>
      <c r="C132" s="178"/>
      <c r="D132" s="178"/>
      <c r="E132" s="178" t="s">
        <v>496</v>
      </c>
      <c r="F132" s="645"/>
      <c r="G132" s="178" t="s">
        <v>250</v>
      </c>
      <c r="H132" s="192"/>
      <c r="I132" s="554"/>
      <c r="J132" s="614">
        <v>351</v>
      </c>
      <c r="K132" s="614">
        <f t="shared" si="30"/>
        <v>0</v>
      </c>
      <c r="L132" s="192"/>
      <c r="M132" s="491"/>
      <c r="N132" s="657"/>
    </row>
    <row r="133" spans="1:14" ht="15" customHeight="1">
      <c r="A133" s="121"/>
      <c r="B133" s="121"/>
      <c r="C133" s="121"/>
      <c r="D133" s="121"/>
      <c r="E133" s="121"/>
      <c r="F133" s="703"/>
      <c r="G133" s="179" t="s">
        <v>298</v>
      </c>
      <c r="H133" s="192"/>
      <c r="I133" s="554"/>
      <c r="J133" s="614">
        <v>435</v>
      </c>
      <c r="K133" s="705">
        <f t="shared" si="30"/>
        <v>0</v>
      </c>
      <c r="L133" s="491"/>
      <c r="M133" s="491"/>
      <c r="N133" s="657"/>
    </row>
    <row r="134" spans="1:14" ht="15" customHeight="1">
      <c r="A134" s="121"/>
      <c r="B134" s="121"/>
      <c r="C134" s="121"/>
      <c r="D134" s="121"/>
      <c r="E134" s="121"/>
      <c r="F134" s="703"/>
      <c r="G134" s="178" t="s">
        <v>202</v>
      </c>
      <c r="H134" s="192"/>
      <c r="I134" s="717"/>
      <c r="J134" s="152">
        <v>386</v>
      </c>
      <c r="K134" s="614">
        <f t="shared" si="30"/>
        <v>0</v>
      </c>
      <c r="L134" s="491"/>
      <c r="M134" s="491"/>
      <c r="N134" s="657"/>
    </row>
    <row r="135" spans="1:14" ht="15" customHeight="1">
      <c r="A135" s="121"/>
      <c r="B135" s="121"/>
      <c r="C135" s="121"/>
      <c r="D135" s="121"/>
      <c r="E135" s="647" t="s">
        <v>9</v>
      </c>
      <c r="F135" s="706">
        <f>SUM(F131:F134)</f>
        <v>0</v>
      </c>
      <c r="G135" s="647"/>
      <c r="H135" s="647"/>
      <c r="I135" s="708"/>
      <c r="J135" s="708"/>
      <c r="K135" s="60">
        <f>SUM(K131:K134)</f>
        <v>0</v>
      </c>
      <c r="L135" s="60" t="e">
        <f>K135/F135</f>
        <v>#DIV/0!</v>
      </c>
      <c r="M135" s="491"/>
      <c r="N135" s="657"/>
    </row>
    <row r="136" spans="1:14" ht="15" customHeight="1">
      <c r="A136" s="121">
        <v>5684</v>
      </c>
      <c r="B136" s="178" t="s">
        <v>549</v>
      </c>
      <c r="C136" s="178" t="s">
        <v>550</v>
      </c>
      <c r="D136" s="178" t="s">
        <v>467</v>
      </c>
      <c r="E136" s="178" t="s">
        <v>236</v>
      </c>
      <c r="F136" s="621"/>
      <c r="G136" s="179" t="s">
        <v>587</v>
      </c>
      <c r="H136" s="192"/>
      <c r="I136" s="554"/>
      <c r="J136" s="614">
        <v>456</v>
      </c>
      <c r="K136" s="614">
        <f t="shared" si="30"/>
        <v>0</v>
      </c>
      <c r="L136" s="491"/>
      <c r="M136" s="491"/>
      <c r="N136" s="657"/>
    </row>
    <row r="137" spans="1:14" ht="15" customHeight="1">
      <c r="A137" s="121"/>
      <c r="B137" s="121"/>
      <c r="C137" s="121"/>
      <c r="D137" s="121"/>
      <c r="E137" s="647" t="s">
        <v>9</v>
      </c>
      <c r="F137" s="706">
        <f>SUM(F136)</f>
        <v>0</v>
      </c>
      <c r="G137" s="647"/>
      <c r="H137" s="647"/>
      <c r="I137" s="708"/>
      <c r="J137" s="708"/>
      <c r="K137" s="60">
        <f>SUM(K136)</f>
        <v>0</v>
      </c>
      <c r="L137" s="60" t="e">
        <f>K137/F137</f>
        <v>#DIV/0!</v>
      </c>
      <c r="M137" s="491"/>
      <c r="N137" s="657"/>
    </row>
    <row r="138" spans="1:14" ht="15" customHeight="1">
      <c r="A138" s="657"/>
      <c r="B138" s="657"/>
      <c r="C138" s="657"/>
      <c r="D138" s="611" t="s">
        <v>30</v>
      </c>
      <c r="E138" s="611"/>
      <c r="F138" s="710">
        <f>F130+F135+F137</f>
        <v>0</v>
      </c>
      <c r="G138" s="711"/>
      <c r="H138" s="711"/>
      <c r="I138" s="711"/>
      <c r="J138" s="711"/>
      <c r="K138" s="710">
        <f>K130+K135+K137</f>
        <v>0</v>
      </c>
      <c r="L138" s="712" t="e">
        <f>K138/F138</f>
        <v>#DIV/0!</v>
      </c>
      <c r="M138" s="657"/>
      <c r="N138" s="657"/>
    </row>
    <row r="139" spans="1:14" ht="15" customHeight="1">
      <c r="A139" s="850" t="s">
        <v>42</v>
      </c>
      <c r="B139" s="850"/>
      <c r="C139" s="702"/>
      <c r="D139" s="702"/>
      <c r="E139" s="702"/>
      <c r="F139" s="657"/>
      <c r="G139" s="657"/>
      <c r="H139" s="657"/>
      <c r="I139" s="657"/>
      <c r="J139" s="657"/>
      <c r="K139" s="849" t="s">
        <v>1212</v>
      </c>
      <c r="L139" s="849"/>
      <c r="M139" s="849"/>
      <c r="N139" s="657"/>
    </row>
    <row r="140" spans="1:14" ht="15" customHeight="1">
      <c r="A140" s="647" t="s">
        <v>0</v>
      </c>
      <c r="B140" s="647" t="s">
        <v>7</v>
      </c>
      <c r="C140" s="647" t="s">
        <v>13</v>
      </c>
      <c r="D140" s="647" t="s">
        <v>14</v>
      </c>
      <c r="E140" s="647" t="s">
        <v>8</v>
      </c>
      <c r="F140" s="647" t="s">
        <v>1</v>
      </c>
      <c r="G140" s="647" t="s">
        <v>2</v>
      </c>
      <c r="H140" s="647" t="s">
        <v>15</v>
      </c>
      <c r="I140" s="647" t="s">
        <v>3</v>
      </c>
      <c r="J140" s="647" t="s">
        <v>4</v>
      </c>
      <c r="K140" s="647" t="s">
        <v>5</v>
      </c>
      <c r="L140" s="647" t="s">
        <v>12</v>
      </c>
      <c r="M140" s="647" t="s">
        <v>6</v>
      </c>
      <c r="N140" s="658"/>
    </row>
    <row r="141" spans="1:14" ht="15" customHeight="1">
      <c r="A141" s="121"/>
      <c r="B141" s="178" t="s">
        <v>208</v>
      </c>
      <c r="C141" s="178" t="s">
        <v>121</v>
      </c>
      <c r="D141" s="178" t="s">
        <v>122</v>
      </c>
      <c r="E141" s="178" t="s">
        <v>93</v>
      </c>
      <c r="F141" s="645"/>
      <c r="G141" s="179" t="s">
        <v>211</v>
      </c>
      <c r="H141" s="192"/>
      <c r="I141" s="554"/>
      <c r="J141" s="614">
        <v>120</v>
      </c>
      <c r="K141" s="614">
        <f>I141*J141</f>
        <v>0</v>
      </c>
      <c r="L141" s="718"/>
      <c r="M141" s="491"/>
      <c r="N141" s="657"/>
    </row>
    <row r="142" spans="1:14" ht="15" customHeight="1">
      <c r="A142" s="121"/>
      <c r="B142" s="178" t="s">
        <v>343</v>
      </c>
      <c r="C142" s="178"/>
      <c r="D142" s="178"/>
      <c r="E142" s="178"/>
      <c r="F142" s="178"/>
      <c r="G142" s="179" t="s">
        <v>212</v>
      </c>
      <c r="H142" s="192"/>
      <c r="I142" s="554"/>
      <c r="J142" s="614">
        <v>527</v>
      </c>
      <c r="K142" s="614">
        <f t="shared" ref="K142:K144" si="31">I142*J142</f>
        <v>0</v>
      </c>
      <c r="L142" s="104"/>
      <c r="M142" s="491"/>
      <c r="N142" s="657"/>
    </row>
    <row r="143" spans="1:14" ht="15" customHeight="1">
      <c r="A143" s="121"/>
      <c r="B143" s="153"/>
      <c r="C143" s="153"/>
      <c r="D143" s="153"/>
      <c r="E143" s="153"/>
      <c r="F143" s="645"/>
      <c r="G143" s="179" t="s">
        <v>45</v>
      </c>
      <c r="H143" s="192"/>
      <c r="I143" s="554"/>
      <c r="J143" s="614">
        <v>45</v>
      </c>
      <c r="K143" s="614">
        <f t="shared" si="31"/>
        <v>0</v>
      </c>
      <c r="L143" s="104"/>
      <c r="M143" s="491"/>
      <c r="N143" s="657"/>
    </row>
    <row r="144" spans="1:14" ht="15" customHeight="1">
      <c r="A144" s="121"/>
      <c r="B144" s="153"/>
      <c r="C144" s="153"/>
      <c r="D144" s="153"/>
      <c r="E144" s="153"/>
      <c r="F144" s="645"/>
      <c r="G144" s="179" t="s">
        <v>214</v>
      </c>
      <c r="H144" s="192"/>
      <c r="I144" s="554"/>
      <c r="J144" s="614">
        <v>360</v>
      </c>
      <c r="K144" s="614">
        <f t="shared" si="31"/>
        <v>0</v>
      </c>
      <c r="L144" s="104"/>
      <c r="M144" s="491"/>
      <c r="N144" s="657"/>
    </row>
    <row r="145" spans="1:14" ht="15" customHeight="1">
      <c r="A145" s="121"/>
      <c r="B145" s="121"/>
      <c r="C145" s="121"/>
      <c r="D145" s="121"/>
      <c r="E145" s="647" t="s">
        <v>9</v>
      </c>
      <c r="F145" s="706">
        <f>SUM(F141:F144)</f>
        <v>0</v>
      </c>
      <c r="G145" s="647"/>
      <c r="H145" s="647"/>
      <c r="I145" s="708"/>
      <c r="J145" s="708"/>
      <c r="K145" s="60">
        <f>SUM(K141:K144)</f>
        <v>0</v>
      </c>
      <c r="L145" s="60" t="e">
        <f>K145/F145</f>
        <v>#DIV/0!</v>
      </c>
      <c r="M145" s="491"/>
      <c r="N145" s="657"/>
    </row>
    <row r="146" spans="1:14" ht="15" customHeight="1">
      <c r="A146" s="657"/>
      <c r="B146" s="657"/>
      <c r="C146" s="657"/>
      <c r="D146" s="611" t="s">
        <v>30</v>
      </c>
      <c r="E146" s="611"/>
      <c r="F146" s="710">
        <f>F145</f>
        <v>0</v>
      </c>
      <c r="G146" s="711"/>
      <c r="H146" s="711"/>
      <c r="I146" s="711"/>
      <c r="J146" s="711"/>
      <c r="K146" s="710">
        <f>K145</f>
        <v>0</v>
      </c>
      <c r="L146" s="712" t="e">
        <f>K146/F146</f>
        <v>#DIV/0!</v>
      </c>
      <c r="M146" s="657"/>
      <c r="N146" s="657"/>
    </row>
    <row r="147" spans="1:14" s="71" customFormat="1" ht="15" customHeight="1">
      <c r="A147" s="618"/>
      <c r="B147" s="618"/>
      <c r="C147" s="618"/>
      <c r="D147" s="618"/>
      <c r="E147" s="618"/>
      <c r="F147" s="618"/>
      <c r="G147" s="618"/>
      <c r="H147" s="618"/>
      <c r="I147" s="618"/>
      <c r="J147" s="618"/>
      <c r="K147" s="618"/>
      <c r="L147" s="618"/>
      <c r="M147" s="618"/>
      <c r="N147" s="618"/>
    </row>
    <row r="148" spans="1:14" ht="15" customHeight="1">
      <c r="A148" s="657"/>
      <c r="B148" s="657"/>
      <c r="C148" s="657"/>
      <c r="D148" s="657"/>
      <c r="E148" s="657"/>
      <c r="F148" s="657"/>
      <c r="G148" s="657"/>
      <c r="H148" s="657"/>
      <c r="I148" s="657"/>
      <c r="J148" s="657"/>
      <c r="K148" s="657"/>
      <c r="L148" s="657"/>
      <c r="M148" s="657"/>
      <c r="N148" s="657"/>
    </row>
    <row r="149" spans="1:14" ht="15" customHeight="1">
      <c r="A149" s="657"/>
      <c r="B149" s="31"/>
      <c r="C149" s="31"/>
      <c r="D149" s="624" t="s">
        <v>1009</v>
      </c>
      <c r="E149" s="665">
        <f>F146</f>
        <v>0</v>
      </c>
      <c r="F149" s="624"/>
      <c r="G149" s="625">
        <f>K146</f>
        <v>0</v>
      </c>
      <c r="H149" s="626"/>
      <c r="I149" s="626"/>
      <c r="J149" s="626"/>
      <c r="K149" s="626"/>
      <c r="L149" s="625" t="e">
        <f>G149/E149</f>
        <v>#DIV/0!</v>
      </c>
      <c r="M149" s="657"/>
      <c r="N149" s="657"/>
    </row>
    <row r="150" spans="1:14" ht="15" customHeight="1">
      <c r="A150" s="657"/>
      <c r="B150" s="31"/>
      <c r="C150" s="31"/>
      <c r="D150" s="162" t="s">
        <v>855</v>
      </c>
      <c r="E150" s="666"/>
      <c r="F150" s="162"/>
      <c r="G150" s="667">
        <f>K103</f>
        <v>0</v>
      </c>
      <c r="H150" s="668"/>
      <c r="I150" s="667">
        <f>'01'!G174+'02'!G221+'03'!G314+'04'!G227</f>
        <v>0</v>
      </c>
      <c r="J150" s="669">
        <f>G150+M163</f>
        <v>0</v>
      </c>
      <c r="K150" s="670"/>
      <c r="L150" s="671"/>
      <c r="M150" s="657"/>
      <c r="N150" s="657"/>
    </row>
    <row r="151" spans="1:14" ht="15" customHeight="1">
      <c r="A151" s="657"/>
      <c r="B151" s="31"/>
      <c r="C151" s="31"/>
      <c r="D151" s="672" t="s">
        <v>854</v>
      </c>
      <c r="E151" s="673"/>
      <c r="F151" s="672"/>
      <c r="G151" s="674">
        <f>G149-G150</f>
        <v>0</v>
      </c>
      <c r="H151" s="675"/>
      <c r="I151" s="676">
        <f>'01'!G175+'02'!G222+'03'!G315+'04'!G228</f>
        <v>0</v>
      </c>
      <c r="J151" s="677"/>
      <c r="K151" s="677"/>
      <c r="L151" s="678"/>
      <c r="M151" s="657"/>
      <c r="N151" s="657"/>
    </row>
    <row r="152" spans="1:14" ht="15" customHeight="1">
      <c r="A152" s="657"/>
      <c r="B152" s="31"/>
      <c r="C152" s="31"/>
      <c r="D152" s="162" t="s">
        <v>853</v>
      </c>
      <c r="E152" s="679"/>
      <c r="F152" s="162"/>
      <c r="G152" s="680">
        <f>SUM(G150:G151)</f>
        <v>0</v>
      </c>
      <c r="H152" s="681"/>
      <c r="I152" s="682">
        <f>'01'!G173+'02'!G220+'03'!G313+'04'!G226</f>
        <v>0</v>
      </c>
      <c r="J152" s="681"/>
      <c r="K152" s="681"/>
      <c r="L152" s="683" t="e">
        <f>G152/E149</f>
        <v>#DIV/0!</v>
      </c>
      <c r="M152" s="657"/>
      <c r="N152" s="657"/>
    </row>
    <row r="153" spans="1:14" ht="15" customHeight="1">
      <c r="A153" s="657"/>
      <c r="B153" s="31"/>
      <c r="C153" s="31"/>
      <c r="D153" s="684" t="s">
        <v>906</v>
      </c>
      <c r="E153" s="685"/>
      <c r="F153" s="162"/>
      <c r="G153" s="409">
        <f>M163</f>
        <v>0</v>
      </c>
      <c r="H153" s="686"/>
      <c r="I153" s="687"/>
      <c r="J153" s="687"/>
      <c r="K153" s="688"/>
      <c r="L153" s="657"/>
      <c r="M153" s="657"/>
      <c r="N153" s="657"/>
    </row>
    <row r="154" spans="1:14" ht="15" customHeight="1">
      <c r="A154" s="657"/>
      <c r="B154" s="31"/>
      <c r="C154" s="31"/>
      <c r="D154" s="616"/>
      <c r="E154" s="616"/>
      <c r="F154" s="616"/>
      <c r="G154" s="616"/>
      <c r="H154" s="689"/>
      <c r="I154" s="616"/>
      <c r="J154" s="616"/>
      <c r="K154" s="616"/>
      <c r="L154" s="616"/>
      <c r="M154" s="657"/>
      <c r="N154" s="657"/>
    </row>
    <row r="155" spans="1:14" ht="15" customHeight="1">
      <c r="A155" s="657"/>
      <c r="B155" s="31"/>
      <c r="C155" s="31"/>
      <c r="D155" s="854" t="s">
        <v>852</v>
      </c>
      <c r="E155" s="854"/>
      <c r="F155" s="690">
        <f>G171</f>
        <v>0</v>
      </c>
      <c r="G155" s="616"/>
      <c r="H155" s="500" t="s">
        <v>908</v>
      </c>
      <c r="I155" s="855" t="s">
        <v>199</v>
      </c>
      <c r="J155" s="856"/>
      <c r="K155" s="554"/>
      <c r="L155" s="614">
        <v>530</v>
      </c>
      <c r="M155" s="614">
        <f t="shared" ref="M155:M160" si="32">K155*L155</f>
        <v>0</v>
      </c>
      <c r="N155" s="657"/>
    </row>
    <row r="156" spans="1:14" ht="15" customHeight="1">
      <c r="A156" s="657"/>
      <c r="B156" s="31"/>
      <c r="C156" s="31"/>
      <c r="D156" s="854" t="s">
        <v>835</v>
      </c>
      <c r="E156" s="854"/>
      <c r="F156" s="690">
        <f>G161+G162</f>
        <v>0</v>
      </c>
      <c r="G156" s="616"/>
      <c r="H156" s="500" t="s">
        <v>909</v>
      </c>
      <c r="I156" s="855" t="s">
        <v>196</v>
      </c>
      <c r="J156" s="856"/>
      <c r="K156" s="554"/>
      <c r="L156" s="614">
        <v>888</v>
      </c>
      <c r="M156" s="614">
        <f t="shared" si="32"/>
        <v>0</v>
      </c>
      <c r="N156" s="657"/>
    </row>
    <row r="157" spans="1:14" ht="15" customHeight="1">
      <c r="A157" s="657"/>
      <c r="B157" s="31"/>
      <c r="C157" s="31"/>
      <c r="D157" s="854" t="s">
        <v>836</v>
      </c>
      <c r="E157" s="854"/>
      <c r="F157" s="690">
        <f>SUM(F155:F156)</f>
        <v>0</v>
      </c>
      <c r="G157" s="616"/>
      <c r="H157" s="500" t="s">
        <v>910</v>
      </c>
      <c r="I157" s="855" t="s">
        <v>192</v>
      </c>
      <c r="J157" s="856"/>
      <c r="K157" s="554"/>
      <c r="L157" s="614">
        <v>1126</v>
      </c>
      <c r="M157" s="614">
        <f t="shared" si="32"/>
        <v>0</v>
      </c>
      <c r="N157" s="657"/>
    </row>
    <row r="158" spans="1:14" ht="15" customHeight="1">
      <c r="A158" s="657"/>
      <c r="B158" s="31"/>
      <c r="C158" s="31"/>
      <c r="D158" s="691" t="s">
        <v>847</v>
      </c>
      <c r="E158" s="691"/>
      <c r="F158" s="690">
        <f>F155-G151</f>
        <v>0</v>
      </c>
      <c r="G158" s="616"/>
      <c r="H158" s="500" t="s">
        <v>908</v>
      </c>
      <c r="I158" s="857" t="s">
        <v>460</v>
      </c>
      <c r="J158" s="858"/>
      <c r="K158" s="554"/>
      <c r="L158" s="614">
        <v>920</v>
      </c>
      <c r="M158" s="614">
        <f t="shared" si="32"/>
        <v>0</v>
      </c>
      <c r="N158" s="657"/>
    </row>
    <row r="159" spans="1:14" ht="15" customHeight="1">
      <c r="A159" s="657"/>
      <c r="B159" s="31"/>
      <c r="C159" s="31"/>
      <c r="D159" s="616"/>
      <c r="E159" s="616"/>
      <c r="F159" s="616"/>
      <c r="G159" s="616"/>
      <c r="H159" s="500" t="s">
        <v>912</v>
      </c>
      <c r="I159" s="859" t="s">
        <v>315</v>
      </c>
      <c r="J159" s="860"/>
      <c r="K159" s="554"/>
      <c r="L159" s="614">
        <v>2184</v>
      </c>
      <c r="M159" s="614">
        <f t="shared" si="32"/>
        <v>0</v>
      </c>
      <c r="N159" s="657"/>
    </row>
    <row r="160" spans="1:14" ht="15" customHeight="1">
      <c r="A160" s="657"/>
      <c r="B160" s="861" t="s">
        <v>833</v>
      </c>
      <c r="C160" s="862"/>
      <c r="D160" s="180" t="s">
        <v>844</v>
      </c>
      <c r="E160" s="180" t="s">
        <v>845</v>
      </c>
      <c r="F160" s="180" t="s">
        <v>846</v>
      </c>
      <c r="G160" s="180" t="s">
        <v>5</v>
      </c>
      <c r="H160" s="500" t="s">
        <v>911</v>
      </c>
      <c r="I160" s="855" t="s">
        <v>286</v>
      </c>
      <c r="J160" s="856"/>
      <c r="K160" s="554"/>
      <c r="L160" s="614">
        <v>2065</v>
      </c>
      <c r="M160" s="614">
        <f t="shared" si="32"/>
        <v>0</v>
      </c>
      <c r="N160" s="657"/>
    </row>
    <row r="161" spans="1:14" ht="15" customHeight="1">
      <c r="A161" s="657"/>
      <c r="B161" s="31"/>
      <c r="C161" s="31"/>
      <c r="D161" s="180" t="s">
        <v>837</v>
      </c>
      <c r="E161" s="162">
        <v>15.5</v>
      </c>
      <c r="F161" s="692"/>
      <c r="G161" s="693">
        <f>F161*E161</f>
        <v>0</v>
      </c>
      <c r="H161" s="500" t="s">
        <v>909</v>
      </c>
      <c r="I161" s="844"/>
      <c r="J161" s="845"/>
      <c r="K161" s="491"/>
      <c r="L161" s="491"/>
      <c r="M161" s="489"/>
      <c r="N161" s="657"/>
    </row>
    <row r="162" spans="1:14" ht="15" customHeight="1">
      <c r="A162" s="657"/>
      <c r="B162" s="31"/>
      <c r="C162" s="31"/>
      <c r="D162" s="180" t="s">
        <v>1062</v>
      </c>
      <c r="E162" s="162">
        <v>34</v>
      </c>
      <c r="F162" s="692"/>
      <c r="G162" s="693">
        <f t="shared" ref="G162:G168" si="33">F162*E162</f>
        <v>0</v>
      </c>
      <c r="H162" s="500" t="s">
        <v>911</v>
      </c>
      <c r="I162" s="864"/>
      <c r="J162" s="865"/>
      <c r="K162" s="352"/>
      <c r="L162" s="352"/>
      <c r="M162" s="491"/>
      <c r="N162" s="657"/>
    </row>
    <row r="163" spans="1:14" ht="15" customHeight="1">
      <c r="A163" s="648"/>
      <c r="B163" s="616"/>
      <c r="C163" s="616"/>
      <c r="D163" s="694" t="s">
        <v>843</v>
      </c>
      <c r="E163" s="124"/>
      <c r="F163" s="488">
        <f>SUM(F161:F162)</f>
        <v>0</v>
      </c>
      <c r="G163" s="695">
        <f>SUM(G161:G162)</f>
        <v>0</v>
      </c>
      <c r="H163" s="616"/>
      <c r="I163" s="844" t="s">
        <v>906</v>
      </c>
      <c r="J163" s="845"/>
      <c r="K163" s="490">
        <f>SUM(K155:K162)</f>
        <v>0</v>
      </c>
      <c r="L163" s="491"/>
      <c r="M163" s="489">
        <f>SUM(M155:M162)</f>
        <v>0</v>
      </c>
      <c r="N163" s="657"/>
    </row>
    <row r="164" spans="1:14" ht="15" customHeight="1">
      <c r="A164" s="657"/>
      <c r="B164" s="31"/>
      <c r="C164" s="31"/>
      <c r="D164" s="180" t="s">
        <v>1070</v>
      </c>
      <c r="E164" s="162">
        <v>227</v>
      </c>
      <c r="F164" s="692"/>
      <c r="G164" s="693">
        <f t="shared" si="33"/>
        <v>0</v>
      </c>
      <c r="H164" s="616"/>
      <c r="I164" s="616"/>
      <c r="J164" s="616"/>
      <c r="K164" s="616"/>
      <c r="L164" s="616"/>
      <c r="M164" s="696">
        <f>G150+M163</f>
        <v>0</v>
      </c>
      <c r="N164" s="657"/>
    </row>
    <row r="165" spans="1:14" ht="15" customHeight="1">
      <c r="A165" s="657"/>
      <c r="B165" s="31"/>
      <c r="C165" s="31"/>
      <c r="D165" s="180" t="s">
        <v>1065</v>
      </c>
      <c r="E165" s="615">
        <v>165</v>
      </c>
      <c r="F165" s="692"/>
      <c r="G165" s="693">
        <f t="shared" si="33"/>
        <v>0</v>
      </c>
      <c r="H165" s="616"/>
      <c r="I165" s="616"/>
      <c r="J165" s="616"/>
      <c r="K165" s="616"/>
      <c r="L165" s="616"/>
      <c r="M165" s="657"/>
      <c r="N165" s="657"/>
    </row>
    <row r="166" spans="1:14" ht="15" customHeight="1">
      <c r="A166" s="657"/>
      <c r="B166" s="31"/>
      <c r="C166" s="31"/>
      <c r="D166" s="697" t="s">
        <v>1066</v>
      </c>
      <c r="E166" s="615">
        <v>165</v>
      </c>
      <c r="F166" s="692"/>
      <c r="G166" s="693">
        <f t="shared" si="33"/>
        <v>0</v>
      </c>
      <c r="H166" s="616"/>
      <c r="I166" s="616"/>
      <c r="J166" s="616"/>
      <c r="K166" s="616"/>
      <c r="L166" s="616"/>
      <c r="M166" s="657"/>
      <c r="N166" s="657"/>
    </row>
    <row r="167" spans="1:14" ht="15" customHeight="1">
      <c r="A167" s="657"/>
      <c r="B167" s="31"/>
      <c r="C167" s="31"/>
      <c r="D167" s="180" t="s">
        <v>1067</v>
      </c>
      <c r="E167" s="615">
        <v>416</v>
      </c>
      <c r="F167" s="698"/>
      <c r="G167" s="693">
        <f t="shared" si="33"/>
        <v>0</v>
      </c>
      <c r="H167" s="616"/>
      <c r="I167" s="616"/>
      <c r="J167" s="616"/>
      <c r="K167" s="616"/>
      <c r="L167" s="616"/>
      <c r="M167" s="657"/>
      <c r="N167" s="657"/>
    </row>
    <row r="168" spans="1:14" ht="15" customHeight="1">
      <c r="A168" s="657"/>
      <c r="B168" s="31"/>
      <c r="C168" s="31"/>
      <c r="D168" s="180" t="s">
        <v>907</v>
      </c>
      <c r="E168" s="615">
        <v>46</v>
      </c>
      <c r="F168" s="692"/>
      <c r="G168" s="693">
        <f t="shared" si="33"/>
        <v>0</v>
      </c>
      <c r="H168" s="31"/>
      <c r="I168" s="31"/>
      <c r="J168" s="31"/>
      <c r="K168" s="31"/>
      <c r="L168" s="31"/>
      <c r="M168" s="657"/>
      <c r="N168" s="657"/>
    </row>
    <row r="169" spans="1:14" ht="15" customHeight="1">
      <c r="A169" s="657"/>
      <c r="B169" s="31"/>
      <c r="C169" s="31"/>
      <c r="D169" s="180" t="s">
        <v>27</v>
      </c>
      <c r="E169" s="162">
        <v>22</v>
      </c>
      <c r="F169" s="692"/>
      <c r="G169" s="693"/>
      <c r="H169" s="657"/>
      <c r="I169" s="657"/>
      <c r="J169" s="657"/>
      <c r="K169" s="657"/>
      <c r="L169" s="657"/>
      <c r="M169" s="657"/>
      <c r="N169" s="657"/>
    </row>
    <row r="170" spans="1:14" ht="15" customHeight="1">
      <c r="A170" s="657"/>
      <c r="B170" s="31"/>
      <c r="C170" s="31"/>
      <c r="D170" s="180" t="s">
        <v>1062</v>
      </c>
      <c r="E170" s="162">
        <v>34</v>
      </c>
      <c r="F170" s="692"/>
      <c r="G170" s="693"/>
      <c r="H170" s="657"/>
      <c r="I170" s="657"/>
      <c r="J170" s="657"/>
      <c r="K170" s="657"/>
      <c r="L170" s="657"/>
      <c r="M170" s="657"/>
      <c r="N170" s="657"/>
    </row>
    <row r="171" spans="1:14" ht="15" customHeight="1">
      <c r="A171" s="657"/>
      <c r="B171" s="31"/>
      <c r="C171" s="31"/>
      <c r="D171" s="180" t="s">
        <v>24</v>
      </c>
      <c r="E171" s="162">
        <v>74</v>
      </c>
      <c r="F171" s="692"/>
      <c r="G171" s="693"/>
      <c r="H171" s="657"/>
      <c r="I171" s="657"/>
      <c r="J171" s="657"/>
      <c r="K171" s="657"/>
      <c r="L171" s="657"/>
      <c r="M171" s="657"/>
      <c r="N171" s="657"/>
    </row>
    <row r="172" spans="1:14" ht="15" customHeight="1">
      <c r="A172" s="657"/>
      <c r="B172" s="31"/>
      <c r="C172" s="31"/>
      <c r="D172" s="699" t="s">
        <v>185</v>
      </c>
      <c r="E172" s="162">
        <v>490</v>
      </c>
      <c r="F172" s="692"/>
      <c r="G172" s="693"/>
      <c r="H172" s="657"/>
      <c r="I172" s="657"/>
      <c r="J172" s="657"/>
      <c r="K172" s="657"/>
      <c r="L172" s="657"/>
      <c r="M172" s="657"/>
      <c r="N172" s="657"/>
    </row>
    <row r="173" spans="1:14" ht="15" customHeight="1">
      <c r="A173" s="657"/>
      <c r="B173" s="657"/>
      <c r="C173" s="657"/>
      <c r="D173" s="180" t="s">
        <v>184</v>
      </c>
      <c r="E173" s="162">
        <v>336</v>
      </c>
      <c r="F173" s="692"/>
      <c r="G173" s="693"/>
      <c r="H173" s="657"/>
      <c r="I173" s="657"/>
      <c r="J173" s="657"/>
      <c r="K173" s="657"/>
      <c r="L173" s="657"/>
      <c r="M173" s="657"/>
      <c r="N173" s="657"/>
    </row>
    <row r="174" spans="1:14" ht="15" customHeight="1">
      <c r="A174" s="657"/>
      <c r="B174" s="657"/>
      <c r="C174" s="657"/>
      <c r="D174" s="697" t="s">
        <v>968</v>
      </c>
      <c r="E174" s="162">
        <v>360</v>
      </c>
      <c r="F174" s="692"/>
      <c r="G174" s="693"/>
      <c r="H174" s="657"/>
      <c r="I174" s="657"/>
      <c r="J174" s="657"/>
      <c r="K174" s="657"/>
      <c r="L174" s="657"/>
      <c r="M174" s="657"/>
      <c r="N174" s="657"/>
    </row>
    <row r="175" spans="1:14" ht="15" customHeight="1">
      <c r="A175" s="657"/>
      <c r="B175" s="657"/>
      <c r="C175" s="657"/>
      <c r="D175" s="700" t="s">
        <v>843</v>
      </c>
      <c r="E175" s="162"/>
      <c r="F175" s="692">
        <f>SUM(F164:F168)</f>
        <v>0</v>
      </c>
      <c r="G175" s="693">
        <f>SUM(G164:G168)</f>
        <v>0</v>
      </c>
      <c r="H175" s="657"/>
      <c r="I175" s="657"/>
      <c r="J175" s="657"/>
      <c r="K175" s="657"/>
      <c r="L175" s="657"/>
      <c r="M175" s="657"/>
      <c r="N175" s="657"/>
    </row>
    <row r="176" spans="1:14" ht="15" customHeight="1">
      <c r="A176" s="657"/>
      <c r="B176" s="657"/>
      <c r="C176" s="657"/>
      <c r="D176" s="694" t="s">
        <v>969</v>
      </c>
      <c r="E176" s="124"/>
      <c r="F176" s="488">
        <f>F163+F175</f>
        <v>0</v>
      </c>
      <c r="G176" s="695">
        <f>G163+G175</f>
        <v>0</v>
      </c>
      <c r="H176" s="657"/>
      <c r="I176" s="657"/>
      <c r="J176" s="657"/>
      <c r="K176" s="657"/>
      <c r="L176" s="657"/>
      <c r="M176" s="657"/>
      <c r="N176" s="657"/>
    </row>
    <row r="177" spans="1:14" ht="15" customHeight="1">
      <c r="A177" s="657"/>
      <c r="B177" s="657"/>
      <c r="C177" s="657"/>
      <c r="D177" s="657"/>
      <c r="E177" s="657"/>
      <c r="F177" s="657"/>
      <c r="G177" s="657"/>
      <c r="H177" s="657"/>
      <c r="I177" s="657"/>
      <c r="J177" s="657"/>
      <c r="K177" s="657"/>
      <c r="L177" s="657"/>
      <c r="M177" s="657"/>
      <c r="N177" s="657"/>
    </row>
    <row r="178" spans="1:14" ht="15" customHeight="1">
      <c r="A178" s="657"/>
      <c r="B178" s="657"/>
      <c r="C178" s="657"/>
      <c r="D178" s="657"/>
      <c r="E178" s="657"/>
      <c r="F178" s="657"/>
      <c r="G178" s="657"/>
      <c r="H178" s="657"/>
      <c r="I178" s="657"/>
      <c r="J178" s="657"/>
      <c r="K178" s="657"/>
      <c r="L178" s="657"/>
      <c r="M178" s="657"/>
      <c r="N178" s="657"/>
    </row>
    <row r="179" spans="1:14" ht="15" customHeight="1">
      <c r="A179" s="657"/>
      <c r="B179" s="657"/>
      <c r="C179" s="657"/>
      <c r="D179" s="657"/>
      <c r="E179" s="657"/>
      <c r="F179" s="657"/>
      <c r="G179" s="657"/>
      <c r="H179" s="657"/>
      <c r="I179" s="657"/>
      <c r="J179" s="657"/>
      <c r="K179" s="657"/>
      <c r="L179" s="657"/>
      <c r="M179" s="657"/>
      <c r="N179" s="657"/>
    </row>
    <row r="180" spans="1:14" ht="15" customHeight="1">
      <c r="A180" s="657"/>
      <c r="B180" s="657"/>
      <c r="C180" s="657"/>
      <c r="D180" s="657"/>
      <c r="E180" s="657"/>
      <c r="F180" s="657"/>
      <c r="G180" s="657"/>
      <c r="H180" s="657"/>
      <c r="I180" s="657"/>
      <c r="J180" s="657"/>
      <c r="K180" s="657"/>
      <c r="L180" s="657"/>
      <c r="M180" s="657"/>
      <c r="N180" s="657"/>
    </row>
    <row r="181" spans="1:14" ht="15" customHeight="1">
      <c r="A181" s="657"/>
      <c r="B181" s="657"/>
      <c r="C181" s="657"/>
      <c r="D181" s="657"/>
      <c r="E181" s="657"/>
      <c r="F181" s="657"/>
      <c r="G181" s="657"/>
      <c r="H181" s="657"/>
      <c r="I181" s="657"/>
      <c r="J181" s="657"/>
      <c r="K181" s="657"/>
      <c r="L181" s="657"/>
      <c r="M181" s="657"/>
      <c r="N181" s="657"/>
    </row>
    <row r="182" spans="1:14" ht="15" customHeight="1">
      <c r="A182" s="657"/>
      <c r="B182" s="657"/>
      <c r="C182" s="657"/>
      <c r="D182" s="657"/>
      <c r="E182" s="657"/>
      <c r="F182" s="657"/>
      <c r="G182" s="657"/>
      <c r="H182" s="657"/>
      <c r="I182" s="657"/>
      <c r="J182" s="657"/>
      <c r="K182" s="657"/>
      <c r="L182" s="657"/>
      <c r="M182" s="657"/>
      <c r="N182" s="657"/>
    </row>
    <row r="183" spans="1:14" ht="15" customHeight="1">
      <c r="A183" s="657"/>
      <c r="B183" s="657"/>
      <c r="C183" s="657"/>
      <c r="D183" s="657"/>
      <c r="E183" s="657"/>
      <c r="F183" s="657"/>
      <c r="G183" s="657"/>
      <c r="H183" s="657"/>
      <c r="I183" s="657"/>
      <c r="J183" s="657"/>
      <c r="K183" s="657"/>
      <c r="L183" s="657"/>
      <c r="M183" s="657"/>
      <c r="N183" s="657"/>
    </row>
    <row r="184" spans="1:14" ht="15" customHeight="1">
      <c r="A184" s="657"/>
      <c r="B184" s="657"/>
      <c r="C184" s="657"/>
      <c r="D184" s="657"/>
      <c r="E184" s="657"/>
      <c r="F184" s="657"/>
      <c r="G184" s="657"/>
      <c r="H184" s="657"/>
      <c r="I184" s="657"/>
      <c r="J184" s="657"/>
      <c r="K184" s="657"/>
      <c r="L184" s="657"/>
      <c r="M184" s="657"/>
      <c r="N184" s="657"/>
    </row>
    <row r="185" spans="1:14" ht="15" customHeight="1">
      <c r="A185" s="657"/>
      <c r="B185" s="657"/>
      <c r="C185" s="657"/>
      <c r="D185" s="657"/>
      <c r="E185" s="657"/>
      <c r="F185" s="657"/>
      <c r="G185" s="657"/>
      <c r="H185" s="657"/>
      <c r="I185" s="657"/>
      <c r="J185" s="657"/>
      <c r="K185" s="657"/>
      <c r="L185" s="657"/>
      <c r="M185" s="657"/>
      <c r="N185" s="657"/>
    </row>
    <row r="186" spans="1:14" s="64" customFormat="1" ht="15" customHeight="1">
      <c r="A186" s="863" t="s">
        <v>240</v>
      </c>
      <c r="B186" s="863"/>
      <c r="C186" s="863" t="s">
        <v>765</v>
      </c>
      <c r="D186" s="863"/>
      <c r="E186" s="863" t="s">
        <v>764</v>
      </c>
      <c r="F186" s="863"/>
      <c r="G186" s="701" t="s">
        <v>66</v>
      </c>
      <c r="H186" s="863" t="s">
        <v>411</v>
      </c>
      <c r="I186" s="863"/>
      <c r="J186" s="863"/>
      <c r="K186" s="863" t="s">
        <v>68</v>
      </c>
      <c r="L186" s="863"/>
      <c r="M186" s="863"/>
      <c r="N186" s="657"/>
    </row>
  </sheetData>
  <mergeCells count="30">
    <mergeCell ref="A186:B186"/>
    <mergeCell ref="C186:D186"/>
    <mergeCell ref="E186:F186"/>
    <mergeCell ref="H186:J186"/>
    <mergeCell ref="K186:M186"/>
    <mergeCell ref="B160:C160"/>
    <mergeCell ref="I160:J160"/>
    <mergeCell ref="I161:J161"/>
    <mergeCell ref="I162:J162"/>
    <mergeCell ref="I163:J163"/>
    <mergeCell ref="I158:J158"/>
    <mergeCell ref="I159:J159"/>
    <mergeCell ref="A139:B139"/>
    <mergeCell ref="K126:M126"/>
    <mergeCell ref="K139:M139"/>
    <mergeCell ref="D155:E155"/>
    <mergeCell ref="D156:E156"/>
    <mergeCell ref="I155:J155"/>
    <mergeCell ref="I156:J156"/>
    <mergeCell ref="D157:E157"/>
    <mergeCell ref="I157:J157"/>
    <mergeCell ref="K51:M51"/>
    <mergeCell ref="K66:M66"/>
    <mergeCell ref="K73:M73"/>
    <mergeCell ref="K115:M115"/>
    <mergeCell ref="A1:N1"/>
    <mergeCell ref="A2:N2"/>
    <mergeCell ref="A3:N3"/>
    <mergeCell ref="K4:M4"/>
    <mergeCell ref="K24:M24"/>
  </mergeCells>
  <pageMargins left="0.45" right="0.45" top="0.5" bottom="0.5" header="0.3" footer="0.3"/>
  <pageSetup scale="8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31"/>
  <sheetViews>
    <sheetView topLeftCell="A190" workbookViewId="0">
      <selection activeCell="E195" sqref="E195"/>
    </sheetView>
  </sheetViews>
  <sheetFormatPr defaultRowHeight="15"/>
  <cols>
    <col min="1" max="1" width="9.28515625" customWidth="1"/>
    <col min="2" max="2" width="11.5703125" customWidth="1"/>
    <col min="3" max="3" width="16" customWidth="1"/>
    <col min="4" max="4" width="19.5703125" customWidth="1"/>
    <col min="5" max="5" width="12.7109375" bestFit="1" customWidth="1"/>
    <col min="6" max="6" width="13.140625" customWidth="1"/>
    <col min="7" max="7" width="25" customWidth="1"/>
    <col min="8" max="8" width="6.42578125" bestFit="1" customWidth="1"/>
    <col min="9" max="9" width="10.5703125" bestFit="1" customWidth="1"/>
    <col min="10" max="10" width="11.5703125" customWidth="1"/>
    <col min="11" max="11" width="14.28515625" customWidth="1"/>
    <col min="12" max="12" width="12.140625" customWidth="1"/>
    <col min="13" max="13" width="13.42578125" customWidth="1"/>
    <col min="14" max="14" width="12.5703125" customWidth="1"/>
  </cols>
  <sheetData>
    <row r="1" spans="1:14" ht="21">
      <c r="A1" s="851" t="s">
        <v>146</v>
      </c>
      <c r="B1" s="851"/>
      <c r="C1" s="851"/>
      <c r="D1" s="851"/>
      <c r="E1" s="851"/>
      <c r="F1" s="851"/>
      <c r="G1" s="851"/>
      <c r="H1" s="851"/>
      <c r="I1" s="851"/>
      <c r="J1" s="851"/>
      <c r="K1" s="851"/>
      <c r="L1" s="851"/>
      <c r="M1" s="851"/>
      <c r="N1" s="851"/>
    </row>
    <row r="2" spans="1:14">
      <c r="A2" s="852" t="s">
        <v>147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</row>
    <row r="3" spans="1:14" s="9" customFormat="1">
      <c r="A3" s="853" t="s">
        <v>148</v>
      </c>
      <c r="B3" s="853"/>
      <c r="C3" s="853"/>
      <c r="D3" s="853"/>
      <c r="E3" s="853"/>
      <c r="F3" s="853"/>
      <c r="G3" s="853"/>
      <c r="H3" s="853"/>
      <c r="I3" s="853"/>
      <c r="J3" s="853"/>
      <c r="K3" s="853"/>
      <c r="L3" s="853"/>
      <c r="M3" s="853"/>
      <c r="N3" s="853"/>
    </row>
    <row r="4" spans="1:14">
      <c r="A4" s="617" t="s">
        <v>21</v>
      </c>
      <c r="B4" s="617"/>
      <c r="C4" s="617"/>
      <c r="D4" s="617"/>
      <c r="E4" s="617"/>
      <c r="F4" s="618"/>
      <c r="G4" s="618"/>
      <c r="H4" s="618"/>
      <c r="I4" s="618"/>
      <c r="J4" s="618"/>
      <c r="K4" s="849" t="s">
        <v>1200</v>
      </c>
      <c r="L4" s="849"/>
      <c r="M4" s="849"/>
      <c r="N4" s="618"/>
    </row>
    <row r="5" spans="1:14">
      <c r="A5" s="180" t="s">
        <v>0</v>
      </c>
      <c r="B5" s="180" t="s">
        <v>7</v>
      </c>
      <c r="C5" s="180" t="s">
        <v>13</v>
      </c>
      <c r="D5" s="180" t="s">
        <v>14</v>
      </c>
      <c r="E5" s="180" t="s">
        <v>8</v>
      </c>
      <c r="F5" s="180" t="s">
        <v>1</v>
      </c>
      <c r="G5" s="180" t="s">
        <v>2</v>
      </c>
      <c r="H5" s="180" t="s">
        <v>15</v>
      </c>
      <c r="I5" s="180" t="s">
        <v>3</v>
      </c>
      <c r="J5" s="180" t="s">
        <v>4</v>
      </c>
      <c r="K5" s="180" t="s">
        <v>5</v>
      </c>
      <c r="L5" s="180" t="s">
        <v>12</v>
      </c>
      <c r="M5" s="180" t="s">
        <v>6</v>
      </c>
      <c r="N5" s="618"/>
    </row>
    <row r="6" spans="1:14">
      <c r="A6" s="178">
        <v>1</v>
      </c>
      <c r="B6" s="178" t="s">
        <v>549</v>
      </c>
      <c r="C6" s="178" t="s">
        <v>470</v>
      </c>
      <c r="D6" s="178" t="s">
        <v>467</v>
      </c>
      <c r="E6" s="178"/>
      <c r="F6" s="619"/>
      <c r="G6" s="178" t="s">
        <v>170</v>
      </c>
      <c r="H6" s="192"/>
      <c r="I6" s="554"/>
      <c r="J6" s="614">
        <v>227</v>
      </c>
      <c r="K6" s="614">
        <f t="shared" ref="K6:K7" si="0">I6*J6</f>
        <v>0</v>
      </c>
      <c r="L6" s="192"/>
      <c r="M6" s="620">
        <f>I6+I10+I14</f>
        <v>0</v>
      </c>
      <c r="N6" s="178" t="s">
        <v>173</v>
      </c>
    </row>
    <row r="7" spans="1:14">
      <c r="A7" s="178"/>
      <c r="B7" s="178"/>
      <c r="C7" s="178"/>
      <c r="D7" s="178"/>
      <c r="E7" s="178"/>
      <c r="F7" s="621"/>
      <c r="G7" s="178" t="s">
        <v>171</v>
      </c>
      <c r="H7" s="192"/>
      <c r="I7" s="554"/>
      <c r="J7" s="614">
        <v>416</v>
      </c>
      <c r="K7" s="614">
        <f t="shared" si="0"/>
        <v>0</v>
      </c>
      <c r="L7" s="192"/>
      <c r="M7" s="620">
        <f>I7+I11+I15+I23+I29+I35+I41</f>
        <v>0</v>
      </c>
      <c r="N7" s="178" t="s">
        <v>174</v>
      </c>
    </row>
    <row r="8" spans="1:14">
      <c r="A8" s="178"/>
      <c r="B8" s="178"/>
      <c r="C8" s="178"/>
      <c r="D8" s="178"/>
      <c r="E8" s="178"/>
      <c r="F8" s="621"/>
      <c r="G8" s="178" t="s">
        <v>172</v>
      </c>
      <c r="H8" s="192"/>
      <c r="I8" s="554"/>
      <c r="J8" s="614">
        <v>165</v>
      </c>
      <c r="K8" s="614">
        <f>I8*J8</f>
        <v>0</v>
      </c>
      <c r="L8" s="192"/>
      <c r="M8" s="620">
        <f>I8+I12+I16+I24+I30+I36+I42</f>
        <v>0</v>
      </c>
      <c r="N8" s="178" t="s">
        <v>172</v>
      </c>
    </row>
    <row r="9" spans="1:14">
      <c r="A9" s="178"/>
      <c r="B9" s="178"/>
      <c r="C9" s="178"/>
      <c r="D9" s="178"/>
      <c r="E9" s="180" t="s">
        <v>9</v>
      </c>
      <c r="F9" s="622">
        <f>SUM(F6:F8)</f>
        <v>0</v>
      </c>
      <c r="G9" s="180"/>
      <c r="H9" s="180"/>
      <c r="I9" s="554"/>
      <c r="J9" s="614"/>
      <c r="K9" s="152">
        <f>SUM(K6:K8)</f>
        <v>0</v>
      </c>
      <c r="L9" s="152" t="e">
        <f>K9/F9</f>
        <v>#DIV/0!</v>
      </c>
      <c r="M9" s="620">
        <f>I21+I27+I33+I39+I48+I51+I54</f>
        <v>0</v>
      </c>
      <c r="N9" s="178" t="s">
        <v>24</v>
      </c>
    </row>
    <row r="10" spans="1:14">
      <c r="A10" s="178">
        <v>2</v>
      </c>
      <c r="B10" s="178" t="s">
        <v>456</v>
      </c>
      <c r="C10" s="178" t="s">
        <v>386</v>
      </c>
      <c r="D10" s="178" t="s">
        <v>452</v>
      </c>
      <c r="E10" s="178"/>
      <c r="F10" s="619"/>
      <c r="G10" s="178" t="s">
        <v>170</v>
      </c>
      <c r="H10" s="192"/>
      <c r="I10" s="554"/>
      <c r="J10" s="614">
        <v>227</v>
      </c>
      <c r="K10" s="614">
        <f t="shared" ref="K10:K11" si="1">I10*J10</f>
        <v>0</v>
      </c>
      <c r="L10" s="192"/>
      <c r="M10" s="620">
        <f>I22+I28+I34+I40</f>
        <v>0</v>
      </c>
      <c r="N10" s="178" t="s">
        <v>175</v>
      </c>
    </row>
    <row r="11" spans="1:14">
      <c r="A11" s="178"/>
      <c r="B11" s="178"/>
      <c r="C11" s="178"/>
      <c r="D11" s="178"/>
      <c r="E11" s="178"/>
      <c r="F11" s="621"/>
      <c r="G11" s="178" t="s">
        <v>171</v>
      </c>
      <c r="H11" s="192"/>
      <c r="I11" s="554"/>
      <c r="J11" s="614">
        <v>416</v>
      </c>
      <c r="K11" s="614">
        <f t="shared" si="1"/>
        <v>0</v>
      </c>
      <c r="L11" s="192"/>
      <c r="M11" s="620">
        <f>I25+I31+I37+I43</f>
        <v>0</v>
      </c>
      <c r="N11" s="179" t="s">
        <v>176</v>
      </c>
    </row>
    <row r="12" spans="1:14">
      <c r="A12" s="178"/>
      <c r="B12" s="178"/>
      <c r="C12" s="178"/>
      <c r="D12" s="178"/>
      <c r="E12" s="178"/>
      <c r="F12" s="621"/>
      <c r="G12" s="178" t="s">
        <v>172</v>
      </c>
      <c r="H12" s="192"/>
      <c r="I12" s="554"/>
      <c r="J12" s="614">
        <v>165</v>
      </c>
      <c r="K12" s="614">
        <f>I12*J12</f>
        <v>0</v>
      </c>
      <c r="L12" s="192"/>
      <c r="M12" s="620">
        <f>I49+I52+I55</f>
        <v>0</v>
      </c>
      <c r="N12" s="613" t="s">
        <v>10</v>
      </c>
    </row>
    <row r="13" spans="1:14">
      <c r="A13" s="178"/>
      <c r="B13" s="178"/>
      <c r="C13" s="178"/>
      <c r="D13" s="178"/>
      <c r="E13" s="180" t="s">
        <v>9</v>
      </c>
      <c r="F13" s="622">
        <f>SUM(F10:F12)</f>
        <v>0</v>
      </c>
      <c r="G13" s="180"/>
      <c r="H13" s="180"/>
      <c r="I13" s="554"/>
      <c r="J13" s="614"/>
      <c r="K13" s="152">
        <f>SUM(K10:K12)</f>
        <v>0</v>
      </c>
      <c r="L13" s="152" t="e">
        <f>K13/F13</f>
        <v>#DIV/0!</v>
      </c>
      <c r="M13" s="192"/>
      <c r="N13" s="613" t="s">
        <v>1201</v>
      </c>
    </row>
    <row r="14" spans="1:14">
      <c r="A14" s="178">
        <v>3</v>
      </c>
      <c r="B14" s="178" t="s">
        <v>565</v>
      </c>
      <c r="C14" s="178" t="s">
        <v>566</v>
      </c>
      <c r="D14" s="178" t="s">
        <v>556</v>
      </c>
      <c r="E14" s="178"/>
      <c r="F14" s="619"/>
      <c r="G14" s="178" t="s">
        <v>170</v>
      </c>
      <c r="H14" s="192"/>
      <c r="I14" s="554"/>
      <c r="J14" s="614">
        <v>227</v>
      </c>
      <c r="K14" s="614">
        <f t="shared" ref="K14:K15" si="2">I14*J14</f>
        <v>0</v>
      </c>
      <c r="L14" s="192"/>
      <c r="M14" s="620"/>
      <c r="N14" s="613" t="s">
        <v>1202</v>
      </c>
    </row>
    <row r="15" spans="1:14">
      <c r="A15" s="178"/>
      <c r="B15" s="178"/>
      <c r="C15" s="178"/>
      <c r="D15" s="178"/>
      <c r="E15" s="178"/>
      <c r="F15" s="621"/>
      <c r="G15" s="178" t="s">
        <v>171</v>
      </c>
      <c r="H15" s="192"/>
      <c r="I15" s="554"/>
      <c r="J15" s="614">
        <v>416</v>
      </c>
      <c r="K15" s="614">
        <f t="shared" si="2"/>
        <v>0</v>
      </c>
      <c r="L15" s="192"/>
      <c r="M15" s="620"/>
      <c r="N15" s="613" t="s">
        <v>1203</v>
      </c>
    </row>
    <row r="16" spans="1:14">
      <c r="A16" s="178"/>
      <c r="B16" s="178"/>
      <c r="C16" s="178"/>
      <c r="D16" s="178"/>
      <c r="E16" s="178"/>
      <c r="F16" s="621"/>
      <c r="G16" s="178" t="s">
        <v>172</v>
      </c>
      <c r="H16" s="192"/>
      <c r="I16" s="554"/>
      <c r="J16" s="614">
        <v>165</v>
      </c>
      <c r="K16" s="614">
        <f>I16*J16</f>
        <v>0</v>
      </c>
      <c r="L16" s="192"/>
      <c r="M16" s="620"/>
      <c r="N16" s="613" t="s">
        <v>1204</v>
      </c>
    </row>
    <row r="17" spans="1:14">
      <c r="A17" s="178"/>
      <c r="B17" s="178"/>
      <c r="C17" s="178"/>
      <c r="D17" s="178"/>
      <c r="E17" s="180" t="s">
        <v>9</v>
      </c>
      <c r="F17" s="622">
        <f>SUM(F14:F16)</f>
        <v>0</v>
      </c>
      <c r="G17" s="180"/>
      <c r="H17" s="180"/>
      <c r="I17" s="554"/>
      <c r="J17" s="614"/>
      <c r="K17" s="152">
        <f>SUM(K14:K16)</f>
        <v>0</v>
      </c>
      <c r="L17" s="152" t="e">
        <f>K17/F17</f>
        <v>#DIV/0!</v>
      </c>
      <c r="M17" s="192"/>
      <c r="N17" s="153" t="s">
        <v>1205</v>
      </c>
    </row>
    <row r="18" spans="1:14">
      <c r="A18" s="623"/>
      <c r="B18" s="623"/>
      <c r="C18" s="623"/>
      <c r="D18" s="624" t="s">
        <v>30</v>
      </c>
      <c r="E18" s="624"/>
      <c r="F18" s="625">
        <f>F9+F13+F17</f>
        <v>0</v>
      </c>
      <c r="G18" s="626"/>
      <c r="H18" s="626"/>
      <c r="I18" s="626"/>
      <c r="J18" s="626"/>
      <c r="K18" s="625">
        <f>K9+K13+K17</f>
        <v>0</v>
      </c>
      <c r="L18" s="627" t="e">
        <f>K18/F18</f>
        <v>#DIV/0!</v>
      </c>
      <c r="M18" s="623"/>
      <c r="N18" s="153" t="s">
        <v>1206</v>
      </c>
    </row>
    <row r="19" spans="1:14">
      <c r="A19" s="628" t="s">
        <v>23</v>
      </c>
      <c r="B19" s="628"/>
      <c r="C19" s="628"/>
      <c r="D19" s="628"/>
      <c r="E19" s="628"/>
      <c r="F19" s="623"/>
      <c r="G19" s="623"/>
      <c r="H19" s="623"/>
      <c r="I19" s="623"/>
      <c r="J19" s="623"/>
      <c r="K19" s="849" t="s">
        <v>1200</v>
      </c>
      <c r="L19" s="849"/>
      <c r="M19" s="849"/>
      <c r="N19" s="153" t="s">
        <v>1207</v>
      </c>
    </row>
    <row r="20" spans="1:14">
      <c r="A20" s="180" t="s">
        <v>0</v>
      </c>
      <c r="B20" s="180" t="s">
        <v>7</v>
      </c>
      <c r="C20" s="180" t="s">
        <v>13</v>
      </c>
      <c r="D20" s="180" t="s">
        <v>14</v>
      </c>
      <c r="E20" s="180" t="s">
        <v>8</v>
      </c>
      <c r="F20" s="180" t="s">
        <v>1</v>
      </c>
      <c r="G20" s="180" t="s">
        <v>2</v>
      </c>
      <c r="H20" s="180" t="s">
        <v>15</v>
      </c>
      <c r="I20" s="180" t="s">
        <v>3</v>
      </c>
      <c r="J20" s="180" t="s">
        <v>4</v>
      </c>
      <c r="K20" s="180" t="s">
        <v>5</v>
      </c>
      <c r="L20" s="180" t="s">
        <v>12</v>
      </c>
      <c r="M20" s="180" t="s">
        <v>6</v>
      </c>
      <c r="N20" s="153" t="s">
        <v>1208</v>
      </c>
    </row>
    <row r="21" spans="1:14">
      <c r="A21" s="178">
        <v>1</v>
      </c>
      <c r="B21" s="178" t="s">
        <v>537</v>
      </c>
      <c r="C21" s="629" t="s">
        <v>542</v>
      </c>
      <c r="D21" s="629" t="s">
        <v>539</v>
      </c>
      <c r="E21" s="178"/>
      <c r="F21" s="621"/>
      <c r="G21" s="178" t="s">
        <v>24</v>
      </c>
      <c r="H21" s="192"/>
      <c r="I21" s="554"/>
      <c r="J21" s="614">
        <v>74</v>
      </c>
      <c r="K21" s="614">
        <f t="shared" ref="K21:K23" si="3">I21*J21</f>
        <v>0</v>
      </c>
      <c r="L21" s="192"/>
      <c r="M21" s="162"/>
      <c r="N21" s="153" t="s">
        <v>912</v>
      </c>
    </row>
    <row r="22" spans="1:14">
      <c r="A22" s="178"/>
      <c r="B22" s="178"/>
      <c r="C22" s="178"/>
      <c r="D22" s="178"/>
      <c r="E22" s="178"/>
      <c r="F22" s="621"/>
      <c r="G22" s="178" t="s">
        <v>18</v>
      </c>
      <c r="H22" s="192"/>
      <c r="I22" s="554"/>
      <c r="J22" s="614">
        <v>46</v>
      </c>
      <c r="K22" s="614">
        <f t="shared" si="3"/>
        <v>0</v>
      </c>
      <c r="L22" s="192"/>
      <c r="M22" s="192"/>
      <c r="N22" s="153" t="s">
        <v>1209</v>
      </c>
    </row>
    <row r="23" spans="1:14">
      <c r="A23" s="178"/>
      <c r="B23" s="178"/>
      <c r="C23" s="178"/>
      <c r="D23" s="178"/>
      <c r="E23" s="178"/>
      <c r="F23" s="621"/>
      <c r="G23" s="178" t="s">
        <v>171</v>
      </c>
      <c r="H23" s="192"/>
      <c r="I23" s="554"/>
      <c r="J23" s="614">
        <v>416</v>
      </c>
      <c r="K23" s="614">
        <f t="shared" si="3"/>
        <v>0</v>
      </c>
      <c r="L23" s="192"/>
      <c r="M23" s="192"/>
      <c r="N23" s="618"/>
    </row>
    <row r="24" spans="1:14">
      <c r="A24" s="178"/>
      <c r="B24" s="178"/>
      <c r="C24" s="178"/>
      <c r="D24" s="178"/>
      <c r="E24" s="178"/>
      <c r="F24" s="621"/>
      <c r="G24" s="178" t="s">
        <v>172</v>
      </c>
      <c r="H24" s="192"/>
      <c r="I24" s="554"/>
      <c r="J24" s="614">
        <v>165</v>
      </c>
      <c r="K24" s="614">
        <f>I24*J24</f>
        <v>0</v>
      </c>
      <c r="L24" s="192"/>
      <c r="M24" s="192"/>
      <c r="N24" s="618"/>
    </row>
    <row r="25" spans="1:14">
      <c r="A25" s="178"/>
      <c r="B25" s="178"/>
      <c r="C25" s="178"/>
      <c r="D25" s="178"/>
      <c r="E25" s="178"/>
      <c r="F25" s="621"/>
      <c r="G25" s="179" t="s">
        <v>181</v>
      </c>
      <c r="H25" s="192"/>
      <c r="I25" s="554"/>
      <c r="J25" s="614">
        <v>165</v>
      </c>
      <c r="K25" s="614">
        <f t="shared" ref="K25" si="4">I25*J25</f>
        <v>0</v>
      </c>
      <c r="L25" s="192"/>
      <c r="M25" s="192"/>
      <c r="N25" s="618"/>
    </row>
    <row r="26" spans="1:14">
      <c r="A26" s="178"/>
      <c r="B26" s="178"/>
      <c r="C26" s="178"/>
      <c r="D26" s="178"/>
      <c r="E26" s="180" t="s">
        <v>9</v>
      </c>
      <c r="F26" s="622">
        <f>SUM(F21:F25)</f>
        <v>0</v>
      </c>
      <c r="G26" s="180"/>
      <c r="H26" s="180"/>
      <c r="I26" s="554"/>
      <c r="J26" s="614"/>
      <c r="K26" s="152">
        <f>SUM(K21:K25)</f>
        <v>0</v>
      </c>
      <c r="L26" s="152" t="e">
        <f>K26/F26</f>
        <v>#DIV/0!</v>
      </c>
      <c r="M26" s="192"/>
      <c r="N26" s="618"/>
    </row>
    <row r="27" spans="1:14">
      <c r="A27" s="178">
        <v>2</v>
      </c>
      <c r="B27" s="178" t="s">
        <v>552</v>
      </c>
      <c r="C27" s="629" t="s">
        <v>553</v>
      </c>
      <c r="D27" s="629" t="s">
        <v>554</v>
      </c>
      <c r="E27" s="178"/>
      <c r="F27" s="621"/>
      <c r="G27" s="178" t="s">
        <v>24</v>
      </c>
      <c r="H27" s="192"/>
      <c r="I27" s="554"/>
      <c r="J27" s="614">
        <v>74</v>
      </c>
      <c r="K27" s="614">
        <f t="shared" ref="K27:K29" si="5">I27*J27</f>
        <v>0</v>
      </c>
      <c r="L27" s="192"/>
      <c r="M27" s="192"/>
      <c r="N27" s="618"/>
    </row>
    <row r="28" spans="1:14">
      <c r="A28" s="178"/>
      <c r="B28" s="178"/>
      <c r="C28" s="178"/>
      <c r="D28" s="178"/>
      <c r="E28" s="178"/>
      <c r="F28" s="621"/>
      <c r="G28" s="178" t="s">
        <v>18</v>
      </c>
      <c r="H28" s="192"/>
      <c r="I28" s="554"/>
      <c r="J28" s="614">
        <v>46</v>
      </c>
      <c r="K28" s="614">
        <f t="shared" si="5"/>
        <v>0</v>
      </c>
      <c r="L28" s="192"/>
      <c r="M28" s="192"/>
      <c r="N28" s="618"/>
    </row>
    <row r="29" spans="1:14">
      <c r="A29" s="178"/>
      <c r="B29" s="178"/>
      <c r="C29" s="178"/>
      <c r="D29" s="178"/>
      <c r="E29" s="178"/>
      <c r="F29" s="621"/>
      <c r="G29" s="178" t="s">
        <v>171</v>
      </c>
      <c r="H29" s="192"/>
      <c r="I29" s="554"/>
      <c r="J29" s="614">
        <v>416</v>
      </c>
      <c r="K29" s="614">
        <f t="shared" si="5"/>
        <v>0</v>
      </c>
      <c r="L29" s="192"/>
      <c r="M29" s="192"/>
      <c r="N29" s="618"/>
    </row>
    <row r="30" spans="1:14">
      <c r="A30" s="178"/>
      <c r="B30" s="178"/>
      <c r="C30" s="178"/>
      <c r="D30" s="178"/>
      <c r="E30" s="178"/>
      <c r="F30" s="621"/>
      <c r="G30" s="178" t="s">
        <v>172</v>
      </c>
      <c r="H30" s="192"/>
      <c r="I30" s="554"/>
      <c r="J30" s="614">
        <v>165</v>
      </c>
      <c r="K30" s="614">
        <f>I30*J30</f>
        <v>0</v>
      </c>
      <c r="L30" s="192"/>
      <c r="M30" s="192"/>
      <c r="N30" s="618"/>
    </row>
    <row r="31" spans="1:14">
      <c r="A31" s="178"/>
      <c r="B31" s="178"/>
      <c r="C31" s="178"/>
      <c r="D31" s="178"/>
      <c r="E31" s="178"/>
      <c r="F31" s="621"/>
      <c r="G31" s="179" t="s">
        <v>181</v>
      </c>
      <c r="H31" s="192"/>
      <c r="I31" s="554"/>
      <c r="J31" s="614">
        <v>165</v>
      </c>
      <c r="K31" s="614">
        <f t="shared" ref="K31" si="6">I31*J31</f>
        <v>0</v>
      </c>
      <c r="L31" s="192"/>
      <c r="M31" s="192"/>
      <c r="N31" s="618"/>
    </row>
    <row r="32" spans="1:14">
      <c r="A32" s="178"/>
      <c r="B32" s="178"/>
      <c r="C32" s="178"/>
      <c r="D32" s="178"/>
      <c r="E32" s="180" t="s">
        <v>9</v>
      </c>
      <c r="F32" s="622">
        <f>SUM(F27:F31)</f>
        <v>0</v>
      </c>
      <c r="G32" s="180"/>
      <c r="H32" s="180"/>
      <c r="I32" s="554"/>
      <c r="J32" s="614"/>
      <c r="K32" s="152">
        <f>SUM(K27:K31)</f>
        <v>0</v>
      </c>
      <c r="L32" s="152" t="e">
        <f>K32/F32</f>
        <v>#DIV/0!</v>
      </c>
      <c r="M32" s="192"/>
      <c r="N32" s="618"/>
    </row>
    <row r="33" spans="1:14">
      <c r="A33" s="178">
        <v>3</v>
      </c>
      <c r="B33" s="178" t="s">
        <v>549</v>
      </c>
      <c r="C33" s="178" t="s">
        <v>470</v>
      </c>
      <c r="D33" s="178" t="s">
        <v>467</v>
      </c>
      <c r="E33" s="178"/>
      <c r="F33" s="619"/>
      <c r="G33" s="178" t="s">
        <v>24</v>
      </c>
      <c r="H33" s="192"/>
      <c r="I33" s="554"/>
      <c r="J33" s="614">
        <v>74</v>
      </c>
      <c r="K33" s="614">
        <f t="shared" ref="K33:K35" si="7">I33*J33</f>
        <v>0</v>
      </c>
      <c r="L33" s="192"/>
      <c r="M33" s="192"/>
      <c r="N33" s="618"/>
    </row>
    <row r="34" spans="1:14">
      <c r="A34" s="178"/>
      <c r="B34" s="178"/>
      <c r="C34" s="178"/>
      <c r="D34" s="178"/>
      <c r="E34" s="178"/>
      <c r="F34" s="621"/>
      <c r="G34" s="178" t="s">
        <v>18</v>
      </c>
      <c r="H34" s="192"/>
      <c r="I34" s="554"/>
      <c r="J34" s="614">
        <v>46</v>
      </c>
      <c r="K34" s="614">
        <f t="shared" si="7"/>
        <v>0</v>
      </c>
      <c r="L34" s="192"/>
      <c r="M34" s="192"/>
      <c r="N34" s="618"/>
    </row>
    <row r="35" spans="1:14">
      <c r="A35" s="178"/>
      <c r="B35" s="178"/>
      <c r="C35" s="178"/>
      <c r="D35" s="178"/>
      <c r="E35" s="178"/>
      <c r="F35" s="621"/>
      <c r="G35" s="178" t="s">
        <v>171</v>
      </c>
      <c r="H35" s="192"/>
      <c r="I35" s="554"/>
      <c r="J35" s="614">
        <v>416</v>
      </c>
      <c r="K35" s="614">
        <f t="shared" si="7"/>
        <v>0</v>
      </c>
      <c r="L35" s="192"/>
      <c r="M35" s="192"/>
      <c r="N35" s="618"/>
    </row>
    <row r="36" spans="1:14">
      <c r="A36" s="178"/>
      <c r="B36" s="178"/>
      <c r="C36" s="178"/>
      <c r="D36" s="178"/>
      <c r="E36" s="178"/>
      <c r="F36" s="621"/>
      <c r="G36" s="178" t="s">
        <v>172</v>
      </c>
      <c r="H36" s="192"/>
      <c r="I36" s="554"/>
      <c r="J36" s="614">
        <v>165</v>
      </c>
      <c r="K36" s="614">
        <f>I36*J36</f>
        <v>0</v>
      </c>
      <c r="L36" s="192"/>
      <c r="M36" s="192"/>
      <c r="N36" s="618"/>
    </row>
    <row r="37" spans="1:14">
      <c r="A37" s="178"/>
      <c r="B37" s="178"/>
      <c r="C37" s="178"/>
      <c r="D37" s="178"/>
      <c r="E37" s="178"/>
      <c r="F37" s="621"/>
      <c r="G37" s="179" t="s">
        <v>181</v>
      </c>
      <c r="H37" s="192"/>
      <c r="I37" s="554"/>
      <c r="J37" s="614">
        <v>165</v>
      </c>
      <c r="K37" s="614">
        <f t="shared" ref="K37" si="8">I37*J37</f>
        <v>0</v>
      </c>
      <c r="L37" s="192"/>
      <c r="M37" s="192"/>
      <c r="N37" s="618"/>
    </row>
    <row r="38" spans="1:14">
      <c r="A38" s="178"/>
      <c r="B38" s="178"/>
      <c r="C38" s="178"/>
      <c r="D38" s="178"/>
      <c r="E38" s="180" t="s">
        <v>9</v>
      </c>
      <c r="F38" s="622">
        <f>SUM(F33:F37)</f>
        <v>0</v>
      </c>
      <c r="G38" s="180"/>
      <c r="H38" s="180"/>
      <c r="I38" s="554"/>
      <c r="J38" s="614"/>
      <c r="K38" s="152">
        <f>SUM(K33:K37)</f>
        <v>0</v>
      </c>
      <c r="L38" s="152" t="e">
        <f>K38/F38</f>
        <v>#DIV/0!</v>
      </c>
      <c r="M38" s="192"/>
      <c r="N38" s="618"/>
    </row>
    <row r="39" spans="1:14">
      <c r="A39" s="178">
        <v>4</v>
      </c>
      <c r="B39" s="178" t="s">
        <v>456</v>
      </c>
      <c r="C39" s="178" t="s">
        <v>386</v>
      </c>
      <c r="D39" s="178" t="s">
        <v>452</v>
      </c>
      <c r="E39" s="178"/>
      <c r="F39" s="619"/>
      <c r="G39" s="178" t="s">
        <v>24</v>
      </c>
      <c r="H39" s="192"/>
      <c r="I39" s="554"/>
      <c r="J39" s="614">
        <v>74</v>
      </c>
      <c r="K39" s="614">
        <f t="shared" ref="K39:K41" si="9">I39*J39</f>
        <v>0</v>
      </c>
      <c r="L39" s="192"/>
      <c r="M39" s="192"/>
      <c r="N39" s="618"/>
    </row>
    <row r="40" spans="1:14">
      <c r="A40" s="178"/>
      <c r="B40" s="178"/>
      <c r="C40" s="178"/>
      <c r="D40" s="178"/>
      <c r="E40" s="178"/>
      <c r="F40" s="621"/>
      <c r="G40" s="178" t="s">
        <v>18</v>
      </c>
      <c r="H40" s="192"/>
      <c r="I40" s="554"/>
      <c r="J40" s="614">
        <v>46</v>
      </c>
      <c r="K40" s="614">
        <f t="shared" si="9"/>
        <v>0</v>
      </c>
      <c r="L40" s="192"/>
      <c r="M40" s="192"/>
      <c r="N40" s="618"/>
    </row>
    <row r="41" spans="1:14">
      <c r="A41" s="178"/>
      <c r="B41" s="178"/>
      <c r="C41" s="178"/>
      <c r="D41" s="178"/>
      <c r="E41" s="178"/>
      <c r="F41" s="621"/>
      <c r="G41" s="178" t="s">
        <v>171</v>
      </c>
      <c r="H41" s="192"/>
      <c r="I41" s="554"/>
      <c r="J41" s="614">
        <v>416</v>
      </c>
      <c r="K41" s="614">
        <f t="shared" si="9"/>
        <v>0</v>
      </c>
      <c r="L41" s="192"/>
      <c r="M41" s="192"/>
      <c r="N41" s="618"/>
    </row>
    <row r="42" spans="1:14">
      <c r="A42" s="178"/>
      <c r="B42" s="178"/>
      <c r="C42" s="178"/>
      <c r="D42" s="178"/>
      <c r="E42" s="178"/>
      <c r="F42" s="621"/>
      <c r="G42" s="178" t="s">
        <v>172</v>
      </c>
      <c r="H42" s="192"/>
      <c r="I42" s="554"/>
      <c r="J42" s="614">
        <v>165</v>
      </c>
      <c r="K42" s="614">
        <f>I42*J42</f>
        <v>0</v>
      </c>
      <c r="L42" s="192"/>
      <c r="M42" s="192"/>
      <c r="N42" s="618"/>
    </row>
    <row r="43" spans="1:14">
      <c r="A43" s="178"/>
      <c r="B43" s="178"/>
      <c r="C43" s="178"/>
      <c r="D43" s="178"/>
      <c r="E43" s="178"/>
      <c r="F43" s="621"/>
      <c r="G43" s="179" t="s">
        <v>181</v>
      </c>
      <c r="H43" s="192"/>
      <c r="I43" s="554"/>
      <c r="J43" s="614">
        <v>165</v>
      </c>
      <c r="K43" s="614">
        <f t="shared" ref="K43" si="10">I43*J43</f>
        <v>0</v>
      </c>
      <c r="L43" s="192"/>
      <c r="M43" s="192"/>
      <c r="N43" s="618"/>
    </row>
    <row r="44" spans="1:14">
      <c r="A44" s="178"/>
      <c r="B44" s="178"/>
      <c r="C44" s="178"/>
      <c r="D44" s="178"/>
      <c r="E44" s="180" t="s">
        <v>9</v>
      </c>
      <c r="F44" s="622">
        <f>SUM(F39:F43)</f>
        <v>0</v>
      </c>
      <c r="G44" s="180"/>
      <c r="H44" s="180"/>
      <c r="I44" s="554"/>
      <c r="J44" s="614"/>
      <c r="K44" s="152">
        <f>SUM(K39:K43)</f>
        <v>0</v>
      </c>
      <c r="L44" s="152" t="e">
        <f>K44/F44</f>
        <v>#DIV/0!</v>
      </c>
      <c r="M44" s="192"/>
      <c r="N44" s="618"/>
    </row>
    <row r="45" spans="1:14">
      <c r="A45" s="630"/>
      <c r="B45" s="630"/>
      <c r="C45" s="630"/>
      <c r="D45" s="180" t="s">
        <v>30</v>
      </c>
      <c r="E45" s="180"/>
      <c r="F45" s="625">
        <f>F26+F32+F38+F44</f>
        <v>0</v>
      </c>
      <c r="G45" s="631"/>
      <c r="H45" s="631"/>
      <c r="I45" s="631"/>
      <c r="J45" s="631"/>
      <c r="K45" s="625">
        <f>K26+K32+K38+K44</f>
        <v>0</v>
      </c>
      <c r="L45" s="627" t="e">
        <f>K45/F45</f>
        <v>#DIV/0!</v>
      </c>
      <c r="M45" s="192"/>
      <c r="N45" s="618"/>
    </row>
    <row r="46" spans="1:14">
      <c r="A46" s="628" t="s">
        <v>22</v>
      </c>
      <c r="B46" s="628"/>
      <c r="C46" s="628"/>
      <c r="D46" s="628"/>
      <c r="E46" s="628"/>
      <c r="F46" s="623"/>
      <c r="G46" s="623"/>
      <c r="H46" s="623"/>
      <c r="I46" s="623"/>
      <c r="J46" s="623"/>
      <c r="K46" s="849" t="s">
        <v>1200</v>
      </c>
      <c r="L46" s="849"/>
      <c r="M46" s="849"/>
      <c r="N46" s="618"/>
    </row>
    <row r="47" spans="1:14">
      <c r="A47" s="180" t="s">
        <v>0</v>
      </c>
      <c r="B47" s="180" t="s">
        <v>7</v>
      </c>
      <c r="C47" s="180" t="s">
        <v>13</v>
      </c>
      <c r="D47" s="180" t="s">
        <v>14</v>
      </c>
      <c r="E47" s="180" t="s">
        <v>8</v>
      </c>
      <c r="F47" s="180" t="s">
        <v>1</v>
      </c>
      <c r="G47" s="180" t="s">
        <v>2</v>
      </c>
      <c r="H47" s="180" t="s">
        <v>15</v>
      </c>
      <c r="I47" s="180" t="s">
        <v>3</v>
      </c>
      <c r="J47" s="180" t="s">
        <v>4</v>
      </c>
      <c r="K47" s="180" t="s">
        <v>5</v>
      </c>
      <c r="L47" s="180" t="s">
        <v>12</v>
      </c>
      <c r="M47" s="180" t="s">
        <v>6</v>
      </c>
      <c r="N47" s="618"/>
    </row>
    <row r="48" spans="1:14">
      <c r="A48" s="178">
        <v>1</v>
      </c>
      <c r="B48" s="178" t="s">
        <v>535</v>
      </c>
      <c r="C48" s="178" t="s">
        <v>339</v>
      </c>
      <c r="D48" s="178" t="s">
        <v>536</v>
      </c>
      <c r="E48" s="178"/>
      <c r="F48" s="621"/>
      <c r="G48" s="178" t="s">
        <v>24</v>
      </c>
      <c r="H48" s="192"/>
      <c r="I48" s="554"/>
      <c r="J48" s="614">
        <v>74</v>
      </c>
      <c r="K48" s="614">
        <f t="shared" ref="K48:K49" si="11">I48*J48</f>
        <v>0</v>
      </c>
      <c r="L48" s="192"/>
      <c r="M48" s="162"/>
      <c r="N48" s="618"/>
    </row>
    <row r="49" spans="1:14">
      <c r="A49" s="178"/>
      <c r="B49" s="178"/>
      <c r="C49" s="178"/>
      <c r="D49" s="178"/>
      <c r="E49" s="178"/>
      <c r="F49" s="621"/>
      <c r="G49" s="613" t="s">
        <v>10</v>
      </c>
      <c r="H49" s="192"/>
      <c r="I49" s="554"/>
      <c r="J49" s="614">
        <v>120</v>
      </c>
      <c r="K49" s="614">
        <f t="shared" si="11"/>
        <v>0</v>
      </c>
      <c r="L49" s="192"/>
      <c r="M49" s="192"/>
      <c r="N49" s="618"/>
    </row>
    <row r="50" spans="1:14">
      <c r="A50" s="178"/>
      <c r="B50" s="178"/>
      <c r="C50" s="178"/>
      <c r="D50" s="178"/>
      <c r="E50" s="180" t="s">
        <v>9</v>
      </c>
      <c r="F50" s="622">
        <f>SUM(F48:F49)</f>
        <v>0</v>
      </c>
      <c r="G50" s="180"/>
      <c r="H50" s="180"/>
      <c r="I50" s="554"/>
      <c r="J50" s="614"/>
      <c r="K50" s="152">
        <f>SUM(K48:K49)</f>
        <v>0</v>
      </c>
      <c r="L50" s="152" t="e">
        <f>K50/F50</f>
        <v>#DIV/0!</v>
      </c>
      <c r="M50" s="192"/>
      <c r="N50" s="618"/>
    </row>
    <row r="51" spans="1:14">
      <c r="A51" s="178">
        <v>2</v>
      </c>
      <c r="B51" s="178" t="s">
        <v>560</v>
      </c>
      <c r="C51" s="178" t="s">
        <v>544</v>
      </c>
      <c r="D51" s="178" t="s">
        <v>545</v>
      </c>
      <c r="E51" s="178"/>
      <c r="F51" s="621"/>
      <c r="G51" s="178" t="s">
        <v>24</v>
      </c>
      <c r="H51" s="192"/>
      <c r="I51" s="554"/>
      <c r="J51" s="614">
        <v>74</v>
      </c>
      <c r="K51" s="614">
        <f t="shared" ref="K51:K52" si="12">I51*J51</f>
        <v>0</v>
      </c>
      <c r="L51" s="192"/>
      <c r="M51" s="192"/>
      <c r="N51" s="618"/>
    </row>
    <row r="52" spans="1:14">
      <c r="A52" s="178"/>
      <c r="B52" s="178" t="s">
        <v>543</v>
      </c>
      <c r="C52" s="178" t="s">
        <v>544</v>
      </c>
      <c r="D52" s="178" t="s">
        <v>545</v>
      </c>
      <c r="E52" s="178"/>
      <c r="F52" s="621"/>
      <c r="G52" s="613" t="s">
        <v>10</v>
      </c>
      <c r="H52" s="192"/>
      <c r="I52" s="554"/>
      <c r="J52" s="614">
        <v>120</v>
      </c>
      <c r="K52" s="614">
        <f t="shared" si="12"/>
        <v>0</v>
      </c>
      <c r="L52" s="192"/>
      <c r="M52" s="192"/>
      <c r="N52" s="618"/>
    </row>
    <row r="53" spans="1:14">
      <c r="A53" s="178"/>
      <c r="B53" s="178"/>
      <c r="C53" s="178"/>
      <c r="D53" s="178"/>
      <c r="E53" s="180" t="s">
        <v>9</v>
      </c>
      <c r="F53" s="622">
        <f>SUM(F51:F52)</f>
        <v>0</v>
      </c>
      <c r="G53" s="180"/>
      <c r="H53" s="180"/>
      <c r="I53" s="554"/>
      <c r="J53" s="614"/>
      <c r="K53" s="152">
        <f>SUM(K51:K52)</f>
        <v>0</v>
      </c>
      <c r="L53" s="152" t="e">
        <f>K53/F53</f>
        <v>#DIV/0!</v>
      </c>
      <c r="M53" s="192"/>
      <c r="N53" s="618"/>
    </row>
    <row r="54" spans="1:14">
      <c r="A54" s="178">
        <v>3</v>
      </c>
      <c r="B54" s="178" t="s">
        <v>552</v>
      </c>
      <c r="C54" s="629" t="s">
        <v>553</v>
      </c>
      <c r="D54" s="629" t="s">
        <v>554</v>
      </c>
      <c r="E54" s="178"/>
      <c r="F54" s="621"/>
      <c r="G54" s="178" t="s">
        <v>24</v>
      </c>
      <c r="H54" s="192"/>
      <c r="I54" s="554"/>
      <c r="J54" s="614">
        <v>74</v>
      </c>
      <c r="K54" s="614">
        <f t="shared" ref="K54:K55" si="13">I54*J54</f>
        <v>0</v>
      </c>
      <c r="L54" s="192"/>
      <c r="M54" s="192"/>
      <c r="N54" s="618"/>
    </row>
    <row r="55" spans="1:14">
      <c r="A55" s="178"/>
      <c r="B55" s="178" t="s">
        <v>277</v>
      </c>
      <c r="C55" s="178" t="s">
        <v>557</v>
      </c>
      <c r="D55" s="178" t="s">
        <v>558</v>
      </c>
      <c r="E55" s="178"/>
      <c r="F55" s="621"/>
      <c r="G55" s="613" t="s">
        <v>10</v>
      </c>
      <c r="H55" s="192"/>
      <c r="I55" s="554"/>
      <c r="J55" s="614">
        <v>120</v>
      </c>
      <c r="K55" s="614">
        <f t="shared" si="13"/>
        <v>0</v>
      </c>
      <c r="L55" s="192"/>
      <c r="M55" s="192"/>
      <c r="N55" s="618"/>
    </row>
    <row r="56" spans="1:14">
      <c r="A56" s="178"/>
      <c r="B56" s="178" t="s">
        <v>444</v>
      </c>
      <c r="C56" s="178" t="s">
        <v>525</v>
      </c>
      <c r="D56" s="178" t="s">
        <v>526</v>
      </c>
      <c r="E56" s="178"/>
      <c r="F56" s="621"/>
      <c r="G56" s="178"/>
      <c r="H56" s="192"/>
      <c r="I56" s="554"/>
      <c r="J56" s="614"/>
      <c r="K56" s="614"/>
      <c r="L56" s="192"/>
      <c r="M56" s="192"/>
      <c r="N56" s="618"/>
    </row>
    <row r="57" spans="1:14">
      <c r="A57" s="178"/>
      <c r="B57" s="178"/>
      <c r="C57" s="178"/>
      <c r="D57" s="178"/>
      <c r="E57" s="180" t="s">
        <v>9</v>
      </c>
      <c r="F57" s="622">
        <f>SUM(F54:F56)</f>
        <v>0</v>
      </c>
      <c r="G57" s="180"/>
      <c r="H57" s="180"/>
      <c r="I57" s="554"/>
      <c r="J57" s="614"/>
      <c r="K57" s="152">
        <f>SUM(K54:K56)</f>
        <v>0</v>
      </c>
      <c r="L57" s="152" t="e">
        <f>K57/F57</f>
        <v>#DIV/0!</v>
      </c>
      <c r="M57" s="192"/>
      <c r="N57" s="618"/>
    </row>
    <row r="58" spans="1:14">
      <c r="A58" s="623"/>
      <c r="B58" s="623"/>
      <c r="C58" s="623"/>
      <c r="D58" s="624" t="s">
        <v>30</v>
      </c>
      <c r="E58" s="624"/>
      <c r="F58" s="625">
        <f>F50+F53+F57</f>
        <v>0</v>
      </c>
      <c r="G58" s="626"/>
      <c r="H58" s="626"/>
      <c r="I58" s="626"/>
      <c r="J58" s="626"/>
      <c r="K58" s="625">
        <f>K50+K53+K57</f>
        <v>0</v>
      </c>
      <c r="L58" s="627" t="e">
        <f>K58/F58</f>
        <v>#DIV/0!</v>
      </c>
      <c r="M58" s="623"/>
      <c r="N58" s="618"/>
    </row>
    <row r="59" spans="1:14" s="28" customFormat="1" ht="15" customHeight="1">
      <c r="A59" s="628" t="s">
        <v>16</v>
      </c>
      <c r="B59" s="628"/>
      <c r="C59" s="628"/>
      <c r="D59" s="628"/>
      <c r="E59" s="628"/>
      <c r="F59" s="623"/>
      <c r="G59" s="623"/>
      <c r="H59" s="623"/>
      <c r="I59" s="623"/>
      <c r="J59" s="623"/>
      <c r="K59" s="849" t="s">
        <v>1200</v>
      </c>
      <c r="L59" s="849"/>
      <c r="M59" s="849"/>
      <c r="N59" s="618"/>
    </row>
    <row r="60" spans="1:14" s="28" customFormat="1" ht="15" customHeight="1">
      <c r="A60" s="180" t="s">
        <v>0</v>
      </c>
      <c r="B60" s="180" t="s">
        <v>7</v>
      </c>
      <c r="C60" s="180" t="s">
        <v>13</v>
      </c>
      <c r="D60" s="180" t="s">
        <v>14</v>
      </c>
      <c r="E60" s="180" t="s">
        <v>8</v>
      </c>
      <c r="F60" s="180" t="s">
        <v>1</v>
      </c>
      <c r="G60" s="180" t="s">
        <v>2</v>
      </c>
      <c r="H60" s="180" t="s">
        <v>15</v>
      </c>
      <c r="I60" s="180" t="s">
        <v>3</v>
      </c>
      <c r="J60" s="180" t="s">
        <v>4</v>
      </c>
      <c r="K60" s="180" t="s">
        <v>5</v>
      </c>
      <c r="L60" s="180" t="s">
        <v>12</v>
      </c>
      <c r="M60" s="180" t="s">
        <v>6</v>
      </c>
      <c r="N60" s="618"/>
    </row>
    <row r="61" spans="1:14" s="28" customFormat="1" ht="15" customHeight="1">
      <c r="A61" s="178"/>
      <c r="B61" s="178"/>
      <c r="C61" s="178"/>
      <c r="D61" s="178"/>
      <c r="E61" s="178"/>
      <c r="F61" s="621"/>
      <c r="G61" s="178" t="s">
        <v>75</v>
      </c>
      <c r="H61" s="178"/>
      <c r="I61" s="632"/>
      <c r="J61" s="633">
        <v>367</v>
      </c>
      <c r="K61" s="633">
        <f t="shared" ref="K61" si="14">I61*J61</f>
        <v>0</v>
      </c>
      <c r="L61" s="192"/>
      <c r="M61" s="162"/>
      <c r="N61" s="618"/>
    </row>
    <row r="62" spans="1:14" s="28" customFormat="1" ht="15" customHeight="1">
      <c r="A62" s="178"/>
      <c r="B62" s="178"/>
      <c r="C62" s="178"/>
      <c r="D62" s="178"/>
      <c r="E62" s="178"/>
      <c r="F62" s="621"/>
      <c r="G62" s="178" t="s">
        <v>20</v>
      </c>
      <c r="H62" s="192"/>
      <c r="I62" s="554"/>
      <c r="J62" s="614">
        <v>315</v>
      </c>
      <c r="K62" s="614">
        <f t="shared" ref="K62" si="15">I62*J62</f>
        <v>0</v>
      </c>
      <c r="L62" s="192"/>
      <c r="M62" s="192"/>
      <c r="N62" s="618"/>
    </row>
    <row r="63" spans="1:14" s="28" customFormat="1" ht="15" customHeight="1">
      <c r="A63" s="178"/>
      <c r="B63" s="178"/>
      <c r="C63" s="178"/>
      <c r="D63" s="178"/>
      <c r="E63" s="180" t="s">
        <v>9</v>
      </c>
      <c r="F63" s="622">
        <f>SUM(F62:F62)</f>
        <v>0</v>
      </c>
      <c r="G63" s="180"/>
      <c r="H63" s="180"/>
      <c r="I63" s="554"/>
      <c r="J63" s="614"/>
      <c r="K63" s="152">
        <f>SUM(K62:K62)</f>
        <v>0</v>
      </c>
      <c r="L63" s="152" t="e">
        <f>K63/F63</f>
        <v>#DIV/0!</v>
      </c>
      <c r="M63" s="192"/>
      <c r="N63" s="618"/>
    </row>
    <row r="64" spans="1:14" s="28" customFormat="1" ht="15" customHeight="1">
      <c r="A64" s="634"/>
      <c r="B64" s="634"/>
      <c r="C64" s="634"/>
      <c r="D64" s="624" t="s">
        <v>30</v>
      </c>
      <c r="E64" s="624"/>
      <c r="F64" s="625">
        <f>F63</f>
        <v>0</v>
      </c>
      <c r="G64" s="626"/>
      <c r="H64" s="626"/>
      <c r="I64" s="626"/>
      <c r="J64" s="626"/>
      <c r="K64" s="625">
        <f>K63</f>
        <v>0</v>
      </c>
      <c r="L64" s="627" t="e">
        <f>K64/F64</f>
        <v>#DIV/0!</v>
      </c>
      <c r="M64" s="630"/>
      <c r="N64" s="618"/>
    </row>
    <row r="65" spans="1:14" s="28" customFormat="1" ht="15" customHeight="1">
      <c r="A65" s="628" t="s">
        <v>72</v>
      </c>
      <c r="B65" s="628"/>
      <c r="C65" s="628"/>
      <c r="D65" s="628"/>
      <c r="E65" s="628"/>
      <c r="F65" s="623"/>
      <c r="G65" s="623"/>
      <c r="H65" s="623"/>
      <c r="I65" s="635"/>
      <c r="J65" s="623"/>
      <c r="K65" s="849" t="s">
        <v>1200</v>
      </c>
      <c r="L65" s="849"/>
      <c r="M65" s="849"/>
      <c r="N65" s="618"/>
    </row>
    <row r="66" spans="1:14" s="28" customFormat="1" ht="15" customHeight="1">
      <c r="A66" s="180" t="s">
        <v>0</v>
      </c>
      <c r="B66" s="180" t="s">
        <v>7</v>
      </c>
      <c r="C66" s="180" t="s">
        <v>13</v>
      </c>
      <c r="D66" s="180" t="s">
        <v>14</v>
      </c>
      <c r="E66" s="180" t="s">
        <v>8</v>
      </c>
      <c r="F66" s="180" t="s">
        <v>1</v>
      </c>
      <c r="G66" s="180" t="s">
        <v>2</v>
      </c>
      <c r="H66" s="180" t="s">
        <v>15</v>
      </c>
      <c r="I66" s="636" t="s">
        <v>3</v>
      </c>
      <c r="J66" s="180" t="s">
        <v>4</v>
      </c>
      <c r="K66" s="180" t="s">
        <v>5</v>
      </c>
      <c r="L66" s="180" t="s">
        <v>12</v>
      </c>
      <c r="M66" s="180" t="s">
        <v>6</v>
      </c>
      <c r="N66" s="637"/>
    </row>
    <row r="67" spans="1:14" s="28" customFormat="1" ht="15" customHeight="1">
      <c r="A67" s="178">
        <v>5723</v>
      </c>
      <c r="B67" s="178" t="s">
        <v>567</v>
      </c>
      <c r="C67" s="629" t="s">
        <v>455</v>
      </c>
      <c r="D67" s="629" t="s">
        <v>568</v>
      </c>
      <c r="E67" s="178" t="s">
        <v>232</v>
      </c>
      <c r="F67" s="638"/>
      <c r="G67" s="639" t="s">
        <v>190</v>
      </c>
      <c r="H67" s="192"/>
      <c r="I67" s="554"/>
      <c r="J67" s="614">
        <v>890</v>
      </c>
      <c r="K67" s="614">
        <f t="shared" ref="K67:K71" si="16">I67*J67</f>
        <v>0</v>
      </c>
      <c r="L67" s="192"/>
      <c r="M67" s="192"/>
      <c r="N67" s="618"/>
    </row>
    <row r="68" spans="1:14" s="28" customFormat="1" ht="15" customHeight="1">
      <c r="A68" s="178"/>
      <c r="B68" s="178"/>
      <c r="C68" s="178"/>
      <c r="D68" s="178"/>
      <c r="E68" s="178"/>
      <c r="F68" s="621"/>
      <c r="G68" s="640" t="s">
        <v>193</v>
      </c>
      <c r="H68" s="192"/>
      <c r="I68" s="554"/>
      <c r="J68" s="614">
        <v>1545</v>
      </c>
      <c r="K68" s="614">
        <f t="shared" si="16"/>
        <v>0</v>
      </c>
      <c r="L68" s="491"/>
      <c r="M68" s="192"/>
      <c r="N68" s="618"/>
    </row>
    <row r="69" spans="1:14" s="28" customFormat="1" ht="15" customHeight="1">
      <c r="A69" s="178"/>
      <c r="B69" s="178"/>
      <c r="C69" s="178"/>
      <c r="D69" s="178"/>
      <c r="E69" s="178"/>
      <c r="F69" s="621"/>
      <c r="G69" s="640" t="s">
        <v>199</v>
      </c>
      <c r="H69" s="192"/>
      <c r="I69" s="554"/>
      <c r="J69" s="614">
        <v>674</v>
      </c>
      <c r="K69" s="614">
        <f t="shared" si="16"/>
        <v>0</v>
      </c>
      <c r="L69" s="491"/>
      <c r="M69" s="192"/>
      <c r="N69" s="618"/>
    </row>
    <row r="70" spans="1:14" s="28" customFormat="1" ht="15" customHeight="1">
      <c r="A70" s="178"/>
      <c r="B70" s="178"/>
      <c r="C70" s="178"/>
      <c r="D70" s="178"/>
      <c r="E70" s="178"/>
      <c r="F70" s="621"/>
      <c r="G70" s="178" t="s">
        <v>184</v>
      </c>
      <c r="H70" s="192"/>
      <c r="I70" s="554"/>
      <c r="J70" s="614">
        <v>396</v>
      </c>
      <c r="K70" s="614">
        <f t="shared" si="16"/>
        <v>0</v>
      </c>
      <c r="L70" s="192"/>
      <c r="M70" s="192"/>
      <c r="N70" s="618"/>
    </row>
    <row r="71" spans="1:14" s="28" customFormat="1" ht="15" customHeight="1">
      <c r="A71" s="178"/>
      <c r="B71" s="178"/>
      <c r="C71" s="178"/>
      <c r="D71" s="178"/>
      <c r="E71" s="178"/>
      <c r="F71" s="621"/>
      <c r="G71" s="640" t="s">
        <v>185</v>
      </c>
      <c r="H71" s="192"/>
      <c r="I71" s="554"/>
      <c r="J71" s="614">
        <v>623</v>
      </c>
      <c r="K71" s="614">
        <f t="shared" si="16"/>
        <v>0</v>
      </c>
      <c r="L71" s="192"/>
      <c r="M71" s="192"/>
      <c r="N71" s="618"/>
    </row>
    <row r="72" spans="1:14" s="28" customFormat="1" ht="15" customHeight="1">
      <c r="A72" s="178"/>
      <c r="B72" s="178"/>
      <c r="C72" s="178"/>
      <c r="D72" s="178"/>
      <c r="E72" s="180" t="s">
        <v>9</v>
      </c>
      <c r="F72" s="622">
        <f>SUM(F67:F71)</f>
        <v>0</v>
      </c>
      <c r="G72" s="180"/>
      <c r="H72" s="180"/>
      <c r="I72" s="554"/>
      <c r="J72" s="614"/>
      <c r="K72" s="152">
        <f>SUM(K67:K71)</f>
        <v>0</v>
      </c>
      <c r="L72" s="152" t="e">
        <f>K72/F72</f>
        <v>#DIV/0!</v>
      </c>
      <c r="M72" s="192"/>
      <c r="N72" s="618"/>
    </row>
    <row r="73" spans="1:14" s="28" customFormat="1" ht="15" customHeight="1">
      <c r="A73" s="178">
        <v>6050</v>
      </c>
      <c r="B73" s="178" t="s">
        <v>559</v>
      </c>
      <c r="C73" s="629" t="s">
        <v>455</v>
      </c>
      <c r="D73" s="629" t="s">
        <v>568</v>
      </c>
      <c r="E73" s="178" t="s">
        <v>257</v>
      </c>
      <c r="F73" s="638"/>
      <c r="G73" s="639" t="s">
        <v>190</v>
      </c>
      <c r="H73" s="192"/>
      <c r="I73" s="554"/>
      <c r="J73" s="614">
        <v>890</v>
      </c>
      <c r="K73" s="614">
        <f t="shared" ref="K73:K77" si="17">I73*J73</f>
        <v>0</v>
      </c>
      <c r="L73" s="192"/>
      <c r="M73" s="192"/>
      <c r="N73" s="618"/>
    </row>
    <row r="74" spans="1:14" s="28" customFormat="1" ht="15" customHeight="1">
      <c r="A74" s="178"/>
      <c r="B74" s="178"/>
      <c r="C74" s="178"/>
      <c r="D74" s="178" t="s">
        <v>230</v>
      </c>
      <c r="E74" s="178"/>
      <c r="F74" s="178"/>
      <c r="G74" s="640" t="s">
        <v>192</v>
      </c>
      <c r="H74" s="192"/>
      <c r="I74" s="554"/>
      <c r="J74" s="614">
        <v>1742</v>
      </c>
      <c r="K74" s="614">
        <f t="shared" si="17"/>
        <v>0</v>
      </c>
      <c r="L74" s="192"/>
      <c r="M74" s="192"/>
      <c r="N74" s="618"/>
    </row>
    <row r="75" spans="1:14" s="28" customFormat="1" ht="15" customHeight="1">
      <c r="A75" s="178"/>
      <c r="B75" s="178"/>
      <c r="C75" s="178"/>
      <c r="D75" s="178"/>
      <c r="E75" s="178"/>
      <c r="F75" s="621"/>
      <c r="G75" s="639" t="s">
        <v>315</v>
      </c>
      <c r="H75" s="641"/>
      <c r="I75" s="642"/>
      <c r="J75" s="643">
        <v>2151</v>
      </c>
      <c r="K75" s="614">
        <f t="shared" si="17"/>
        <v>0</v>
      </c>
      <c r="L75" s="192"/>
      <c r="M75" s="192"/>
      <c r="N75" s="618"/>
    </row>
    <row r="76" spans="1:14" s="28" customFormat="1" ht="15" customHeight="1">
      <c r="A76" s="178"/>
      <c r="B76" s="178"/>
      <c r="C76" s="178"/>
      <c r="D76" s="178"/>
      <c r="E76" s="178"/>
      <c r="F76" s="621"/>
      <c r="G76" s="178" t="s">
        <v>184</v>
      </c>
      <c r="H76" s="192"/>
      <c r="I76" s="554"/>
      <c r="J76" s="614">
        <v>396</v>
      </c>
      <c r="K76" s="614">
        <f t="shared" si="17"/>
        <v>0</v>
      </c>
      <c r="L76" s="192"/>
      <c r="M76" s="192"/>
      <c r="N76" s="618"/>
    </row>
    <row r="77" spans="1:14" s="28" customFormat="1" ht="15" customHeight="1">
      <c r="A77" s="178"/>
      <c r="B77" s="178"/>
      <c r="C77" s="178"/>
      <c r="D77" s="178"/>
      <c r="E77" s="178"/>
      <c r="F77" s="621"/>
      <c r="G77" s="640" t="s">
        <v>185</v>
      </c>
      <c r="H77" s="192"/>
      <c r="I77" s="554"/>
      <c r="J77" s="614">
        <v>623</v>
      </c>
      <c r="K77" s="614">
        <f t="shared" si="17"/>
        <v>0</v>
      </c>
      <c r="L77" s="192"/>
      <c r="M77" s="192"/>
      <c r="N77" s="618"/>
    </row>
    <row r="78" spans="1:14" s="28" customFormat="1" ht="15" customHeight="1">
      <c r="A78" s="178"/>
      <c r="B78" s="178"/>
      <c r="C78" s="178"/>
      <c r="D78" s="178"/>
      <c r="E78" s="180" t="s">
        <v>9</v>
      </c>
      <c r="F78" s="622">
        <f>SUM(F73:F77)</f>
        <v>0</v>
      </c>
      <c r="G78" s="180"/>
      <c r="H78" s="180"/>
      <c r="I78" s="554"/>
      <c r="J78" s="614"/>
      <c r="K78" s="152">
        <f>SUM(K73:K77)</f>
        <v>0</v>
      </c>
      <c r="L78" s="152" t="e">
        <f>K78/F78</f>
        <v>#DIV/0!</v>
      </c>
      <c r="M78" s="192"/>
      <c r="N78" s="618"/>
    </row>
    <row r="79" spans="1:14" s="28" customFormat="1" ht="15" customHeight="1">
      <c r="A79" s="178">
        <v>5722</v>
      </c>
      <c r="B79" s="178" t="s">
        <v>477</v>
      </c>
      <c r="C79" s="178" t="s">
        <v>121</v>
      </c>
      <c r="D79" s="178" t="s">
        <v>113</v>
      </c>
      <c r="E79" s="178" t="s">
        <v>132</v>
      </c>
      <c r="F79" s="638"/>
      <c r="G79" s="639" t="s">
        <v>190</v>
      </c>
      <c r="H79" s="192"/>
      <c r="I79" s="554"/>
      <c r="J79" s="614">
        <v>890</v>
      </c>
      <c r="K79" s="614">
        <f t="shared" ref="K79:K84" si="18">I79*J79</f>
        <v>0</v>
      </c>
      <c r="L79" s="192"/>
      <c r="M79" s="192"/>
      <c r="N79" s="618"/>
    </row>
    <row r="80" spans="1:14" s="28" customFormat="1" ht="15" customHeight="1">
      <c r="A80" s="178"/>
      <c r="B80" s="178"/>
      <c r="C80" s="178"/>
      <c r="D80" s="178"/>
      <c r="E80" s="178"/>
      <c r="F80" s="621"/>
      <c r="G80" s="640" t="s">
        <v>192</v>
      </c>
      <c r="H80" s="192"/>
      <c r="I80" s="554"/>
      <c r="J80" s="614">
        <v>1742</v>
      </c>
      <c r="K80" s="614">
        <f t="shared" si="18"/>
        <v>0</v>
      </c>
      <c r="L80" s="491"/>
      <c r="M80" s="192"/>
      <c r="N80" s="618"/>
    </row>
    <row r="81" spans="1:14" s="28" customFormat="1" ht="15" customHeight="1">
      <c r="A81" s="178"/>
      <c r="B81" s="178"/>
      <c r="C81" s="178"/>
      <c r="D81" s="178"/>
      <c r="E81" s="178"/>
      <c r="F81" s="621"/>
      <c r="G81" s="640" t="s">
        <v>199</v>
      </c>
      <c r="H81" s="192"/>
      <c r="I81" s="554"/>
      <c r="J81" s="614">
        <v>674</v>
      </c>
      <c r="K81" s="614">
        <f t="shared" si="18"/>
        <v>0</v>
      </c>
      <c r="L81" s="491"/>
      <c r="M81" s="192"/>
      <c r="N81" s="618"/>
    </row>
    <row r="82" spans="1:14" s="28" customFormat="1" ht="15" customHeight="1">
      <c r="A82" s="178"/>
      <c r="B82" s="178"/>
      <c r="C82" s="178"/>
      <c r="D82" s="178"/>
      <c r="E82" s="178"/>
      <c r="F82" s="621"/>
      <c r="G82" s="640" t="s">
        <v>279</v>
      </c>
      <c r="H82" s="192"/>
      <c r="I82" s="554"/>
      <c r="J82" s="614">
        <v>876</v>
      </c>
      <c r="K82" s="614">
        <f t="shared" si="18"/>
        <v>0</v>
      </c>
      <c r="L82" s="192"/>
      <c r="M82" s="192"/>
      <c r="N82" s="618"/>
    </row>
    <row r="83" spans="1:14" s="28" customFormat="1" ht="15" customHeight="1">
      <c r="A83" s="178"/>
      <c r="B83" s="178"/>
      <c r="C83" s="178"/>
      <c r="D83" s="178"/>
      <c r="E83" s="178"/>
      <c r="F83" s="621"/>
      <c r="G83" s="178" t="s">
        <v>184</v>
      </c>
      <c r="H83" s="192"/>
      <c r="I83" s="554"/>
      <c r="J83" s="614">
        <v>396</v>
      </c>
      <c r="K83" s="614">
        <f t="shared" si="18"/>
        <v>0</v>
      </c>
      <c r="L83" s="192"/>
      <c r="M83" s="192"/>
      <c r="N83" s="618"/>
    </row>
    <row r="84" spans="1:14" s="28" customFormat="1" ht="15" customHeight="1">
      <c r="A84" s="178"/>
      <c r="B84" s="178"/>
      <c r="C84" s="178"/>
      <c r="D84" s="178"/>
      <c r="E84" s="178"/>
      <c r="F84" s="621"/>
      <c r="G84" s="640" t="s">
        <v>185</v>
      </c>
      <c r="H84" s="192"/>
      <c r="I84" s="554"/>
      <c r="J84" s="614">
        <v>623</v>
      </c>
      <c r="K84" s="614">
        <f t="shared" si="18"/>
        <v>0</v>
      </c>
      <c r="L84" s="192"/>
      <c r="M84" s="192"/>
      <c r="N84" s="618"/>
    </row>
    <row r="85" spans="1:14" s="28" customFormat="1" ht="15" customHeight="1">
      <c r="A85" s="178"/>
      <c r="B85" s="178"/>
      <c r="C85" s="178"/>
      <c r="D85" s="178"/>
      <c r="E85" s="180" t="s">
        <v>9</v>
      </c>
      <c r="F85" s="622">
        <f>SUM(F79:F84)</f>
        <v>0</v>
      </c>
      <c r="G85" s="180"/>
      <c r="H85" s="180"/>
      <c r="I85" s="554"/>
      <c r="J85" s="614"/>
      <c r="K85" s="152">
        <f>SUM(K79:K84)</f>
        <v>0</v>
      </c>
      <c r="L85" s="152" t="e">
        <f>K85/F85</f>
        <v>#DIV/0!</v>
      </c>
      <c r="M85" s="192"/>
      <c r="N85" s="618"/>
    </row>
    <row r="86" spans="1:14" s="28" customFormat="1" ht="15" customHeight="1">
      <c r="A86" s="178">
        <v>5867</v>
      </c>
      <c r="B86" s="178" t="s">
        <v>573</v>
      </c>
      <c r="C86" s="178" t="s">
        <v>574</v>
      </c>
      <c r="D86" s="178" t="s">
        <v>575</v>
      </c>
      <c r="E86" s="178" t="s">
        <v>284</v>
      </c>
      <c r="F86" s="619"/>
      <c r="G86" s="640" t="s">
        <v>182</v>
      </c>
      <c r="H86" s="192"/>
      <c r="I86" s="554"/>
      <c r="J86" s="644">
        <v>3427</v>
      </c>
      <c r="K86" s="614">
        <f t="shared" ref="K86" si="19">I86*J86</f>
        <v>0</v>
      </c>
      <c r="L86" s="491"/>
      <c r="M86" s="192"/>
      <c r="N86" s="618"/>
    </row>
    <row r="87" spans="1:14" s="28" customFormat="1" ht="15" customHeight="1">
      <c r="A87" s="178"/>
      <c r="B87" s="178"/>
      <c r="C87" s="178"/>
      <c r="D87" s="178"/>
      <c r="E87" s="178"/>
      <c r="F87" s="621"/>
      <c r="G87" s="179" t="s">
        <v>183</v>
      </c>
      <c r="H87" s="192"/>
      <c r="I87" s="554"/>
      <c r="J87" s="614">
        <v>1950</v>
      </c>
      <c r="K87" s="614">
        <f t="shared" ref="K87:K90" si="20">I87*J87</f>
        <v>0</v>
      </c>
      <c r="L87" s="192"/>
      <c r="M87" s="192"/>
      <c r="N87" s="618"/>
    </row>
    <row r="88" spans="1:14" s="28" customFormat="1" ht="15" customHeight="1">
      <c r="A88" s="178"/>
      <c r="B88" s="178"/>
      <c r="C88" s="178"/>
      <c r="D88" s="178"/>
      <c r="E88" s="178"/>
      <c r="F88" s="621"/>
      <c r="G88" s="179" t="s">
        <v>198</v>
      </c>
      <c r="H88" s="178"/>
      <c r="I88" s="632"/>
      <c r="J88" s="614">
        <v>2852</v>
      </c>
      <c r="K88" s="633">
        <f t="shared" si="20"/>
        <v>0</v>
      </c>
      <c r="L88" s="192"/>
      <c r="M88" s="192"/>
      <c r="N88" s="618"/>
    </row>
    <row r="89" spans="1:14" s="28" customFormat="1" ht="15" customHeight="1">
      <c r="A89" s="178"/>
      <c r="B89" s="178"/>
      <c r="C89" s="178"/>
      <c r="D89" s="178"/>
      <c r="E89" s="178"/>
      <c r="F89" s="621"/>
      <c r="G89" s="178" t="s">
        <v>184</v>
      </c>
      <c r="H89" s="192"/>
      <c r="I89" s="554"/>
      <c r="J89" s="614">
        <v>396</v>
      </c>
      <c r="K89" s="614">
        <f t="shared" si="20"/>
        <v>0</v>
      </c>
      <c r="L89" s="192"/>
      <c r="M89" s="192"/>
      <c r="N89" s="618"/>
    </row>
    <row r="90" spans="1:14" s="28" customFormat="1" ht="15" customHeight="1">
      <c r="A90" s="178"/>
      <c r="B90" s="178"/>
      <c r="C90" s="178"/>
      <c r="D90" s="178"/>
      <c r="E90" s="178"/>
      <c r="F90" s="621"/>
      <c r="G90" s="640" t="s">
        <v>185</v>
      </c>
      <c r="H90" s="192"/>
      <c r="I90" s="554"/>
      <c r="J90" s="614">
        <v>623</v>
      </c>
      <c r="K90" s="614">
        <f t="shared" si="20"/>
        <v>0</v>
      </c>
      <c r="L90" s="192"/>
      <c r="M90" s="192"/>
      <c r="N90" s="618"/>
    </row>
    <row r="91" spans="1:14" s="28" customFormat="1" ht="15" customHeight="1">
      <c r="A91" s="178"/>
      <c r="B91" s="178"/>
      <c r="C91" s="178"/>
      <c r="D91" s="178"/>
      <c r="E91" s="180" t="s">
        <v>9</v>
      </c>
      <c r="F91" s="622">
        <f>SUM(F86:F90)</f>
        <v>0</v>
      </c>
      <c r="G91" s="180"/>
      <c r="H91" s="180"/>
      <c r="I91" s="554"/>
      <c r="J91" s="614"/>
      <c r="K91" s="152">
        <f>SUM(K86:K90)</f>
        <v>0</v>
      </c>
      <c r="L91" s="152" t="e">
        <f>K91/F91</f>
        <v>#DIV/0!</v>
      </c>
      <c r="M91" s="192"/>
      <c r="N91" s="618"/>
    </row>
    <row r="92" spans="1:14" s="28" customFormat="1" ht="15" customHeight="1">
      <c r="A92" s="178">
        <v>5864</v>
      </c>
      <c r="B92" s="178" t="s">
        <v>358</v>
      </c>
      <c r="C92" s="178" t="s">
        <v>121</v>
      </c>
      <c r="D92" s="178" t="s">
        <v>334</v>
      </c>
      <c r="E92" s="178" t="s">
        <v>404</v>
      </c>
      <c r="F92" s="621"/>
      <c r="G92" s="640" t="s">
        <v>182</v>
      </c>
      <c r="H92" s="192"/>
      <c r="I92" s="554"/>
      <c r="J92" s="644">
        <v>3427</v>
      </c>
      <c r="K92" s="614">
        <f t="shared" ref="K92:K96" si="21">I92*J92</f>
        <v>0</v>
      </c>
      <c r="L92" s="104"/>
      <c r="M92" s="192"/>
      <c r="N92" s="618"/>
    </row>
    <row r="93" spans="1:14" s="28" customFormat="1" ht="15" customHeight="1">
      <c r="A93" s="178"/>
      <c r="B93" s="178"/>
      <c r="C93" s="178"/>
      <c r="D93" s="178"/>
      <c r="E93" s="178" t="s">
        <v>496</v>
      </c>
      <c r="F93" s="645"/>
      <c r="G93" s="179" t="s">
        <v>183</v>
      </c>
      <c r="H93" s="192"/>
      <c r="I93" s="554"/>
      <c r="J93" s="614">
        <v>1950</v>
      </c>
      <c r="K93" s="614">
        <f t="shared" si="21"/>
        <v>0</v>
      </c>
      <c r="L93" s="104"/>
      <c r="M93" s="192"/>
      <c r="N93" s="618"/>
    </row>
    <row r="94" spans="1:14" s="28" customFormat="1" ht="15" customHeight="1">
      <c r="A94" s="178"/>
      <c r="B94" s="178"/>
      <c r="C94" s="178"/>
      <c r="D94" s="178"/>
      <c r="E94" s="178"/>
      <c r="F94" s="645"/>
      <c r="G94" s="179" t="s">
        <v>186</v>
      </c>
      <c r="H94" s="192"/>
      <c r="I94" s="554"/>
      <c r="J94" s="614">
        <v>2382</v>
      </c>
      <c r="K94" s="614">
        <f t="shared" si="21"/>
        <v>0</v>
      </c>
      <c r="L94" s="104"/>
      <c r="M94" s="192"/>
      <c r="N94" s="618"/>
    </row>
    <row r="95" spans="1:14" s="28" customFormat="1" ht="15" customHeight="1">
      <c r="A95" s="178"/>
      <c r="B95" s="178"/>
      <c r="C95" s="178"/>
      <c r="D95" s="178"/>
      <c r="E95" s="178"/>
      <c r="F95" s="645"/>
      <c r="G95" s="178" t="s">
        <v>184</v>
      </c>
      <c r="H95" s="192"/>
      <c r="I95" s="554"/>
      <c r="J95" s="614">
        <v>396</v>
      </c>
      <c r="K95" s="614">
        <f t="shared" si="21"/>
        <v>0</v>
      </c>
      <c r="L95" s="104"/>
      <c r="M95" s="192"/>
      <c r="N95" s="618"/>
    </row>
    <row r="96" spans="1:14" s="28" customFormat="1" ht="15" customHeight="1">
      <c r="A96" s="178"/>
      <c r="B96" s="178"/>
      <c r="C96" s="178"/>
      <c r="D96" s="178"/>
      <c r="E96" s="178"/>
      <c r="F96" s="645"/>
      <c r="G96" s="640" t="s">
        <v>185</v>
      </c>
      <c r="H96" s="192"/>
      <c r="I96" s="632"/>
      <c r="J96" s="614">
        <v>623</v>
      </c>
      <c r="K96" s="614">
        <f t="shared" si="21"/>
        <v>0</v>
      </c>
      <c r="L96" s="104"/>
      <c r="M96" s="192"/>
      <c r="N96" s="618"/>
    </row>
    <row r="97" spans="1:14" s="28" customFormat="1" ht="15" customHeight="1">
      <c r="A97" s="178"/>
      <c r="B97" s="178"/>
      <c r="C97" s="178"/>
      <c r="D97" s="178"/>
      <c r="E97" s="180" t="s">
        <v>9</v>
      </c>
      <c r="F97" s="622">
        <f>SUM(F92:F96)</f>
        <v>0</v>
      </c>
      <c r="G97" s="180"/>
      <c r="H97" s="180"/>
      <c r="I97" s="554"/>
      <c r="J97" s="614"/>
      <c r="K97" s="152">
        <f>SUM(K92:K96)</f>
        <v>0</v>
      </c>
      <c r="L97" s="152" t="e">
        <f>K97/F97</f>
        <v>#DIV/0!</v>
      </c>
      <c r="M97" s="192"/>
      <c r="N97" s="618"/>
    </row>
    <row r="98" spans="1:14" s="28" customFormat="1" ht="15" customHeight="1">
      <c r="A98" s="178">
        <v>5677</v>
      </c>
      <c r="B98" s="178" t="s">
        <v>451</v>
      </c>
      <c r="C98" s="178" t="s">
        <v>121</v>
      </c>
      <c r="D98" s="178" t="s">
        <v>290</v>
      </c>
      <c r="E98" s="178" t="s">
        <v>261</v>
      </c>
      <c r="F98" s="638"/>
      <c r="G98" s="640" t="s">
        <v>285</v>
      </c>
      <c r="H98" s="192"/>
      <c r="I98" s="554"/>
      <c r="J98" s="646">
        <v>2060</v>
      </c>
      <c r="K98" s="614">
        <f t="shared" ref="K98:K102" si="22">I98*J98</f>
        <v>0</v>
      </c>
      <c r="L98" s="647"/>
      <c r="M98" s="192"/>
      <c r="N98" s="618"/>
    </row>
    <row r="99" spans="1:14" s="28" customFormat="1" ht="15" customHeight="1">
      <c r="A99" s="178"/>
      <c r="B99" s="153"/>
      <c r="C99" s="153"/>
      <c r="D99" s="153"/>
      <c r="E99" s="647"/>
      <c r="F99" s="647"/>
      <c r="G99" s="179" t="s">
        <v>183</v>
      </c>
      <c r="H99" s="192"/>
      <c r="I99" s="554"/>
      <c r="J99" s="614">
        <v>1950</v>
      </c>
      <c r="K99" s="614">
        <f t="shared" si="22"/>
        <v>0</v>
      </c>
      <c r="L99" s="647"/>
      <c r="M99" s="192"/>
      <c r="N99" s="618"/>
    </row>
    <row r="100" spans="1:14" s="28" customFormat="1" ht="15" customHeight="1">
      <c r="A100" s="178"/>
      <c r="B100" s="153"/>
      <c r="C100" s="153"/>
      <c r="D100" s="153"/>
      <c r="E100" s="647"/>
      <c r="F100" s="647"/>
      <c r="G100" s="179" t="s">
        <v>198</v>
      </c>
      <c r="H100" s="178"/>
      <c r="I100" s="632"/>
      <c r="J100" s="614">
        <v>2852</v>
      </c>
      <c r="K100" s="633">
        <f t="shared" si="22"/>
        <v>0</v>
      </c>
      <c r="L100" s="491"/>
      <c r="M100" s="192"/>
      <c r="N100" s="618"/>
    </row>
    <row r="101" spans="1:14" s="28" customFormat="1" ht="15" customHeight="1">
      <c r="A101" s="178"/>
      <c r="B101" s="153"/>
      <c r="C101" s="153"/>
      <c r="D101" s="153"/>
      <c r="E101" s="647"/>
      <c r="F101" s="647"/>
      <c r="G101" s="178" t="s">
        <v>184</v>
      </c>
      <c r="H101" s="192"/>
      <c r="I101" s="554"/>
      <c r="J101" s="614">
        <v>396</v>
      </c>
      <c r="K101" s="614">
        <f t="shared" si="22"/>
        <v>0</v>
      </c>
      <c r="L101" s="647"/>
      <c r="M101" s="192"/>
      <c r="N101" s="618"/>
    </row>
    <row r="102" spans="1:14" s="28" customFormat="1" ht="15" customHeight="1">
      <c r="A102" s="178"/>
      <c r="B102" s="153"/>
      <c r="C102" s="153"/>
      <c r="D102" s="153"/>
      <c r="E102" s="647"/>
      <c r="F102" s="647"/>
      <c r="G102" s="640" t="s">
        <v>185</v>
      </c>
      <c r="H102" s="192"/>
      <c r="I102" s="554"/>
      <c r="J102" s="614">
        <v>623</v>
      </c>
      <c r="K102" s="614">
        <f t="shared" si="22"/>
        <v>0</v>
      </c>
      <c r="L102" s="647"/>
      <c r="M102" s="192"/>
      <c r="N102" s="618"/>
    </row>
    <row r="103" spans="1:14" s="28" customFormat="1" ht="15" customHeight="1">
      <c r="A103" s="178"/>
      <c r="B103" s="153"/>
      <c r="C103" s="153"/>
      <c r="D103" s="153"/>
      <c r="E103" s="180" t="s">
        <v>9</v>
      </c>
      <c r="F103" s="622">
        <f>SUM(F98:F102)</f>
        <v>0</v>
      </c>
      <c r="G103" s="180"/>
      <c r="H103" s="180"/>
      <c r="I103" s="554"/>
      <c r="J103" s="614"/>
      <c r="K103" s="152">
        <f>SUM(K98:K102)</f>
        <v>0</v>
      </c>
      <c r="L103" s="152" t="e">
        <f>K103/F103</f>
        <v>#DIV/0!</v>
      </c>
      <c r="M103" s="192"/>
      <c r="N103" s="618"/>
    </row>
    <row r="104" spans="1:14" s="28" customFormat="1" ht="15" customHeight="1">
      <c r="A104" s="178">
        <v>5860</v>
      </c>
      <c r="B104" s="178" t="s">
        <v>474</v>
      </c>
      <c r="C104" s="178" t="s">
        <v>564</v>
      </c>
      <c r="D104" s="178" t="s">
        <v>255</v>
      </c>
      <c r="E104" s="178" t="s">
        <v>576</v>
      </c>
      <c r="F104" s="638"/>
      <c r="G104" s="639" t="s">
        <v>190</v>
      </c>
      <c r="H104" s="192"/>
      <c r="I104" s="554"/>
      <c r="J104" s="614">
        <v>890</v>
      </c>
      <c r="K104" s="614">
        <f t="shared" ref="K104:K109" si="23">I104*J104</f>
        <v>0</v>
      </c>
      <c r="L104" s="192"/>
      <c r="M104" s="192"/>
      <c r="N104" s="618"/>
    </row>
    <row r="105" spans="1:14" s="28" customFormat="1" ht="15" customHeight="1">
      <c r="A105" s="178"/>
      <c r="B105" s="178"/>
      <c r="C105" s="178"/>
      <c r="D105" s="178"/>
      <c r="E105" s="178"/>
      <c r="F105" s="638"/>
      <c r="G105" s="640" t="s">
        <v>281</v>
      </c>
      <c r="H105" s="192"/>
      <c r="I105" s="554"/>
      <c r="J105" s="614">
        <v>1484</v>
      </c>
      <c r="K105" s="614">
        <f t="shared" si="23"/>
        <v>0</v>
      </c>
      <c r="L105" s="192"/>
      <c r="M105" s="192"/>
      <c r="N105" s="618"/>
    </row>
    <row r="106" spans="1:14" s="28" customFormat="1" ht="15" customHeight="1">
      <c r="A106" s="178"/>
      <c r="B106" s="178"/>
      <c r="C106" s="178"/>
      <c r="D106" s="178"/>
      <c r="E106" s="178"/>
      <c r="F106" s="621"/>
      <c r="G106" s="640" t="s">
        <v>193</v>
      </c>
      <c r="H106" s="192"/>
      <c r="I106" s="554"/>
      <c r="J106" s="614">
        <v>1545</v>
      </c>
      <c r="K106" s="614">
        <f t="shared" si="23"/>
        <v>0</v>
      </c>
      <c r="L106" s="491"/>
      <c r="M106" s="192"/>
      <c r="N106" s="618"/>
    </row>
    <row r="107" spans="1:14" s="28" customFormat="1" ht="15" customHeight="1">
      <c r="A107" s="178"/>
      <c r="B107" s="178"/>
      <c r="C107" s="178"/>
      <c r="D107" s="178"/>
      <c r="E107" s="178"/>
      <c r="F107" s="621"/>
      <c r="G107" s="179" t="s">
        <v>198</v>
      </c>
      <c r="H107" s="178"/>
      <c r="I107" s="632"/>
      <c r="J107" s="614">
        <v>2852</v>
      </c>
      <c r="K107" s="633">
        <f t="shared" si="23"/>
        <v>0</v>
      </c>
      <c r="L107" s="491"/>
      <c r="M107" s="192"/>
      <c r="N107" s="618"/>
    </row>
    <row r="108" spans="1:14" s="28" customFormat="1" ht="15" customHeight="1">
      <c r="A108" s="178"/>
      <c r="B108" s="178"/>
      <c r="C108" s="178"/>
      <c r="D108" s="178"/>
      <c r="E108" s="178"/>
      <c r="F108" s="621"/>
      <c r="G108" s="178" t="s">
        <v>184</v>
      </c>
      <c r="H108" s="192"/>
      <c r="I108" s="554"/>
      <c r="J108" s="614">
        <v>396</v>
      </c>
      <c r="K108" s="614">
        <f t="shared" si="23"/>
        <v>0</v>
      </c>
      <c r="L108" s="192"/>
      <c r="M108" s="192"/>
      <c r="N108" s="618"/>
    </row>
    <row r="109" spans="1:14" s="28" customFormat="1" ht="15" customHeight="1">
      <c r="A109" s="178"/>
      <c r="B109" s="178"/>
      <c r="C109" s="178"/>
      <c r="D109" s="178"/>
      <c r="E109" s="178"/>
      <c r="F109" s="621"/>
      <c r="G109" s="640" t="s">
        <v>185</v>
      </c>
      <c r="H109" s="192"/>
      <c r="I109" s="554"/>
      <c r="J109" s="614">
        <v>623</v>
      </c>
      <c r="K109" s="614">
        <f t="shared" si="23"/>
        <v>0</v>
      </c>
      <c r="L109" s="192"/>
      <c r="M109" s="192"/>
      <c r="N109" s="618"/>
    </row>
    <row r="110" spans="1:14" s="28" customFormat="1" ht="15" customHeight="1">
      <c r="A110" s="178"/>
      <c r="B110" s="178"/>
      <c r="C110" s="178"/>
      <c r="D110" s="178"/>
      <c r="E110" s="180" t="s">
        <v>9</v>
      </c>
      <c r="F110" s="622">
        <f>SUM(F104:F109)</f>
        <v>0</v>
      </c>
      <c r="G110" s="180"/>
      <c r="H110" s="180"/>
      <c r="I110" s="554"/>
      <c r="J110" s="614"/>
      <c r="K110" s="152">
        <f>SUM(K104:K109)</f>
        <v>0</v>
      </c>
      <c r="L110" s="152" t="e">
        <f>K110/F110</f>
        <v>#DIV/0!</v>
      </c>
      <c r="M110" s="192"/>
      <c r="N110" s="618"/>
    </row>
    <row r="111" spans="1:14" s="28" customFormat="1" ht="15" customHeight="1">
      <c r="A111" s="178">
        <v>5868</v>
      </c>
      <c r="B111" s="178" t="s">
        <v>577</v>
      </c>
      <c r="C111" s="178" t="s">
        <v>494</v>
      </c>
      <c r="D111" s="178" t="s">
        <v>578</v>
      </c>
      <c r="E111" s="178" t="s">
        <v>579</v>
      </c>
      <c r="F111" s="638"/>
      <c r="G111" s="639" t="s">
        <v>190</v>
      </c>
      <c r="H111" s="192"/>
      <c r="I111" s="554"/>
      <c r="J111" s="614">
        <v>890</v>
      </c>
      <c r="K111" s="614">
        <f t="shared" ref="K111" si="24">I111*J111</f>
        <v>0</v>
      </c>
      <c r="L111" s="192"/>
      <c r="M111" s="192"/>
      <c r="N111" s="618"/>
    </row>
    <row r="112" spans="1:14" s="28" customFormat="1" ht="15" customHeight="1">
      <c r="A112" s="178"/>
      <c r="B112" s="178"/>
      <c r="C112" s="178"/>
      <c r="D112" s="178"/>
      <c r="E112" s="178"/>
      <c r="F112" s="621"/>
      <c r="G112" s="640" t="s">
        <v>192</v>
      </c>
      <c r="H112" s="192"/>
      <c r="I112" s="554"/>
      <c r="J112" s="614">
        <v>1742</v>
      </c>
      <c r="K112" s="614">
        <f t="shared" ref="K112:K115" si="25">I112*J112</f>
        <v>0</v>
      </c>
      <c r="L112" s="192"/>
      <c r="M112" s="192"/>
      <c r="N112" s="618"/>
    </row>
    <row r="113" spans="1:14" s="28" customFormat="1" ht="15" customHeight="1">
      <c r="A113" s="178"/>
      <c r="B113" s="178"/>
      <c r="C113" s="178"/>
      <c r="D113" s="178"/>
      <c r="E113" s="178"/>
      <c r="F113" s="621"/>
      <c r="G113" s="179" t="s">
        <v>198</v>
      </c>
      <c r="H113" s="178"/>
      <c r="I113" s="632"/>
      <c r="J113" s="614">
        <v>2852</v>
      </c>
      <c r="K113" s="633">
        <f t="shared" si="25"/>
        <v>0</v>
      </c>
      <c r="L113" s="192"/>
      <c r="M113" s="192"/>
      <c r="N113" s="618"/>
    </row>
    <row r="114" spans="1:14" s="28" customFormat="1" ht="15" customHeight="1">
      <c r="A114" s="178"/>
      <c r="B114" s="178"/>
      <c r="C114" s="178"/>
      <c r="D114" s="178"/>
      <c r="E114" s="178"/>
      <c r="F114" s="621"/>
      <c r="G114" s="178" t="s">
        <v>184</v>
      </c>
      <c r="H114" s="192"/>
      <c r="I114" s="554"/>
      <c r="J114" s="614">
        <v>396</v>
      </c>
      <c r="K114" s="614">
        <f t="shared" si="25"/>
        <v>0</v>
      </c>
      <c r="L114" s="192"/>
      <c r="M114" s="192"/>
      <c r="N114" s="618"/>
    </row>
    <row r="115" spans="1:14" s="28" customFormat="1" ht="15" customHeight="1">
      <c r="A115" s="178"/>
      <c r="B115" s="178"/>
      <c r="C115" s="178"/>
      <c r="D115" s="178"/>
      <c r="E115" s="178"/>
      <c r="F115" s="621"/>
      <c r="G115" s="640" t="s">
        <v>185</v>
      </c>
      <c r="H115" s="192"/>
      <c r="I115" s="554"/>
      <c r="J115" s="614">
        <v>623</v>
      </c>
      <c r="K115" s="614">
        <f t="shared" si="25"/>
        <v>0</v>
      </c>
      <c r="L115" s="192"/>
      <c r="M115" s="192"/>
      <c r="N115" s="618"/>
    </row>
    <row r="116" spans="1:14" s="28" customFormat="1" ht="15" customHeight="1">
      <c r="A116" s="178"/>
      <c r="B116" s="178"/>
      <c r="C116" s="178"/>
      <c r="D116" s="178"/>
      <c r="E116" s="180" t="s">
        <v>9</v>
      </c>
      <c r="F116" s="622">
        <f>SUM(F111:F115)</f>
        <v>0</v>
      </c>
      <c r="G116" s="180"/>
      <c r="H116" s="180"/>
      <c r="I116" s="554"/>
      <c r="J116" s="614"/>
      <c r="K116" s="152">
        <f>SUM(K111:K115)</f>
        <v>0</v>
      </c>
      <c r="L116" s="152" t="e">
        <f>K116/F116</f>
        <v>#DIV/0!</v>
      </c>
      <c r="M116" s="192"/>
      <c r="N116" s="618"/>
    </row>
    <row r="117" spans="1:14" s="28" customFormat="1" ht="15" customHeight="1">
      <c r="A117" s="634"/>
      <c r="B117" s="634"/>
      <c r="C117" s="634"/>
      <c r="D117" s="624" t="s">
        <v>30</v>
      </c>
      <c r="E117" s="624"/>
      <c r="F117" s="625">
        <f>F72+F78+F85+F91+F97+F103+F110+F116</f>
        <v>0</v>
      </c>
      <c r="G117" s="626"/>
      <c r="H117" s="626"/>
      <c r="I117" s="626"/>
      <c r="J117" s="626"/>
      <c r="K117" s="625">
        <f>K72+K78+K85+K91+K97+K103+K110+K116</f>
        <v>0</v>
      </c>
      <c r="L117" s="627" t="e">
        <f>K117/F117</f>
        <v>#DIV/0!</v>
      </c>
      <c r="M117" s="630"/>
      <c r="N117" s="618"/>
    </row>
    <row r="118" spans="1:14" ht="15" customHeight="1">
      <c r="A118" s="628" t="s">
        <v>40</v>
      </c>
      <c r="B118" s="628"/>
      <c r="C118" s="628"/>
      <c r="D118" s="628"/>
      <c r="E118" s="628"/>
      <c r="F118" s="623"/>
      <c r="G118" s="623"/>
      <c r="H118" s="623"/>
      <c r="I118" s="635"/>
      <c r="J118" s="623"/>
      <c r="K118" s="849" t="s">
        <v>1200</v>
      </c>
      <c r="L118" s="849"/>
      <c r="M118" s="849"/>
      <c r="N118" s="618"/>
    </row>
    <row r="119" spans="1:14" ht="15" customHeight="1">
      <c r="A119" s="180" t="s">
        <v>0</v>
      </c>
      <c r="B119" s="180" t="s">
        <v>7</v>
      </c>
      <c r="C119" s="180" t="s">
        <v>13</v>
      </c>
      <c r="D119" s="180" t="s">
        <v>14</v>
      </c>
      <c r="E119" s="180" t="s">
        <v>8</v>
      </c>
      <c r="F119" s="180" t="s">
        <v>1</v>
      </c>
      <c r="G119" s="180" t="s">
        <v>2</v>
      </c>
      <c r="H119" s="180" t="s">
        <v>15</v>
      </c>
      <c r="I119" s="636" t="s">
        <v>3</v>
      </c>
      <c r="J119" s="180" t="s">
        <v>4</v>
      </c>
      <c r="K119" s="180" t="s">
        <v>5</v>
      </c>
      <c r="L119" s="180" t="s">
        <v>12</v>
      </c>
      <c r="M119" s="180" t="s">
        <v>6</v>
      </c>
      <c r="N119" s="637"/>
    </row>
    <row r="120" spans="1:14" ht="15" customHeight="1">
      <c r="A120" s="178">
        <v>5498</v>
      </c>
      <c r="B120" s="178" t="s">
        <v>517</v>
      </c>
      <c r="C120" s="178" t="s">
        <v>121</v>
      </c>
      <c r="D120" s="178" t="s">
        <v>74</v>
      </c>
      <c r="E120" s="178" t="s">
        <v>378</v>
      </c>
      <c r="F120" s="638"/>
      <c r="G120" s="178" t="s">
        <v>27</v>
      </c>
      <c r="H120" s="192"/>
      <c r="I120" s="554"/>
      <c r="J120" s="614">
        <v>22</v>
      </c>
      <c r="K120" s="614">
        <f t="shared" ref="K120:K122" si="26">I120*J120</f>
        <v>0</v>
      </c>
      <c r="L120" s="178"/>
      <c r="M120" s="178"/>
      <c r="N120" s="610"/>
    </row>
    <row r="121" spans="1:14" ht="15" customHeight="1">
      <c r="A121" s="178"/>
      <c r="B121" s="178"/>
      <c r="C121" s="178"/>
      <c r="D121" s="178" t="s">
        <v>230</v>
      </c>
      <c r="E121" s="178"/>
      <c r="F121" s="178"/>
      <c r="G121" s="179" t="s">
        <v>49</v>
      </c>
      <c r="H121" s="192"/>
      <c r="I121" s="554"/>
      <c r="J121" s="614">
        <v>34</v>
      </c>
      <c r="K121" s="614">
        <f t="shared" si="26"/>
        <v>0</v>
      </c>
      <c r="L121" s="178"/>
      <c r="M121" s="178"/>
      <c r="N121" s="610"/>
    </row>
    <row r="122" spans="1:14" ht="15" customHeight="1">
      <c r="A122" s="178"/>
      <c r="B122" s="178"/>
      <c r="C122" s="178"/>
      <c r="D122" s="178"/>
      <c r="E122" s="178"/>
      <c r="F122" s="178"/>
      <c r="G122" s="178" t="s">
        <v>19</v>
      </c>
      <c r="H122" s="192"/>
      <c r="I122" s="554"/>
      <c r="J122" s="614">
        <v>74</v>
      </c>
      <c r="K122" s="614">
        <f t="shared" si="26"/>
        <v>0</v>
      </c>
      <c r="L122" s="178"/>
      <c r="M122" s="178"/>
      <c r="N122" s="610"/>
    </row>
    <row r="123" spans="1:14" ht="15" customHeight="1">
      <c r="A123" s="178"/>
      <c r="B123" s="178"/>
      <c r="C123" s="178"/>
      <c r="D123" s="178"/>
      <c r="E123" s="180" t="s">
        <v>9</v>
      </c>
      <c r="F123" s="622">
        <f>SUM(F120:F121)</f>
        <v>0</v>
      </c>
      <c r="G123" s="180"/>
      <c r="H123" s="180"/>
      <c r="I123" s="554"/>
      <c r="J123" s="614"/>
      <c r="K123" s="152">
        <f>SUM(K120:K122)</f>
        <v>0</v>
      </c>
      <c r="L123" s="152" t="e">
        <f>K123/F123</f>
        <v>#DIV/0!</v>
      </c>
      <c r="M123" s="192"/>
      <c r="N123" s="618"/>
    </row>
    <row r="124" spans="1:14" s="10" customFormat="1" ht="15" customHeight="1">
      <c r="A124" s="178">
        <v>5498</v>
      </c>
      <c r="B124" s="178" t="s">
        <v>358</v>
      </c>
      <c r="C124" s="178" t="s">
        <v>121</v>
      </c>
      <c r="D124" s="178" t="s">
        <v>334</v>
      </c>
      <c r="E124" s="178" t="s">
        <v>404</v>
      </c>
      <c r="F124" s="621"/>
      <c r="G124" s="178" t="s">
        <v>27</v>
      </c>
      <c r="H124" s="192"/>
      <c r="I124" s="554"/>
      <c r="J124" s="614">
        <v>22</v>
      </c>
      <c r="K124" s="614">
        <f t="shared" ref="K124:K126" si="27">I124*J124</f>
        <v>0</v>
      </c>
      <c r="L124" s="178"/>
      <c r="M124" s="178"/>
      <c r="N124" s="610"/>
    </row>
    <row r="125" spans="1:14" ht="15" customHeight="1">
      <c r="A125" s="178"/>
      <c r="B125" s="178"/>
      <c r="C125" s="178"/>
      <c r="D125" s="178"/>
      <c r="E125" s="178" t="s">
        <v>496</v>
      </c>
      <c r="F125" s="645"/>
      <c r="G125" s="179" t="s">
        <v>49</v>
      </c>
      <c r="H125" s="192"/>
      <c r="I125" s="554"/>
      <c r="J125" s="614">
        <v>34</v>
      </c>
      <c r="K125" s="614">
        <f t="shared" si="27"/>
        <v>0</v>
      </c>
      <c r="L125" s="178"/>
      <c r="M125" s="178"/>
      <c r="N125" s="610"/>
    </row>
    <row r="126" spans="1:14" ht="15" customHeight="1">
      <c r="A126" s="178"/>
      <c r="B126" s="178"/>
      <c r="C126" s="178"/>
      <c r="D126" s="178"/>
      <c r="E126" s="178"/>
      <c r="F126" s="178"/>
      <c r="G126" s="178" t="s">
        <v>19</v>
      </c>
      <c r="H126" s="192"/>
      <c r="I126" s="554"/>
      <c r="J126" s="614">
        <v>80</v>
      </c>
      <c r="K126" s="614">
        <f t="shared" si="27"/>
        <v>0</v>
      </c>
      <c r="L126" s="178"/>
      <c r="M126" s="178"/>
      <c r="N126" s="610"/>
    </row>
    <row r="127" spans="1:14" ht="15" customHeight="1">
      <c r="A127" s="178"/>
      <c r="B127" s="178"/>
      <c r="C127" s="178"/>
      <c r="D127" s="178"/>
      <c r="E127" s="180" t="s">
        <v>9</v>
      </c>
      <c r="F127" s="622">
        <f>SUM(F124:F126)</f>
        <v>0</v>
      </c>
      <c r="G127" s="180"/>
      <c r="H127" s="180"/>
      <c r="I127" s="554"/>
      <c r="J127" s="614"/>
      <c r="K127" s="152">
        <f>SUM(K124:K126)</f>
        <v>0</v>
      </c>
      <c r="L127" s="152" t="e">
        <f>K127/F127</f>
        <v>#DIV/0!</v>
      </c>
      <c r="M127" s="192"/>
      <c r="N127" s="618"/>
    </row>
    <row r="128" spans="1:14" ht="15" customHeight="1">
      <c r="A128" s="178">
        <v>5463</v>
      </c>
      <c r="B128" s="178" t="s">
        <v>511</v>
      </c>
      <c r="C128" s="178" t="s">
        <v>121</v>
      </c>
      <c r="D128" s="178" t="s">
        <v>369</v>
      </c>
      <c r="E128" s="178" t="s">
        <v>397</v>
      </c>
      <c r="F128" s="638"/>
      <c r="G128" s="178" t="s">
        <v>27</v>
      </c>
      <c r="H128" s="192"/>
      <c r="I128" s="554"/>
      <c r="J128" s="614">
        <v>22</v>
      </c>
      <c r="K128" s="614">
        <f t="shared" ref="K128:K130" si="28">I128*J128</f>
        <v>0</v>
      </c>
      <c r="L128" s="178"/>
      <c r="M128" s="178"/>
      <c r="N128" s="610"/>
    </row>
    <row r="129" spans="1:14" ht="15" customHeight="1">
      <c r="A129" s="178"/>
      <c r="B129" s="153"/>
      <c r="C129" s="153"/>
      <c r="D129" s="153"/>
      <c r="E129" s="178" t="s">
        <v>569</v>
      </c>
      <c r="F129" s="645"/>
      <c r="G129" s="179" t="s">
        <v>49</v>
      </c>
      <c r="H129" s="192"/>
      <c r="I129" s="554"/>
      <c r="J129" s="614">
        <v>34</v>
      </c>
      <c r="K129" s="614">
        <f t="shared" si="28"/>
        <v>0</v>
      </c>
      <c r="L129" s="178"/>
      <c r="M129" s="178"/>
      <c r="N129" s="610"/>
    </row>
    <row r="130" spans="1:14" ht="15" customHeight="1">
      <c r="A130" s="248"/>
      <c r="B130" s="248"/>
      <c r="C130" s="248"/>
      <c r="D130" s="248"/>
      <c r="E130" s="248"/>
      <c r="F130" s="248"/>
      <c r="G130" s="178" t="s">
        <v>19</v>
      </c>
      <c r="H130" s="192"/>
      <c r="I130" s="554"/>
      <c r="J130" s="614">
        <v>80</v>
      </c>
      <c r="K130" s="614">
        <f t="shared" si="28"/>
        <v>0</v>
      </c>
      <c r="L130" s="248"/>
      <c r="M130" s="248"/>
      <c r="N130" s="648"/>
    </row>
    <row r="131" spans="1:14" ht="15" customHeight="1">
      <c r="A131" s="248"/>
      <c r="B131" s="248"/>
      <c r="C131" s="248"/>
      <c r="D131" s="248"/>
      <c r="E131" s="354" t="s">
        <v>9</v>
      </c>
      <c r="F131" s="649">
        <f>SUM(F128:F130)</f>
        <v>0</v>
      </c>
      <c r="G131" s="354"/>
      <c r="H131" s="354"/>
      <c r="I131" s="642"/>
      <c r="J131" s="643"/>
      <c r="K131" s="63">
        <f>SUM(K128:K130)</f>
        <v>0</v>
      </c>
      <c r="L131" s="63" t="e">
        <f>K131/F131</f>
        <v>#DIV/0!</v>
      </c>
      <c r="M131" s="248"/>
      <c r="N131" s="648"/>
    </row>
    <row r="132" spans="1:14" ht="15" customHeight="1">
      <c r="A132" s="650"/>
      <c r="B132" s="650"/>
      <c r="C132" s="650"/>
      <c r="D132" s="651" t="s">
        <v>30</v>
      </c>
      <c r="E132" s="652"/>
      <c r="F132" s="653">
        <f>F123+F127+F131</f>
        <v>0</v>
      </c>
      <c r="G132" s="654"/>
      <c r="H132" s="654"/>
      <c r="I132" s="654"/>
      <c r="J132" s="654"/>
      <c r="K132" s="653">
        <f>K123+K127+K131</f>
        <v>0</v>
      </c>
      <c r="L132" s="655" t="e">
        <f>K132/F132</f>
        <v>#DIV/0!</v>
      </c>
      <c r="M132" s="656"/>
      <c r="N132" s="657"/>
    </row>
    <row r="133" spans="1:14" ht="15" customHeight="1">
      <c r="A133" s="616" t="s">
        <v>11</v>
      </c>
      <c r="B133" s="616"/>
      <c r="C133" s="616"/>
      <c r="D133" s="616"/>
      <c r="E133" s="616"/>
      <c r="F133" s="31"/>
      <c r="G133" s="31"/>
      <c r="H133" s="31"/>
      <c r="I133" s="31"/>
      <c r="J133" s="31"/>
      <c r="K133" s="849" t="s">
        <v>1200</v>
      </c>
      <c r="L133" s="849"/>
      <c r="M133" s="849"/>
      <c r="N133" s="657"/>
    </row>
    <row r="134" spans="1:14" ht="15" customHeight="1">
      <c r="A134" s="354" t="s">
        <v>0</v>
      </c>
      <c r="B134" s="354" t="s">
        <v>7</v>
      </c>
      <c r="C134" s="354" t="s">
        <v>13</v>
      </c>
      <c r="D134" s="354" t="s">
        <v>14</v>
      </c>
      <c r="E134" s="354" t="s">
        <v>8</v>
      </c>
      <c r="F134" s="354" t="s">
        <v>1</v>
      </c>
      <c r="G134" s="354" t="s">
        <v>2</v>
      </c>
      <c r="H134" s="354" t="s">
        <v>15</v>
      </c>
      <c r="I134" s="354" t="s">
        <v>3</v>
      </c>
      <c r="J134" s="354" t="s">
        <v>4</v>
      </c>
      <c r="K134" s="354" t="s">
        <v>5</v>
      </c>
      <c r="L134" s="354" t="s">
        <v>12</v>
      </c>
      <c r="M134" s="354" t="s">
        <v>6</v>
      </c>
      <c r="N134" s="658"/>
    </row>
    <row r="135" spans="1:14" ht="15" customHeight="1">
      <c r="A135" s="178">
        <v>5854</v>
      </c>
      <c r="B135" s="178" t="s">
        <v>572</v>
      </c>
      <c r="C135" s="178" t="s">
        <v>121</v>
      </c>
      <c r="D135" s="178" t="s">
        <v>74</v>
      </c>
      <c r="E135" s="178" t="s">
        <v>379</v>
      </c>
      <c r="F135" s="638"/>
      <c r="G135" s="179" t="s">
        <v>298</v>
      </c>
      <c r="H135" s="192"/>
      <c r="I135" s="554"/>
      <c r="J135" s="614">
        <v>435</v>
      </c>
      <c r="K135" s="633">
        <f t="shared" ref="K135:K137" si="29">I135*J135</f>
        <v>0</v>
      </c>
      <c r="L135" s="641"/>
      <c r="M135" s="641"/>
      <c r="N135" s="657"/>
    </row>
    <row r="136" spans="1:14" s="10" customFormat="1" ht="15" customHeight="1">
      <c r="A136" s="248"/>
      <c r="B136" s="248"/>
      <c r="C136" s="248"/>
      <c r="D136" s="248"/>
      <c r="E136" s="248"/>
      <c r="F136" s="659"/>
      <c r="G136" s="179" t="s">
        <v>206</v>
      </c>
      <c r="H136" s="192"/>
      <c r="I136" s="614"/>
      <c r="J136" s="614">
        <v>375</v>
      </c>
      <c r="K136" s="614">
        <f t="shared" si="29"/>
        <v>0</v>
      </c>
      <c r="L136" s="641"/>
      <c r="M136" s="641"/>
      <c r="N136" s="657"/>
    </row>
    <row r="137" spans="1:14" s="10" customFormat="1" ht="15" customHeight="1">
      <c r="A137" s="248"/>
      <c r="B137" s="248"/>
      <c r="C137" s="248"/>
      <c r="D137" s="248"/>
      <c r="E137" s="248"/>
      <c r="F137" s="659"/>
      <c r="G137" s="178" t="s">
        <v>317</v>
      </c>
      <c r="H137" s="192"/>
      <c r="I137" s="554"/>
      <c r="J137" s="614">
        <v>164</v>
      </c>
      <c r="K137" s="614">
        <f t="shared" si="29"/>
        <v>0</v>
      </c>
      <c r="L137" s="641"/>
      <c r="M137" s="641"/>
      <c r="N137" s="657"/>
    </row>
    <row r="138" spans="1:14" ht="15" customHeight="1">
      <c r="A138" s="248"/>
      <c r="B138" s="248"/>
      <c r="C138" s="248"/>
      <c r="D138" s="248"/>
      <c r="E138" s="354" t="s">
        <v>9</v>
      </c>
      <c r="F138" s="649">
        <f>SUM(F135:F135)</f>
        <v>0</v>
      </c>
      <c r="G138" s="354"/>
      <c r="H138" s="354"/>
      <c r="I138" s="643"/>
      <c r="J138" s="643"/>
      <c r="K138" s="63">
        <f>SUM(K135:K137)</f>
        <v>0</v>
      </c>
      <c r="L138" s="63" t="e">
        <f>K138/F138</f>
        <v>#DIV/0!</v>
      </c>
      <c r="M138" s="641"/>
      <c r="N138" s="657"/>
    </row>
    <row r="139" spans="1:14" ht="15" customHeight="1">
      <c r="A139" s="178">
        <v>5855</v>
      </c>
      <c r="B139" s="178" t="s">
        <v>451</v>
      </c>
      <c r="C139" s="178" t="s">
        <v>121</v>
      </c>
      <c r="D139" s="178" t="s">
        <v>290</v>
      </c>
      <c r="E139" s="178" t="s">
        <v>261</v>
      </c>
      <c r="F139" s="638"/>
      <c r="G139" s="179" t="s">
        <v>298</v>
      </c>
      <c r="H139" s="192"/>
      <c r="I139" s="554"/>
      <c r="J139" s="614">
        <v>435</v>
      </c>
      <c r="K139" s="633">
        <f t="shared" ref="K139:K141" si="30">I139*J139</f>
        <v>0</v>
      </c>
      <c r="L139" s="641"/>
      <c r="M139" s="641"/>
      <c r="N139" s="657"/>
    </row>
    <row r="140" spans="1:14" ht="15" customHeight="1">
      <c r="A140" s="248"/>
      <c r="B140" s="178"/>
      <c r="C140" s="178"/>
      <c r="D140" s="178"/>
      <c r="E140" s="178"/>
      <c r="F140" s="621"/>
      <c r="G140" s="179" t="s">
        <v>206</v>
      </c>
      <c r="H140" s="192"/>
      <c r="I140" s="614"/>
      <c r="J140" s="614">
        <v>375</v>
      </c>
      <c r="K140" s="614">
        <f t="shared" si="30"/>
        <v>0</v>
      </c>
      <c r="L140" s="641"/>
      <c r="M140" s="641"/>
      <c r="N140" s="657"/>
    </row>
    <row r="141" spans="1:14" ht="15" customHeight="1">
      <c r="A141" s="248"/>
      <c r="B141" s="178"/>
      <c r="C141" s="178"/>
      <c r="D141" s="178"/>
      <c r="E141" s="178"/>
      <c r="F141" s="621"/>
      <c r="G141" s="178" t="s">
        <v>317</v>
      </c>
      <c r="H141" s="192"/>
      <c r="I141" s="554"/>
      <c r="J141" s="614">
        <v>164</v>
      </c>
      <c r="K141" s="614">
        <f t="shared" si="30"/>
        <v>0</v>
      </c>
      <c r="L141" s="641"/>
      <c r="M141" s="641"/>
      <c r="N141" s="657"/>
    </row>
    <row r="142" spans="1:14" ht="15" customHeight="1">
      <c r="A142" s="248"/>
      <c r="B142" s="248"/>
      <c r="C142" s="248"/>
      <c r="D142" s="248"/>
      <c r="E142" s="354" t="s">
        <v>9</v>
      </c>
      <c r="F142" s="649">
        <f>SUM(F139:F139)</f>
        <v>0</v>
      </c>
      <c r="G142" s="354"/>
      <c r="H142" s="354"/>
      <c r="I142" s="643"/>
      <c r="J142" s="643"/>
      <c r="K142" s="63">
        <f>SUM(K139:K141)</f>
        <v>0</v>
      </c>
      <c r="L142" s="63" t="e">
        <f>K142/F142</f>
        <v>#DIV/0!</v>
      </c>
      <c r="M142" s="641"/>
      <c r="N142" s="657"/>
    </row>
    <row r="143" spans="1:14" ht="15" customHeight="1">
      <c r="A143" s="248">
        <v>5857</v>
      </c>
      <c r="B143" s="178" t="s">
        <v>449</v>
      </c>
      <c r="C143" s="178" t="s">
        <v>121</v>
      </c>
      <c r="D143" s="178" t="s">
        <v>334</v>
      </c>
      <c r="E143" s="178" t="s">
        <v>132</v>
      </c>
      <c r="F143" s="638"/>
      <c r="G143" s="179" t="s">
        <v>298</v>
      </c>
      <c r="H143" s="192"/>
      <c r="I143" s="554"/>
      <c r="J143" s="614">
        <v>435</v>
      </c>
      <c r="K143" s="633">
        <f t="shared" ref="K143:K146" si="31">I143*J143</f>
        <v>0</v>
      </c>
      <c r="L143" s="641"/>
      <c r="M143" s="641"/>
      <c r="N143" s="657"/>
    </row>
    <row r="144" spans="1:14" ht="15" customHeight="1">
      <c r="A144" s="248"/>
      <c r="B144" s="178"/>
      <c r="C144" s="178"/>
      <c r="D144" s="178"/>
      <c r="E144" s="178" t="s">
        <v>506</v>
      </c>
      <c r="F144" s="645"/>
      <c r="G144" s="179" t="s">
        <v>206</v>
      </c>
      <c r="H144" s="192"/>
      <c r="I144" s="614"/>
      <c r="J144" s="614">
        <v>375</v>
      </c>
      <c r="K144" s="614">
        <f t="shared" si="31"/>
        <v>0</v>
      </c>
      <c r="L144" s="641"/>
      <c r="M144" s="641"/>
      <c r="N144" s="657"/>
    </row>
    <row r="145" spans="1:14" ht="15" customHeight="1">
      <c r="A145" s="248"/>
      <c r="B145" s="178"/>
      <c r="C145" s="178"/>
      <c r="D145" s="178"/>
      <c r="E145" s="178"/>
      <c r="F145" s="621"/>
      <c r="G145" s="178" t="s">
        <v>317</v>
      </c>
      <c r="H145" s="192"/>
      <c r="I145" s="554"/>
      <c r="J145" s="614">
        <v>164</v>
      </c>
      <c r="K145" s="614">
        <f t="shared" si="31"/>
        <v>0</v>
      </c>
      <c r="L145" s="641"/>
      <c r="M145" s="641"/>
      <c r="N145" s="657"/>
    </row>
    <row r="146" spans="1:14" ht="15" customHeight="1">
      <c r="A146" s="248"/>
      <c r="B146" s="178"/>
      <c r="C146" s="178"/>
      <c r="D146" s="178"/>
      <c r="E146" s="178"/>
      <c r="F146" s="621"/>
      <c r="G146" s="640" t="s">
        <v>204</v>
      </c>
      <c r="H146" s="104"/>
      <c r="I146" s="614"/>
      <c r="J146" s="152">
        <v>375</v>
      </c>
      <c r="K146" s="660">
        <f t="shared" si="31"/>
        <v>0</v>
      </c>
      <c r="L146" s="641"/>
      <c r="M146" s="641"/>
      <c r="N146" s="657"/>
    </row>
    <row r="147" spans="1:14" s="71" customFormat="1" ht="15" customHeight="1">
      <c r="A147" s="178"/>
      <c r="B147" s="178"/>
      <c r="C147" s="178"/>
      <c r="D147" s="178"/>
      <c r="E147" s="180" t="s">
        <v>9</v>
      </c>
      <c r="F147" s="622">
        <f>SUM(F143:F146)</f>
        <v>0</v>
      </c>
      <c r="G147" s="180"/>
      <c r="H147" s="180"/>
      <c r="I147" s="614"/>
      <c r="J147" s="614"/>
      <c r="K147" s="152">
        <f>SUM(K143:K146)</f>
        <v>0</v>
      </c>
      <c r="L147" s="152" t="e">
        <f>K147/F147</f>
        <v>#DIV/0!</v>
      </c>
      <c r="M147" s="192"/>
      <c r="N147" s="618"/>
    </row>
    <row r="148" spans="1:14" s="71" customFormat="1" ht="15" customHeight="1">
      <c r="A148" s="623"/>
      <c r="B148" s="623"/>
      <c r="C148" s="623"/>
      <c r="D148" s="624" t="s">
        <v>30</v>
      </c>
      <c r="E148" s="624"/>
      <c r="F148" s="625">
        <f>F138+F142+F147</f>
        <v>0</v>
      </c>
      <c r="G148" s="626"/>
      <c r="H148" s="626"/>
      <c r="I148" s="626"/>
      <c r="J148" s="626"/>
      <c r="K148" s="625">
        <f>K138+K142+K147</f>
        <v>0</v>
      </c>
      <c r="L148" s="627" t="e">
        <f>K148/F148</f>
        <v>#DIV/0!</v>
      </c>
      <c r="M148" s="623"/>
      <c r="N148" s="618"/>
    </row>
    <row r="149" spans="1:14" ht="15" customHeight="1">
      <c r="A149" s="628" t="s">
        <v>42</v>
      </c>
      <c r="B149" s="628"/>
      <c r="C149" s="628"/>
      <c r="D149" s="628"/>
      <c r="E149" s="628"/>
      <c r="F149" s="623"/>
      <c r="G149" s="623"/>
      <c r="H149" s="623"/>
      <c r="I149" s="623"/>
      <c r="J149" s="623"/>
      <c r="K149" s="849" t="s">
        <v>1200</v>
      </c>
      <c r="L149" s="849"/>
      <c r="M149" s="849"/>
      <c r="N149" s="657"/>
    </row>
    <row r="150" spans="1:14" ht="15" customHeight="1">
      <c r="A150" s="180" t="s">
        <v>0</v>
      </c>
      <c r="B150" s="180" t="s">
        <v>7</v>
      </c>
      <c r="C150" s="180" t="s">
        <v>13</v>
      </c>
      <c r="D150" s="180" t="s">
        <v>14</v>
      </c>
      <c r="E150" s="180" t="s">
        <v>8</v>
      </c>
      <c r="F150" s="180" t="s">
        <v>1</v>
      </c>
      <c r="G150" s="180" t="s">
        <v>2</v>
      </c>
      <c r="H150" s="180" t="s">
        <v>15</v>
      </c>
      <c r="I150" s="180" t="s">
        <v>3</v>
      </c>
      <c r="J150" s="180" t="s">
        <v>4</v>
      </c>
      <c r="K150" s="180" t="s">
        <v>5</v>
      </c>
      <c r="L150" s="180" t="s">
        <v>12</v>
      </c>
      <c r="M150" s="180" t="s">
        <v>6</v>
      </c>
      <c r="N150" s="658"/>
    </row>
    <row r="151" spans="1:14" ht="15" customHeight="1">
      <c r="A151" s="178">
        <v>6401</v>
      </c>
      <c r="B151" s="178" t="s">
        <v>338</v>
      </c>
      <c r="C151" s="178" t="s">
        <v>276</v>
      </c>
      <c r="D151" s="178" t="s">
        <v>299</v>
      </c>
      <c r="E151" s="178" t="s">
        <v>310</v>
      </c>
      <c r="F151" s="621"/>
      <c r="G151" s="640" t="s">
        <v>209</v>
      </c>
      <c r="H151" s="192"/>
      <c r="I151" s="554"/>
      <c r="J151" s="614">
        <v>350</v>
      </c>
      <c r="K151" s="614">
        <f t="shared" ref="K151:K157" si="32">I151*J151</f>
        <v>0</v>
      </c>
      <c r="L151" s="192"/>
      <c r="M151" s="192"/>
      <c r="N151" s="657"/>
    </row>
    <row r="152" spans="1:14" ht="15" customHeight="1">
      <c r="A152" s="178"/>
      <c r="B152" s="178"/>
      <c r="C152" s="178"/>
      <c r="D152" s="178" t="s">
        <v>230</v>
      </c>
      <c r="E152" s="178" t="s">
        <v>93</v>
      </c>
      <c r="F152" s="621"/>
      <c r="G152" s="640" t="s">
        <v>347</v>
      </c>
      <c r="H152" s="178"/>
      <c r="I152" s="632"/>
      <c r="J152" s="614">
        <v>700</v>
      </c>
      <c r="K152" s="633">
        <f t="shared" si="32"/>
        <v>0</v>
      </c>
      <c r="L152" s="192"/>
      <c r="M152" s="192"/>
      <c r="N152" s="657"/>
    </row>
    <row r="153" spans="1:14" ht="15" customHeight="1">
      <c r="A153" s="178"/>
      <c r="B153" s="178"/>
      <c r="C153" s="178"/>
      <c r="D153" s="178"/>
      <c r="E153" s="178"/>
      <c r="F153" s="621"/>
      <c r="G153" s="640" t="s">
        <v>228</v>
      </c>
      <c r="H153" s="162"/>
      <c r="I153" s="554"/>
      <c r="J153" s="614">
        <v>549</v>
      </c>
      <c r="K153" s="614">
        <f t="shared" si="32"/>
        <v>0</v>
      </c>
      <c r="L153" s="192"/>
      <c r="M153" s="192"/>
      <c r="N153" s="657"/>
    </row>
    <row r="154" spans="1:14" ht="15" customHeight="1">
      <c r="A154" s="178"/>
      <c r="B154" s="178"/>
      <c r="C154" s="178"/>
      <c r="D154" s="178"/>
      <c r="E154" s="178"/>
      <c r="F154" s="621"/>
      <c r="G154" s="640" t="s">
        <v>311</v>
      </c>
      <c r="H154" s="162"/>
      <c r="I154" s="554"/>
      <c r="J154" s="614">
        <v>347</v>
      </c>
      <c r="K154" s="614">
        <f t="shared" si="32"/>
        <v>0</v>
      </c>
      <c r="L154" s="192"/>
      <c r="M154" s="192"/>
      <c r="N154" s="657"/>
    </row>
    <row r="155" spans="1:14" ht="15" customHeight="1">
      <c r="A155" s="178"/>
      <c r="B155" s="178"/>
      <c r="C155" s="178"/>
      <c r="D155" s="178"/>
      <c r="E155" s="178"/>
      <c r="F155" s="621"/>
      <c r="G155" s="640" t="s">
        <v>216</v>
      </c>
      <c r="H155" s="661"/>
      <c r="I155" s="662"/>
      <c r="J155" s="614">
        <v>352</v>
      </c>
      <c r="K155" s="614">
        <f t="shared" si="32"/>
        <v>0</v>
      </c>
      <c r="L155" s="192"/>
      <c r="M155" s="192"/>
      <c r="N155" s="657"/>
    </row>
    <row r="156" spans="1:14" ht="15" customHeight="1">
      <c r="A156" s="178"/>
      <c r="B156" s="178"/>
      <c r="C156" s="178"/>
      <c r="D156" s="178"/>
      <c r="E156" s="178"/>
      <c r="F156" s="621"/>
      <c r="G156" s="640" t="s">
        <v>221</v>
      </c>
      <c r="H156" s="661"/>
      <c r="I156" s="662"/>
      <c r="J156" s="614">
        <v>980</v>
      </c>
      <c r="K156" s="614">
        <f t="shared" si="32"/>
        <v>0</v>
      </c>
      <c r="L156" s="192"/>
      <c r="M156" s="192"/>
      <c r="N156" s="657"/>
    </row>
    <row r="157" spans="1:14" ht="15" customHeight="1">
      <c r="A157" s="178"/>
      <c r="B157" s="178"/>
      <c r="C157" s="178"/>
      <c r="D157" s="178"/>
      <c r="E157" s="178"/>
      <c r="F157" s="621"/>
      <c r="G157" s="640" t="s">
        <v>248</v>
      </c>
      <c r="H157" s="162"/>
      <c r="I157" s="554"/>
      <c r="J157" s="614">
        <v>180</v>
      </c>
      <c r="K157" s="614">
        <f t="shared" si="32"/>
        <v>0</v>
      </c>
      <c r="L157" s="192"/>
      <c r="M157" s="192"/>
      <c r="N157" s="657"/>
    </row>
    <row r="158" spans="1:14" ht="15" customHeight="1">
      <c r="A158" s="178"/>
      <c r="B158" s="178"/>
      <c r="C158" s="178"/>
      <c r="D158" s="178"/>
      <c r="E158" s="178"/>
      <c r="F158" s="622"/>
      <c r="G158" s="179" t="s">
        <v>211</v>
      </c>
      <c r="H158" s="192"/>
      <c r="I158" s="554"/>
      <c r="J158" s="614">
        <v>120</v>
      </c>
      <c r="K158" s="614">
        <f>I158*J158</f>
        <v>0</v>
      </c>
      <c r="L158" s="192"/>
      <c r="M158" s="192"/>
      <c r="N158" s="657"/>
    </row>
    <row r="159" spans="1:14" ht="15" customHeight="1">
      <c r="A159" s="178"/>
      <c r="B159" s="178"/>
      <c r="C159" s="178"/>
      <c r="D159" s="178"/>
      <c r="E159" s="178"/>
      <c r="F159" s="621"/>
      <c r="G159" s="179" t="s">
        <v>212</v>
      </c>
      <c r="H159" s="192"/>
      <c r="I159" s="554"/>
      <c r="J159" s="614">
        <v>280</v>
      </c>
      <c r="K159" s="614">
        <f t="shared" ref="K159:K161" si="33">I159*J159</f>
        <v>0</v>
      </c>
      <c r="L159" s="192"/>
      <c r="M159" s="192"/>
      <c r="N159" s="657"/>
    </row>
    <row r="160" spans="1:14" ht="15" customHeight="1">
      <c r="A160" s="178"/>
      <c r="B160" s="178"/>
      <c r="C160" s="178"/>
      <c r="D160" s="178"/>
      <c r="E160" s="178"/>
      <c r="F160" s="621"/>
      <c r="G160" s="179" t="s">
        <v>213</v>
      </c>
      <c r="H160" s="192"/>
      <c r="I160" s="554"/>
      <c r="J160" s="614">
        <v>348</v>
      </c>
      <c r="K160" s="614">
        <f t="shared" si="33"/>
        <v>0</v>
      </c>
      <c r="L160" s="192"/>
      <c r="M160" s="192"/>
      <c r="N160" s="657"/>
    </row>
    <row r="161" spans="1:14" ht="15" customHeight="1">
      <c r="A161" s="178"/>
      <c r="B161" s="178"/>
      <c r="C161" s="663"/>
      <c r="D161" s="663"/>
      <c r="E161" s="663"/>
      <c r="F161" s="621"/>
      <c r="G161" s="179" t="s">
        <v>45</v>
      </c>
      <c r="H161" s="192"/>
      <c r="I161" s="554"/>
      <c r="J161" s="614">
        <v>45</v>
      </c>
      <c r="K161" s="614">
        <f t="shared" si="33"/>
        <v>0</v>
      </c>
      <c r="L161" s="192"/>
      <c r="M161" s="192"/>
      <c r="N161" s="657"/>
    </row>
    <row r="162" spans="1:14" ht="15" customHeight="1">
      <c r="A162" s="178"/>
      <c r="B162" s="178"/>
      <c r="C162" s="178"/>
      <c r="D162" s="178"/>
      <c r="E162" s="180" t="s">
        <v>9</v>
      </c>
      <c r="F162" s="622">
        <f>SUM(F151:F161)</f>
        <v>0</v>
      </c>
      <c r="G162" s="180"/>
      <c r="H162" s="180"/>
      <c r="I162" s="614"/>
      <c r="J162" s="614"/>
      <c r="K162" s="152">
        <f>SUM(K151:K161)</f>
        <v>0</v>
      </c>
      <c r="L162" s="152" t="e">
        <f>K162/F162</f>
        <v>#DIV/0!</v>
      </c>
      <c r="M162" s="192"/>
      <c r="N162" s="657"/>
    </row>
    <row r="163" spans="1:14" ht="15" customHeight="1">
      <c r="A163" s="178">
        <v>6402</v>
      </c>
      <c r="B163" s="178" t="s">
        <v>229</v>
      </c>
      <c r="C163" s="178" t="s">
        <v>224</v>
      </c>
      <c r="D163" s="178" t="s">
        <v>295</v>
      </c>
      <c r="E163" s="178" t="s">
        <v>352</v>
      </c>
      <c r="F163" s="621"/>
      <c r="G163" s="179" t="s">
        <v>214</v>
      </c>
      <c r="H163" s="192"/>
      <c r="I163" s="554"/>
      <c r="J163" s="614">
        <v>360</v>
      </c>
      <c r="K163" s="614">
        <f t="shared" ref="K163" si="34">I163*J163</f>
        <v>0</v>
      </c>
      <c r="L163" s="152"/>
      <c r="M163" s="192"/>
      <c r="N163" s="657"/>
    </row>
    <row r="164" spans="1:14" ht="15" customHeight="1">
      <c r="A164" s="178"/>
      <c r="B164" s="178"/>
      <c r="C164" s="178"/>
      <c r="D164" s="178"/>
      <c r="E164" s="178" t="s">
        <v>247</v>
      </c>
      <c r="F164" s="178"/>
      <c r="G164" s="180"/>
      <c r="H164" s="180"/>
      <c r="I164" s="614"/>
      <c r="J164" s="614"/>
      <c r="K164" s="152"/>
      <c r="L164" s="152"/>
      <c r="M164" s="192"/>
      <c r="N164" s="657"/>
    </row>
    <row r="165" spans="1:14" ht="15" customHeight="1">
      <c r="A165" s="178"/>
      <c r="B165" s="178"/>
      <c r="C165" s="178"/>
      <c r="D165" s="178"/>
      <c r="E165" s="180" t="s">
        <v>9</v>
      </c>
      <c r="F165" s="622">
        <f>SUM(F163:F164)</f>
        <v>0</v>
      </c>
      <c r="G165" s="640"/>
      <c r="H165" s="192"/>
      <c r="I165" s="554"/>
      <c r="J165" s="614"/>
      <c r="K165" s="152">
        <f>SUM(K163:K164)</f>
        <v>0</v>
      </c>
      <c r="L165" s="152" t="e">
        <f>K165/F165</f>
        <v>#DIV/0!</v>
      </c>
      <c r="M165" s="192"/>
      <c r="N165" s="657"/>
    </row>
    <row r="166" spans="1:14" ht="15" customHeight="1">
      <c r="A166" s="178">
        <v>6403</v>
      </c>
      <c r="B166" s="178" t="s">
        <v>277</v>
      </c>
      <c r="C166" s="178" t="s">
        <v>121</v>
      </c>
      <c r="D166" s="178" t="s">
        <v>246</v>
      </c>
      <c r="E166" s="178" t="s">
        <v>93</v>
      </c>
      <c r="F166" s="621"/>
      <c r="G166" s="640" t="s">
        <v>215</v>
      </c>
      <c r="H166" s="162"/>
      <c r="I166" s="554"/>
      <c r="J166" s="614">
        <v>750</v>
      </c>
      <c r="K166" s="614">
        <f t="shared" ref="K166" si="35">I166*J166</f>
        <v>0</v>
      </c>
      <c r="L166" s="152"/>
      <c r="M166" s="178" t="s">
        <v>95</v>
      </c>
      <c r="N166" s="657"/>
    </row>
    <row r="167" spans="1:14" ht="15" customHeight="1">
      <c r="A167" s="178"/>
      <c r="B167" s="178" t="s">
        <v>353</v>
      </c>
      <c r="C167" s="178"/>
      <c r="D167" s="178"/>
      <c r="E167" s="178"/>
      <c r="F167" s="178"/>
      <c r="G167" s="640" t="s">
        <v>209</v>
      </c>
      <c r="H167" s="192"/>
      <c r="I167" s="554"/>
      <c r="J167" s="614">
        <v>350</v>
      </c>
      <c r="K167" s="614">
        <f t="shared" ref="K167" si="36">I167*J167</f>
        <v>0</v>
      </c>
      <c r="L167" s="152"/>
      <c r="M167" s="192"/>
      <c r="N167" s="657"/>
    </row>
    <row r="168" spans="1:14" ht="15" customHeight="1">
      <c r="A168" s="178"/>
      <c r="B168" s="178"/>
      <c r="C168" s="178"/>
      <c r="D168" s="178"/>
      <c r="E168" s="180"/>
      <c r="F168" s="622"/>
      <c r="G168" s="179" t="s">
        <v>211</v>
      </c>
      <c r="H168" s="192"/>
      <c r="I168" s="554"/>
      <c r="J168" s="614">
        <v>120</v>
      </c>
      <c r="K168" s="614">
        <f>I168*J168</f>
        <v>0</v>
      </c>
      <c r="L168" s="152"/>
      <c r="M168" s="192"/>
      <c r="N168" s="657"/>
    </row>
    <row r="169" spans="1:14" ht="15" customHeight="1">
      <c r="A169" s="178"/>
      <c r="B169" s="178"/>
      <c r="C169" s="178"/>
      <c r="D169" s="178"/>
      <c r="E169" s="180"/>
      <c r="F169" s="622"/>
      <c r="G169" s="179" t="s">
        <v>212</v>
      </c>
      <c r="H169" s="192"/>
      <c r="I169" s="554"/>
      <c r="J169" s="614">
        <v>280</v>
      </c>
      <c r="K169" s="614">
        <f t="shared" ref="K169:K171" si="37">I169*J169</f>
        <v>0</v>
      </c>
      <c r="L169" s="152"/>
      <c r="M169" s="192"/>
      <c r="N169" s="657"/>
    </row>
    <row r="170" spans="1:14" ht="15" customHeight="1">
      <c r="A170" s="178"/>
      <c r="B170" s="178"/>
      <c r="C170" s="178"/>
      <c r="D170" s="178"/>
      <c r="E170" s="180"/>
      <c r="F170" s="622"/>
      <c r="G170" s="179" t="s">
        <v>213</v>
      </c>
      <c r="H170" s="192"/>
      <c r="I170" s="554"/>
      <c r="J170" s="614">
        <v>348</v>
      </c>
      <c r="K170" s="614">
        <f t="shared" si="37"/>
        <v>0</v>
      </c>
      <c r="L170" s="152"/>
      <c r="M170" s="192"/>
      <c r="N170" s="657"/>
    </row>
    <row r="171" spans="1:14" ht="15" customHeight="1">
      <c r="A171" s="178"/>
      <c r="B171" s="178"/>
      <c r="C171" s="178"/>
      <c r="D171" s="178"/>
      <c r="E171" s="180"/>
      <c r="F171" s="622"/>
      <c r="G171" s="179" t="s">
        <v>45</v>
      </c>
      <c r="H171" s="192"/>
      <c r="I171" s="554"/>
      <c r="J171" s="614">
        <v>45</v>
      </c>
      <c r="K171" s="614">
        <f t="shared" si="37"/>
        <v>0</v>
      </c>
      <c r="L171" s="152"/>
      <c r="M171" s="192"/>
      <c r="N171" s="657"/>
    </row>
    <row r="172" spans="1:14" ht="15" customHeight="1">
      <c r="A172" s="178"/>
      <c r="B172" s="178"/>
      <c r="C172" s="178"/>
      <c r="D172" s="178"/>
      <c r="E172" s="180" t="s">
        <v>9</v>
      </c>
      <c r="F172" s="622">
        <f>SUM(F166:F171)</f>
        <v>0</v>
      </c>
      <c r="G172" s="640"/>
      <c r="H172" s="192"/>
      <c r="I172" s="554"/>
      <c r="J172" s="614"/>
      <c r="K172" s="152">
        <f>SUM(K166:K171)</f>
        <v>0</v>
      </c>
      <c r="L172" s="152" t="e">
        <f>K172/F172</f>
        <v>#DIV/0!</v>
      </c>
      <c r="M172" s="178" t="s">
        <v>95</v>
      </c>
      <c r="N172" s="657"/>
    </row>
    <row r="173" spans="1:14" ht="15" customHeight="1">
      <c r="A173" s="178">
        <v>6404</v>
      </c>
      <c r="B173" s="178" t="s">
        <v>277</v>
      </c>
      <c r="C173" s="178" t="s">
        <v>121</v>
      </c>
      <c r="D173" s="178" t="s">
        <v>355</v>
      </c>
      <c r="E173" s="178" t="s">
        <v>93</v>
      </c>
      <c r="F173" s="621"/>
      <c r="G173" s="640" t="s">
        <v>210</v>
      </c>
      <c r="H173" s="162"/>
      <c r="I173" s="554"/>
      <c r="J173" s="614">
        <v>890</v>
      </c>
      <c r="K173" s="614">
        <f t="shared" ref="K173" si="38">I173*J173</f>
        <v>0</v>
      </c>
      <c r="L173" s="152"/>
      <c r="M173" s="192"/>
      <c r="N173" s="657"/>
    </row>
    <row r="174" spans="1:14" ht="15" customHeight="1">
      <c r="A174" s="178"/>
      <c r="B174" s="178" t="s">
        <v>354</v>
      </c>
      <c r="C174" s="178"/>
      <c r="D174" s="178"/>
      <c r="E174" s="178"/>
      <c r="F174" s="178"/>
      <c r="G174" s="640" t="s">
        <v>209</v>
      </c>
      <c r="H174" s="192"/>
      <c r="I174" s="554"/>
      <c r="J174" s="614">
        <v>350</v>
      </c>
      <c r="K174" s="614">
        <f t="shared" ref="K174:K175" si="39">I174*J174</f>
        <v>0</v>
      </c>
      <c r="L174" s="152"/>
      <c r="M174" s="192"/>
      <c r="N174" s="657"/>
    </row>
    <row r="175" spans="1:14" ht="15" customHeight="1">
      <c r="A175" s="178"/>
      <c r="B175" s="178"/>
      <c r="C175" s="178"/>
      <c r="D175" s="178"/>
      <c r="E175" s="178"/>
      <c r="F175" s="178"/>
      <c r="G175" s="640" t="s">
        <v>294</v>
      </c>
      <c r="H175" s="661"/>
      <c r="I175" s="662"/>
      <c r="J175" s="614">
        <v>753</v>
      </c>
      <c r="K175" s="614">
        <f t="shared" si="39"/>
        <v>0</v>
      </c>
      <c r="L175" s="152"/>
      <c r="M175" s="192"/>
      <c r="N175" s="657"/>
    </row>
    <row r="176" spans="1:14" ht="15" customHeight="1">
      <c r="A176" s="178"/>
      <c r="B176" s="178"/>
      <c r="C176" s="178"/>
      <c r="D176" s="178"/>
      <c r="E176" s="180"/>
      <c r="F176" s="622"/>
      <c r="G176" s="179" t="s">
        <v>211</v>
      </c>
      <c r="H176" s="192"/>
      <c r="I176" s="554"/>
      <c r="J176" s="614">
        <v>120</v>
      </c>
      <c r="K176" s="614">
        <f>I176*J176</f>
        <v>0</v>
      </c>
      <c r="L176" s="152"/>
      <c r="M176" s="192"/>
      <c r="N176" s="657"/>
    </row>
    <row r="177" spans="1:14" ht="15" customHeight="1">
      <c r="A177" s="178"/>
      <c r="B177" s="178"/>
      <c r="C177" s="178"/>
      <c r="D177" s="178"/>
      <c r="E177" s="180"/>
      <c r="F177" s="622"/>
      <c r="G177" s="179" t="s">
        <v>212</v>
      </c>
      <c r="H177" s="192"/>
      <c r="I177" s="554"/>
      <c r="J177" s="614">
        <v>280</v>
      </c>
      <c r="K177" s="614">
        <f t="shared" ref="K177:K179" si="40">I177*J177</f>
        <v>0</v>
      </c>
      <c r="L177" s="152"/>
      <c r="M177" s="192"/>
      <c r="N177" s="657"/>
    </row>
    <row r="178" spans="1:14" ht="15" customHeight="1">
      <c r="A178" s="178"/>
      <c r="B178" s="178"/>
      <c r="C178" s="178"/>
      <c r="D178" s="178"/>
      <c r="E178" s="180"/>
      <c r="F178" s="622"/>
      <c r="G178" s="179" t="s">
        <v>213</v>
      </c>
      <c r="H178" s="192"/>
      <c r="I178" s="554"/>
      <c r="J178" s="614">
        <v>348</v>
      </c>
      <c r="K178" s="614">
        <f t="shared" si="40"/>
        <v>0</v>
      </c>
      <c r="L178" s="152"/>
      <c r="M178" s="192"/>
      <c r="N178" s="657"/>
    </row>
    <row r="179" spans="1:14" ht="15" customHeight="1">
      <c r="A179" s="178"/>
      <c r="B179" s="178"/>
      <c r="C179" s="178"/>
      <c r="D179" s="178"/>
      <c r="E179" s="180"/>
      <c r="F179" s="622"/>
      <c r="G179" s="179" t="s">
        <v>45</v>
      </c>
      <c r="H179" s="192"/>
      <c r="I179" s="554"/>
      <c r="J179" s="614">
        <v>45</v>
      </c>
      <c r="K179" s="614">
        <f t="shared" si="40"/>
        <v>0</v>
      </c>
      <c r="L179" s="152"/>
      <c r="M179" s="192"/>
      <c r="N179" s="657"/>
    </row>
    <row r="180" spans="1:14" ht="15" customHeight="1">
      <c r="A180" s="178"/>
      <c r="B180" s="178"/>
      <c r="C180" s="178"/>
      <c r="D180" s="178"/>
      <c r="E180" s="180" t="s">
        <v>9</v>
      </c>
      <c r="F180" s="622">
        <f>SUM(F173:F179)</f>
        <v>0</v>
      </c>
      <c r="G180" s="640"/>
      <c r="H180" s="192"/>
      <c r="I180" s="554"/>
      <c r="J180" s="614"/>
      <c r="K180" s="152">
        <f>SUM(K173:K179)</f>
        <v>0</v>
      </c>
      <c r="L180" s="152" t="e">
        <f>K180/F180</f>
        <v>#DIV/0!</v>
      </c>
      <c r="M180" s="178" t="s">
        <v>95</v>
      </c>
      <c r="N180" s="657"/>
    </row>
    <row r="181" spans="1:14" ht="15" customHeight="1">
      <c r="A181" s="178">
        <v>6405</v>
      </c>
      <c r="B181" s="178" t="s">
        <v>277</v>
      </c>
      <c r="C181" s="178" t="s">
        <v>121</v>
      </c>
      <c r="D181" s="178" t="s">
        <v>350</v>
      </c>
      <c r="E181" s="178" t="s">
        <v>93</v>
      </c>
      <c r="F181" s="664"/>
      <c r="G181" s="640" t="s">
        <v>209</v>
      </c>
      <c r="H181" s="192"/>
      <c r="I181" s="554"/>
      <c r="J181" s="614">
        <v>350</v>
      </c>
      <c r="K181" s="614">
        <f t="shared" ref="K181:K185" si="41">I181*J181</f>
        <v>0</v>
      </c>
      <c r="L181" s="192"/>
      <c r="M181" s="192"/>
      <c r="N181" s="657"/>
    </row>
    <row r="182" spans="1:14" ht="15" customHeight="1">
      <c r="A182" s="178"/>
      <c r="B182" s="178"/>
      <c r="C182" s="178"/>
      <c r="D182" s="178"/>
      <c r="E182" s="178"/>
      <c r="F182" s="621"/>
      <c r="G182" s="640" t="s">
        <v>215</v>
      </c>
      <c r="H182" s="162"/>
      <c r="I182" s="554"/>
      <c r="J182" s="614">
        <v>750</v>
      </c>
      <c r="K182" s="614">
        <f t="shared" si="41"/>
        <v>0</v>
      </c>
      <c r="L182" s="192"/>
      <c r="M182" s="192"/>
      <c r="N182" s="657"/>
    </row>
    <row r="183" spans="1:14" ht="15" customHeight="1">
      <c r="A183" s="178"/>
      <c r="B183" s="178"/>
      <c r="C183" s="178"/>
      <c r="D183" s="178"/>
      <c r="E183" s="178"/>
      <c r="F183" s="621"/>
      <c r="G183" s="640" t="s">
        <v>210</v>
      </c>
      <c r="H183" s="162"/>
      <c r="I183" s="554"/>
      <c r="J183" s="614">
        <v>890</v>
      </c>
      <c r="K183" s="614">
        <f t="shared" si="41"/>
        <v>0</v>
      </c>
      <c r="L183" s="192"/>
      <c r="M183" s="192"/>
      <c r="N183" s="657"/>
    </row>
    <row r="184" spans="1:14" ht="15" customHeight="1">
      <c r="A184" s="178"/>
      <c r="B184" s="178"/>
      <c r="C184" s="178"/>
      <c r="D184" s="178"/>
      <c r="E184" s="178"/>
      <c r="F184" s="621"/>
      <c r="G184" s="640" t="s">
        <v>311</v>
      </c>
      <c r="H184" s="162"/>
      <c r="I184" s="554"/>
      <c r="J184" s="614">
        <v>347</v>
      </c>
      <c r="K184" s="614">
        <f t="shared" si="41"/>
        <v>0</v>
      </c>
      <c r="L184" s="192"/>
      <c r="M184" s="192"/>
      <c r="N184" s="657"/>
    </row>
    <row r="185" spans="1:14" ht="15" customHeight="1">
      <c r="A185" s="178"/>
      <c r="B185" s="178"/>
      <c r="C185" s="178"/>
      <c r="D185" s="178"/>
      <c r="E185" s="178"/>
      <c r="F185" s="621"/>
      <c r="G185" s="640" t="s">
        <v>221</v>
      </c>
      <c r="H185" s="661"/>
      <c r="I185" s="662"/>
      <c r="J185" s="614">
        <v>980</v>
      </c>
      <c r="K185" s="614">
        <f t="shared" si="41"/>
        <v>0</v>
      </c>
      <c r="L185" s="192"/>
      <c r="M185" s="192"/>
      <c r="N185" s="657"/>
    </row>
    <row r="186" spans="1:14" ht="15" customHeight="1">
      <c r="A186" s="178"/>
      <c r="B186" s="178"/>
      <c r="C186" s="178"/>
      <c r="D186" s="178"/>
      <c r="E186" s="178"/>
      <c r="F186" s="621"/>
      <c r="G186" s="179" t="s">
        <v>211</v>
      </c>
      <c r="H186" s="192"/>
      <c r="I186" s="554"/>
      <c r="J186" s="614">
        <v>120</v>
      </c>
      <c r="K186" s="614">
        <f>I186*J186</f>
        <v>0</v>
      </c>
      <c r="L186" s="192"/>
      <c r="M186" s="179"/>
      <c r="N186" s="657"/>
    </row>
    <row r="187" spans="1:14" ht="15" customHeight="1">
      <c r="A187" s="178"/>
      <c r="B187" s="178"/>
      <c r="C187" s="178"/>
      <c r="D187" s="178"/>
      <c r="E187" s="178"/>
      <c r="F187" s="621"/>
      <c r="G187" s="179" t="s">
        <v>212</v>
      </c>
      <c r="H187" s="192"/>
      <c r="I187" s="554"/>
      <c r="J187" s="614">
        <v>280</v>
      </c>
      <c r="K187" s="614">
        <f t="shared" ref="K187:K189" si="42">I187*J187</f>
        <v>0</v>
      </c>
      <c r="L187" s="192"/>
      <c r="M187" s="192"/>
      <c r="N187" s="657"/>
    </row>
    <row r="188" spans="1:14" ht="15" customHeight="1">
      <c r="A188" s="178"/>
      <c r="B188" s="178"/>
      <c r="C188" s="178"/>
      <c r="D188" s="178"/>
      <c r="E188" s="178"/>
      <c r="F188" s="621"/>
      <c r="G188" s="179" t="s">
        <v>213</v>
      </c>
      <c r="H188" s="192"/>
      <c r="I188" s="554"/>
      <c r="J188" s="614">
        <v>348</v>
      </c>
      <c r="K188" s="614">
        <f t="shared" si="42"/>
        <v>0</v>
      </c>
      <c r="L188" s="192"/>
      <c r="M188" s="192"/>
      <c r="N188" s="657"/>
    </row>
    <row r="189" spans="1:14" ht="15" customHeight="1">
      <c r="A189" s="178"/>
      <c r="B189" s="178"/>
      <c r="C189" s="178"/>
      <c r="D189" s="178"/>
      <c r="E189" s="178"/>
      <c r="F189" s="621"/>
      <c r="G189" s="179" t="s">
        <v>45</v>
      </c>
      <c r="H189" s="192"/>
      <c r="I189" s="554"/>
      <c r="J189" s="614">
        <v>45</v>
      </c>
      <c r="K189" s="614">
        <f t="shared" si="42"/>
        <v>0</v>
      </c>
      <c r="L189" s="192"/>
      <c r="M189" s="192"/>
      <c r="N189" s="657"/>
    </row>
    <row r="190" spans="1:14" ht="15" customHeight="1">
      <c r="A190" s="178"/>
      <c r="B190" s="178"/>
      <c r="C190" s="178"/>
      <c r="D190" s="178"/>
      <c r="E190" s="180" t="s">
        <v>9</v>
      </c>
      <c r="F190" s="622">
        <f>SUM(F181:F189)</f>
        <v>0</v>
      </c>
      <c r="G190" s="180"/>
      <c r="H190" s="180"/>
      <c r="I190" s="614"/>
      <c r="J190" s="614"/>
      <c r="K190" s="152">
        <f>SUM(K181:K189)</f>
        <v>0</v>
      </c>
      <c r="L190" s="152" t="e">
        <f>K190/F190</f>
        <v>#DIV/0!</v>
      </c>
      <c r="M190" s="178" t="s">
        <v>351</v>
      </c>
      <c r="N190" s="657"/>
    </row>
    <row r="191" spans="1:14" ht="15" customHeight="1">
      <c r="A191" s="623"/>
      <c r="B191" s="623"/>
      <c r="C191" s="623"/>
      <c r="D191" s="624" t="s">
        <v>30</v>
      </c>
      <c r="E191" s="624"/>
      <c r="F191" s="625">
        <f>F162+F165+F172+F180+F190</f>
        <v>0</v>
      </c>
      <c r="G191" s="626"/>
      <c r="H191" s="626"/>
      <c r="I191" s="626"/>
      <c r="J191" s="626"/>
      <c r="K191" s="625">
        <f>K162+K165+K172+K180+K190</f>
        <v>0</v>
      </c>
      <c r="L191" s="627" t="e">
        <f>K191/F191</f>
        <v>#DIV/0!</v>
      </c>
      <c r="M191" s="623"/>
      <c r="N191" s="657"/>
    </row>
    <row r="192" spans="1:14" s="71" customFormat="1" ht="15" customHeight="1">
      <c r="A192" s="618"/>
      <c r="B192" s="618"/>
      <c r="C192" s="618"/>
      <c r="D192" s="618"/>
      <c r="E192" s="618"/>
      <c r="F192" s="618"/>
      <c r="G192" s="618"/>
      <c r="H192" s="618"/>
      <c r="I192" s="618"/>
      <c r="J192" s="618"/>
      <c r="K192" s="618"/>
      <c r="L192" s="618"/>
      <c r="M192" s="618"/>
      <c r="N192" s="618"/>
    </row>
    <row r="193" spans="1:14" ht="15" customHeight="1">
      <c r="A193" s="657"/>
      <c r="B193" s="657"/>
      <c r="C193" s="657"/>
      <c r="D193" s="657"/>
      <c r="E193" s="657"/>
      <c r="F193" s="657"/>
      <c r="G193" s="657"/>
      <c r="H193" s="657"/>
      <c r="I193" s="657"/>
      <c r="J193" s="657"/>
      <c r="K193" s="657"/>
      <c r="L193" s="657"/>
      <c r="M193" s="657"/>
      <c r="N193" s="657"/>
    </row>
    <row r="194" spans="1:14" ht="15" customHeight="1">
      <c r="A194" s="657"/>
      <c r="B194" s="31"/>
      <c r="C194" s="31"/>
      <c r="D194" s="624" t="s">
        <v>1009</v>
      </c>
      <c r="E194" s="665">
        <f>F191</f>
        <v>0</v>
      </c>
      <c r="F194" s="624"/>
      <c r="G194" s="625">
        <f>K191</f>
        <v>0</v>
      </c>
      <c r="H194" s="626"/>
      <c r="I194" s="626"/>
      <c r="J194" s="626"/>
      <c r="K194" s="626"/>
      <c r="L194" s="625" t="e">
        <f>G194/E194</f>
        <v>#DIV/0!</v>
      </c>
      <c r="M194" s="657"/>
      <c r="N194" s="657"/>
    </row>
    <row r="195" spans="1:14" ht="15" customHeight="1">
      <c r="A195" s="657"/>
      <c r="B195" s="31"/>
      <c r="C195" s="31"/>
      <c r="D195" s="162" t="s">
        <v>855</v>
      </c>
      <c r="E195" s="666"/>
      <c r="F195" s="162"/>
      <c r="G195" s="667">
        <f>K183</f>
        <v>0</v>
      </c>
      <c r="H195" s="668"/>
      <c r="I195" s="667">
        <f>'01'!G199+'02'!G246+'03'!G339+'04'!G249</f>
        <v>0</v>
      </c>
      <c r="J195" s="669">
        <f>G195+M208</f>
        <v>0</v>
      </c>
      <c r="K195" s="670"/>
      <c r="L195" s="671"/>
      <c r="M195" s="657"/>
      <c r="N195" s="657"/>
    </row>
    <row r="196" spans="1:14" ht="15" customHeight="1">
      <c r="A196" s="657"/>
      <c r="B196" s="31"/>
      <c r="C196" s="31"/>
      <c r="D196" s="672" t="s">
        <v>854</v>
      </c>
      <c r="E196" s="673"/>
      <c r="F196" s="672"/>
      <c r="G196" s="674">
        <f>G194-G195</f>
        <v>0</v>
      </c>
      <c r="H196" s="675"/>
      <c r="I196" s="676">
        <f>'01'!G200+'02'!G247+'03'!G340+'04'!G250</f>
        <v>0</v>
      </c>
      <c r="J196" s="677"/>
      <c r="K196" s="677"/>
      <c r="L196" s="678"/>
      <c r="M196" s="657"/>
      <c r="N196" s="657"/>
    </row>
    <row r="197" spans="1:14" ht="15" customHeight="1">
      <c r="A197" s="657"/>
      <c r="B197" s="31"/>
      <c r="C197" s="31"/>
      <c r="D197" s="162" t="s">
        <v>853</v>
      </c>
      <c r="E197" s="679"/>
      <c r="F197" s="162"/>
      <c r="G197" s="680">
        <f>SUM(G195:G196)</f>
        <v>0</v>
      </c>
      <c r="H197" s="681"/>
      <c r="I197" s="682">
        <f>'01'!G198+'02'!G245+'03'!G338+'04'!G248</f>
        <v>0</v>
      </c>
      <c r="J197" s="681"/>
      <c r="K197" s="681"/>
      <c r="L197" s="683" t="e">
        <f>G197/E194</f>
        <v>#DIV/0!</v>
      </c>
      <c r="M197" s="657"/>
      <c r="N197" s="657"/>
    </row>
    <row r="198" spans="1:14" ht="15" customHeight="1">
      <c r="A198" s="657"/>
      <c r="B198" s="31"/>
      <c r="C198" s="31"/>
      <c r="D198" s="684" t="s">
        <v>906</v>
      </c>
      <c r="E198" s="685"/>
      <c r="F198" s="162"/>
      <c r="G198" s="409">
        <f>M208</f>
        <v>0</v>
      </c>
      <c r="H198" s="686"/>
      <c r="I198" s="687"/>
      <c r="J198" s="687"/>
      <c r="K198" s="688"/>
      <c r="L198" s="657"/>
      <c r="M198" s="657"/>
      <c r="N198" s="657"/>
    </row>
    <row r="199" spans="1:14" ht="15" customHeight="1">
      <c r="A199" s="657"/>
      <c r="B199" s="31"/>
      <c r="C199" s="31"/>
      <c r="D199" s="616"/>
      <c r="E199" s="616"/>
      <c r="F199" s="616"/>
      <c r="G199" s="616"/>
      <c r="H199" s="689"/>
      <c r="I199" s="616"/>
      <c r="J199" s="616"/>
      <c r="K199" s="616"/>
      <c r="L199" s="616"/>
      <c r="M199" s="657"/>
      <c r="N199" s="657"/>
    </row>
    <row r="200" spans="1:14" ht="15" customHeight="1">
      <c r="A200" s="657"/>
      <c r="B200" s="31"/>
      <c r="C200" s="31"/>
      <c r="D200" s="854" t="s">
        <v>852</v>
      </c>
      <c r="E200" s="854"/>
      <c r="F200" s="690">
        <f>G216</f>
        <v>0</v>
      </c>
      <c r="G200" s="616"/>
      <c r="H200" s="500" t="s">
        <v>908</v>
      </c>
      <c r="I200" s="855" t="s">
        <v>199</v>
      </c>
      <c r="J200" s="856"/>
      <c r="K200" s="554"/>
      <c r="L200" s="614">
        <v>530</v>
      </c>
      <c r="M200" s="614">
        <f t="shared" ref="M200:M205" si="43">K200*L200</f>
        <v>0</v>
      </c>
      <c r="N200" s="657"/>
    </row>
    <row r="201" spans="1:14" ht="15" customHeight="1">
      <c r="A201" s="657"/>
      <c r="B201" s="31"/>
      <c r="C201" s="31"/>
      <c r="D201" s="854" t="s">
        <v>835</v>
      </c>
      <c r="E201" s="854"/>
      <c r="F201" s="690">
        <f>G206+G207</f>
        <v>0</v>
      </c>
      <c r="G201" s="616"/>
      <c r="H201" s="500" t="s">
        <v>909</v>
      </c>
      <c r="I201" s="855" t="s">
        <v>196</v>
      </c>
      <c r="J201" s="856"/>
      <c r="K201" s="554"/>
      <c r="L201" s="614">
        <v>888</v>
      </c>
      <c r="M201" s="614">
        <f t="shared" si="43"/>
        <v>0</v>
      </c>
      <c r="N201" s="657"/>
    </row>
    <row r="202" spans="1:14" ht="15" customHeight="1">
      <c r="A202" s="657"/>
      <c r="B202" s="31"/>
      <c r="C202" s="31"/>
      <c r="D202" s="854" t="s">
        <v>836</v>
      </c>
      <c r="E202" s="854"/>
      <c r="F202" s="690">
        <f>SUM(F200:F201)</f>
        <v>0</v>
      </c>
      <c r="G202" s="616"/>
      <c r="H202" s="500" t="s">
        <v>910</v>
      </c>
      <c r="I202" s="855" t="s">
        <v>192</v>
      </c>
      <c r="J202" s="856"/>
      <c r="K202" s="554"/>
      <c r="L202" s="614">
        <v>1126</v>
      </c>
      <c r="M202" s="614">
        <f t="shared" si="43"/>
        <v>0</v>
      </c>
      <c r="N202" s="657"/>
    </row>
    <row r="203" spans="1:14" ht="15" customHeight="1">
      <c r="A203" s="657"/>
      <c r="B203" s="31"/>
      <c r="C203" s="31"/>
      <c r="D203" s="691" t="s">
        <v>847</v>
      </c>
      <c r="E203" s="691"/>
      <c r="F203" s="690">
        <f>F200-G196</f>
        <v>0</v>
      </c>
      <c r="G203" s="616"/>
      <c r="H203" s="500" t="s">
        <v>908</v>
      </c>
      <c r="I203" s="857" t="s">
        <v>460</v>
      </c>
      <c r="J203" s="858"/>
      <c r="K203" s="554"/>
      <c r="L203" s="614">
        <v>920</v>
      </c>
      <c r="M203" s="614">
        <f t="shared" si="43"/>
        <v>0</v>
      </c>
      <c r="N203" s="657"/>
    </row>
    <row r="204" spans="1:14" ht="15" customHeight="1">
      <c r="A204" s="657"/>
      <c r="B204" s="31"/>
      <c r="C204" s="31"/>
      <c r="D204" s="616"/>
      <c r="E204" s="616"/>
      <c r="F204" s="616"/>
      <c r="G204" s="616"/>
      <c r="H204" s="500" t="s">
        <v>912</v>
      </c>
      <c r="I204" s="859" t="s">
        <v>315</v>
      </c>
      <c r="J204" s="860"/>
      <c r="K204" s="554"/>
      <c r="L204" s="614">
        <v>2184</v>
      </c>
      <c r="M204" s="614">
        <f t="shared" si="43"/>
        <v>0</v>
      </c>
      <c r="N204" s="657"/>
    </row>
    <row r="205" spans="1:14" ht="15" customHeight="1">
      <c r="A205" s="657"/>
      <c r="B205" s="861" t="s">
        <v>833</v>
      </c>
      <c r="C205" s="862"/>
      <c r="D205" s="180" t="s">
        <v>844</v>
      </c>
      <c r="E205" s="180" t="s">
        <v>845</v>
      </c>
      <c r="F205" s="180" t="s">
        <v>846</v>
      </c>
      <c r="G205" s="180" t="s">
        <v>5</v>
      </c>
      <c r="H205" s="500" t="s">
        <v>911</v>
      </c>
      <c r="I205" s="855" t="s">
        <v>286</v>
      </c>
      <c r="J205" s="856"/>
      <c r="K205" s="554"/>
      <c r="L205" s="614">
        <v>2065</v>
      </c>
      <c r="M205" s="614">
        <f t="shared" si="43"/>
        <v>0</v>
      </c>
      <c r="N205" s="657"/>
    </row>
    <row r="206" spans="1:14" ht="15" customHeight="1">
      <c r="A206" s="657"/>
      <c r="B206" s="31"/>
      <c r="C206" s="31"/>
      <c r="D206" s="180" t="s">
        <v>837</v>
      </c>
      <c r="E206" s="162">
        <v>15.5</v>
      </c>
      <c r="F206" s="692"/>
      <c r="G206" s="693">
        <f>F206*E206</f>
        <v>0</v>
      </c>
      <c r="H206" s="500" t="s">
        <v>909</v>
      </c>
      <c r="I206" s="844"/>
      <c r="J206" s="845"/>
      <c r="K206" s="491"/>
      <c r="L206" s="491"/>
      <c r="M206" s="489"/>
      <c r="N206" s="657"/>
    </row>
    <row r="207" spans="1:14" ht="15" customHeight="1">
      <c r="A207" s="657"/>
      <c r="B207" s="31"/>
      <c r="C207" s="31"/>
      <c r="D207" s="180" t="s">
        <v>1062</v>
      </c>
      <c r="E207" s="162">
        <v>34</v>
      </c>
      <c r="F207" s="692"/>
      <c r="G207" s="693">
        <f t="shared" ref="G207:G213" si="44">F207*E207</f>
        <v>0</v>
      </c>
      <c r="H207" s="500" t="s">
        <v>911</v>
      </c>
      <c r="I207" s="864"/>
      <c r="J207" s="865"/>
      <c r="K207" s="352"/>
      <c r="L207" s="352"/>
      <c r="M207" s="491"/>
      <c r="N207" s="657"/>
    </row>
    <row r="208" spans="1:14" ht="15" customHeight="1">
      <c r="A208" s="648"/>
      <c r="B208" s="616"/>
      <c r="C208" s="616"/>
      <c r="D208" s="694" t="s">
        <v>843</v>
      </c>
      <c r="E208" s="124"/>
      <c r="F208" s="488">
        <f>SUM(F206:F207)</f>
        <v>0</v>
      </c>
      <c r="G208" s="695">
        <f>SUM(G206:G207)</f>
        <v>0</v>
      </c>
      <c r="H208" s="616"/>
      <c r="I208" s="844" t="s">
        <v>906</v>
      </c>
      <c r="J208" s="845"/>
      <c r="K208" s="490">
        <f>SUM(K200:K207)</f>
        <v>0</v>
      </c>
      <c r="L208" s="491"/>
      <c r="M208" s="489">
        <f>SUM(M200:M207)</f>
        <v>0</v>
      </c>
      <c r="N208" s="657"/>
    </row>
    <row r="209" spans="1:14" ht="15" customHeight="1">
      <c r="A209" s="657"/>
      <c r="B209" s="31"/>
      <c r="C209" s="31"/>
      <c r="D209" s="180" t="s">
        <v>1070</v>
      </c>
      <c r="E209" s="162">
        <v>227</v>
      </c>
      <c r="F209" s="692"/>
      <c r="G209" s="693">
        <f t="shared" si="44"/>
        <v>0</v>
      </c>
      <c r="H209" s="616"/>
      <c r="I209" s="616"/>
      <c r="J209" s="616"/>
      <c r="K209" s="616"/>
      <c r="L209" s="616"/>
      <c r="M209" s="696">
        <f>G195+M208</f>
        <v>0</v>
      </c>
      <c r="N209" s="657"/>
    </row>
    <row r="210" spans="1:14" ht="15" customHeight="1">
      <c r="A210" s="657"/>
      <c r="B210" s="31"/>
      <c r="C210" s="31"/>
      <c r="D210" s="180" t="s">
        <v>1065</v>
      </c>
      <c r="E210" s="615">
        <v>165</v>
      </c>
      <c r="F210" s="692"/>
      <c r="G210" s="693">
        <f t="shared" si="44"/>
        <v>0</v>
      </c>
      <c r="H210" s="616"/>
      <c r="I210" s="616"/>
      <c r="J210" s="616"/>
      <c r="K210" s="616"/>
      <c r="L210" s="616"/>
      <c r="M210" s="657"/>
      <c r="N210" s="657"/>
    </row>
    <row r="211" spans="1:14" ht="15" customHeight="1">
      <c r="A211" s="657"/>
      <c r="B211" s="31"/>
      <c r="C211" s="31"/>
      <c r="D211" s="697" t="s">
        <v>1066</v>
      </c>
      <c r="E211" s="615">
        <v>165</v>
      </c>
      <c r="F211" s="692"/>
      <c r="G211" s="693">
        <f t="shared" si="44"/>
        <v>0</v>
      </c>
      <c r="H211" s="616"/>
      <c r="I211" s="616"/>
      <c r="J211" s="616"/>
      <c r="K211" s="616"/>
      <c r="L211" s="616"/>
      <c r="M211" s="657"/>
      <c r="N211" s="657"/>
    </row>
    <row r="212" spans="1:14" ht="15" customHeight="1">
      <c r="A212" s="657"/>
      <c r="B212" s="31"/>
      <c r="C212" s="31"/>
      <c r="D212" s="180" t="s">
        <v>1067</v>
      </c>
      <c r="E212" s="615">
        <v>416</v>
      </c>
      <c r="F212" s="698"/>
      <c r="G212" s="693">
        <f t="shared" si="44"/>
        <v>0</v>
      </c>
      <c r="H212" s="616"/>
      <c r="I212" s="616"/>
      <c r="J212" s="616"/>
      <c r="K212" s="616"/>
      <c r="L212" s="616"/>
      <c r="M212" s="657"/>
      <c r="N212" s="657"/>
    </row>
    <row r="213" spans="1:14" ht="15" customHeight="1">
      <c r="A213" s="657"/>
      <c r="B213" s="31"/>
      <c r="C213" s="31"/>
      <c r="D213" s="180" t="s">
        <v>907</v>
      </c>
      <c r="E213" s="615">
        <v>46</v>
      </c>
      <c r="F213" s="692"/>
      <c r="G213" s="693">
        <f t="shared" si="44"/>
        <v>0</v>
      </c>
      <c r="H213" s="31"/>
      <c r="I213" s="31"/>
      <c r="J213" s="31"/>
      <c r="K213" s="31"/>
      <c r="L213" s="31"/>
      <c r="M213" s="657"/>
      <c r="N213" s="657"/>
    </row>
    <row r="214" spans="1:14" ht="15" customHeight="1">
      <c r="A214" s="657"/>
      <c r="B214" s="31"/>
      <c r="C214" s="31"/>
      <c r="D214" s="180" t="s">
        <v>27</v>
      </c>
      <c r="E214" s="162">
        <v>22</v>
      </c>
      <c r="F214" s="692"/>
      <c r="G214" s="693"/>
      <c r="H214" s="657"/>
      <c r="I214" s="657"/>
      <c r="J214" s="657"/>
      <c r="K214" s="657"/>
      <c r="L214" s="657"/>
      <c r="M214" s="657"/>
      <c r="N214" s="657"/>
    </row>
    <row r="215" spans="1:14" ht="15" customHeight="1">
      <c r="A215" s="657"/>
      <c r="B215" s="31"/>
      <c r="C215" s="31"/>
      <c r="D215" s="180" t="s">
        <v>1062</v>
      </c>
      <c r="E215" s="162">
        <v>34</v>
      </c>
      <c r="F215" s="692"/>
      <c r="G215" s="693"/>
      <c r="H215" s="657"/>
      <c r="I215" s="657"/>
      <c r="J215" s="657"/>
      <c r="K215" s="657"/>
      <c r="L215" s="657"/>
      <c r="M215" s="657"/>
      <c r="N215" s="657"/>
    </row>
    <row r="216" spans="1:14" ht="15" customHeight="1">
      <c r="A216" s="657"/>
      <c r="B216" s="31"/>
      <c r="C216" s="31"/>
      <c r="D216" s="180" t="s">
        <v>24</v>
      </c>
      <c r="E216" s="162">
        <v>74</v>
      </c>
      <c r="F216" s="692"/>
      <c r="G216" s="693"/>
      <c r="H216" s="657"/>
      <c r="I216" s="657"/>
      <c r="J216" s="657"/>
      <c r="K216" s="657"/>
      <c r="L216" s="657"/>
      <c r="M216" s="657"/>
      <c r="N216" s="657"/>
    </row>
    <row r="217" spans="1:14" ht="15" customHeight="1">
      <c r="A217" s="657"/>
      <c r="B217" s="31"/>
      <c r="C217" s="31"/>
      <c r="D217" s="699" t="s">
        <v>185</v>
      </c>
      <c r="E217" s="162">
        <v>490</v>
      </c>
      <c r="F217" s="692"/>
      <c r="G217" s="693"/>
      <c r="H217" s="657"/>
      <c r="I217" s="657"/>
      <c r="J217" s="657"/>
      <c r="K217" s="657"/>
      <c r="L217" s="657"/>
      <c r="M217" s="657"/>
      <c r="N217" s="657"/>
    </row>
    <row r="218" spans="1:14" ht="15" customHeight="1">
      <c r="A218" s="657"/>
      <c r="B218" s="657"/>
      <c r="C218" s="657"/>
      <c r="D218" s="180" t="s">
        <v>184</v>
      </c>
      <c r="E218" s="162">
        <v>336</v>
      </c>
      <c r="F218" s="692"/>
      <c r="G218" s="693"/>
      <c r="H218" s="657"/>
      <c r="I218" s="657"/>
      <c r="J218" s="657"/>
      <c r="K218" s="657"/>
      <c r="L218" s="657"/>
      <c r="M218" s="657"/>
      <c r="N218" s="657"/>
    </row>
    <row r="219" spans="1:14" ht="15" customHeight="1">
      <c r="A219" s="657"/>
      <c r="B219" s="657"/>
      <c r="C219" s="657"/>
      <c r="D219" s="697" t="s">
        <v>968</v>
      </c>
      <c r="E219" s="162">
        <v>360</v>
      </c>
      <c r="F219" s="692"/>
      <c r="G219" s="693"/>
      <c r="H219" s="657"/>
      <c r="I219" s="657"/>
      <c r="J219" s="657"/>
      <c r="K219" s="657"/>
      <c r="L219" s="657"/>
      <c r="M219" s="657"/>
      <c r="N219" s="657"/>
    </row>
    <row r="220" spans="1:14" ht="15" customHeight="1">
      <c r="A220" s="657"/>
      <c r="B220" s="657"/>
      <c r="C220" s="657"/>
      <c r="D220" s="700" t="s">
        <v>843</v>
      </c>
      <c r="E220" s="162"/>
      <c r="F220" s="692">
        <f>SUM(F209:F213)</f>
        <v>0</v>
      </c>
      <c r="G220" s="693">
        <f>SUM(G209:G213)</f>
        <v>0</v>
      </c>
      <c r="H220" s="657"/>
      <c r="I220" s="657"/>
      <c r="J220" s="657"/>
      <c r="K220" s="657"/>
      <c r="L220" s="657"/>
      <c r="M220" s="657"/>
      <c r="N220" s="657"/>
    </row>
    <row r="221" spans="1:14" ht="15" customHeight="1">
      <c r="A221" s="657"/>
      <c r="B221" s="657"/>
      <c r="C221" s="657"/>
      <c r="D221" s="694" t="s">
        <v>969</v>
      </c>
      <c r="E221" s="124"/>
      <c r="F221" s="488">
        <f>F208+F220</f>
        <v>0</v>
      </c>
      <c r="G221" s="695">
        <f>G208+G220</f>
        <v>0</v>
      </c>
      <c r="H221" s="657"/>
      <c r="I221" s="657"/>
      <c r="J221" s="657"/>
      <c r="K221" s="657"/>
      <c r="L221" s="657"/>
      <c r="M221" s="657"/>
      <c r="N221" s="657"/>
    </row>
    <row r="222" spans="1:14" ht="15" customHeight="1">
      <c r="A222" s="657"/>
      <c r="B222" s="657"/>
      <c r="C222" s="657"/>
      <c r="D222" s="657"/>
      <c r="E222" s="657"/>
      <c r="F222" s="657"/>
      <c r="G222" s="657"/>
      <c r="H222" s="657"/>
      <c r="I222" s="657"/>
      <c r="J222" s="657"/>
      <c r="K222" s="657"/>
      <c r="L222" s="657"/>
      <c r="M222" s="657"/>
      <c r="N222" s="657"/>
    </row>
    <row r="223" spans="1:14" ht="15" customHeight="1">
      <c r="A223" s="657"/>
      <c r="B223" s="657"/>
      <c r="C223" s="657"/>
      <c r="D223" s="657"/>
      <c r="E223" s="657"/>
      <c r="F223" s="657"/>
      <c r="G223" s="657"/>
      <c r="H223" s="657"/>
      <c r="I223" s="657"/>
      <c r="J223" s="657"/>
      <c r="K223" s="657"/>
      <c r="L223" s="657"/>
      <c r="M223" s="657"/>
      <c r="N223" s="657"/>
    </row>
    <row r="224" spans="1:14" ht="15" customHeight="1">
      <c r="A224" s="657"/>
      <c r="B224" s="657"/>
      <c r="C224" s="657"/>
      <c r="D224" s="657"/>
      <c r="E224" s="657"/>
      <c r="F224" s="657"/>
      <c r="G224" s="657"/>
      <c r="H224" s="657"/>
      <c r="I224" s="657"/>
      <c r="J224" s="657"/>
      <c r="K224" s="657"/>
      <c r="L224" s="657"/>
      <c r="M224" s="657"/>
      <c r="N224" s="657"/>
    </row>
    <row r="225" spans="1:14" ht="15" customHeight="1">
      <c r="A225" s="657"/>
      <c r="B225" s="657"/>
      <c r="C225" s="657"/>
      <c r="D225" s="657"/>
      <c r="E225" s="657"/>
      <c r="F225" s="657"/>
      <c r="G225" s="657"/>
      <c r="H225" s="657"/>
      <c r="I225" s="657"/>
      <c r="J225" s="657"/>
      <c r="K225" s="657"/>
      <c r="L225" s="657"/>
      <c r="M225" s="657"/>
      <c r="N225" s="657"/>
    </row>
    <row r="226" spans="1:14" ht="15" customHeight="1">
      <c r="A226" s="657"/>
      <c r="B226" s="657"/>
      <c r="C226" s="657"/>
      <c r="D226" s="657"/>
      <c r="E226" s="657"/>
      <c r="F226" s="657"/>
      <c r="G226" s="657"/>
      <c r="H226" s="657"/>
      <c r="I226" s="657"/>
      <c r="J226" s="657"/>
      <c r="K226" s="657"/>
      <c r="L226" s="657"/>
      <c r="M226" s="657"/>
      <c r="N226" s="657"/>
    </row>
    <row r="227" spans="1:14" ht="15" customHeight="1">
      <c r="A227" s="657"/>
      <c r="B227" s="657"/>
      <c r="C227" s="657"/>
      <c r="D227" s="657"/>
      <c r="E227" s="657"/>
      <c r="F227" s="657"/>
      <c r="G227" s="657"/>
      <c r="H227" s="657"/>
      <c r="I227" s="657"/>
      <c r="J227" s="657"/>
      <c r="K227" s="657"/>
      <c r="L227" s="657"/>
      <c r="M227" s="657"/>
      <c r="N227" s="657"/>
    </row>
    <row r="228" spans="1:14" ht="15" customHeight="1">
      <c r="A228" s="657"/>
      <c r="B228" s="657"/>
      <c r="C228" s="657"/>
      <c r="D228" s="657"/>
      <c r="E228" s="657"/>
      <c r="F228" s="657"/>
      <c r="G228" s="657"/>
      <c r="H228" s="657"/>
      <c r="I228" s="657"/>
      <c r="J228" s="657"/>
      <c r="K228" s="657"/>
      <c r="L228" s="657"/>
      <c r="M228" s="657"/>
      <c r="N228" s="657"/>
    </row>
    <row r="229" spans="1:14" ht="15" customHeight="1">
      <c r="A229" s="657"/>
      <c r="B229" s="657"/>
      <c r="C229" s="657"/>
      <c r="D229" s="657"/>
      <c r="E229" s="657"/>
      <c r="F229" s="657"/>
      <c r="G229" s="657"/>
      <c r="H229" s="657"/>
      <c r="I229" s="657"/>
      <c r="J229" s="657"/>
      <c r="K229" s="657"/>
      <c r="L229" s="657"/>
      <c r="M229" s="657"/>
      <c r="N229" s="657"/>
    </row>
    <row r="230" spans="1:14" ht="15" customHeight="1">
      <c r="A230" s="657"/>
      <c r="B230" s="657"/>
      <c r="C230" s="657"/>
      <c r="D230" s="657"/>
      <c r="E230" s="657"/>
      <c r="F230" s="657"/>
      <c r="G230" s="657"/>
      <c r="H230" s="657"/>
      <c r="I230" s="657"/>
      <c r="J230" s="657"/>
      <c r="K230" s="657"/>
      <c r="L230" s="657"/>
      <c r="M230" s="657"/>
      <c r="N230" s="657"/>
    </row>
    <row r="231" spans="1:14" s="64" customFormat="1" ht="15" customHeight="1">
      <c r="A231" s="863" t="s">
        <v>240</v>
      </c>
      <c r="B231" s="863"/>
      <c r="C231" s="863" t="s">
        <v>765</v>
      </c>
      <c r="D231" s="863"/>
      <c r="E231" s="863" t="s">
        <v>764</v>
      </c>
      <c r="F231" s="863"/>
      <c r="G231" s="701" t="s">
        <v>66</v>
      </c>
      <c r="H231" s="863" t="s">
        <v>411</v>
      </c>
      <c r="I231" s="863"/>
      <c r="J231" s="863"/>
      <c r="K231" s="863" t="s">
        <v>68</v>
      </c>
      <c r="L231" s="863"/>
      <c r="M231" s="863"/>
      <c r="N231" s="657"/>
    </row>
  </sheetData>
  <mergeCells count="29">
    <mergeCell ref="K231:M231"/>
    <mergeCell ref="I206:J206"/>
    <mergeCell ref="I207:J207"/>
    <mergeCell ref="I208:J208"/>
    <mergeCell ref="A231:B231"/>
    <mergeCell ref="C231:D231"/>
    <mergeCell ref="E231:F231"/>
    <mergeCell ref="H231:J231"/>
    <mergeCell ref="D202:E202"/>
    <mergeCell ref="I202:J202"/>
    <mergeCell ref="I203:J203"/>
    <mergeCell ref="I204:J204"/>
    <mergeCell ref="B205:C205"/>
    <mergeCell ref="I205:J205"/>
    <mergeCell ref="D200:E200"/>
    <mergeCell ref="D201:E201"/>
    <mergeCell ref="I200:J200"/>
    <mergeCell ref="I201:J201"/>
    <mergeCell ref="K46:M46"/>
    <mergeCell ref="K59:M59"/>
    <mergeCell ref="K65:M65"/>
    <mergeCell ref="K118:M118"/>
    <mergeCell ref="K133:M133"/>
    <mergeCell ref="K149:M149"/>
    <mergeCell ref="A1:N1"/>
    <mergeCell ref="A2:N2"/>
    <mergeCell ref="A3:N3"/>
    <mergeCell ref="K4:M4"/>
    <mergeCell ref="K19:M19"/>
  </mergeCells>
  <pageMargins left="0.45" right="0.45" top="0.5" bottom="0.5" header="0.3" footer="0.3"/>
  <pageSetup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209"/>
  <sheetViews>
    <sheetView topLeftCell="A115" workbookViewId="0">
      <selection activeCell="B18" sqref="B18:F18"/>
    </sheetView>
  </sheetViews>
  <sheetFormatPr defaultRowHeight="15"/>
  <cols>
    <col min="1" max="1" width="10.140625" bestFit="1" customWidth="1"/>
    <col min="2" max="2" width="11.42578125" customWidth="1"/>
    <col min="3" max="3" width="11.85546875" customWidth="1"/>
    <col min="4" max="4" width="18.42578125" customWidth="1"/>
    <col min="5" max="5" width="12.7109375" bestFit="1" customWidth="1"/>
    <col min="6" max="6" width="10.5703125" bestFit="1" customWidth="1"/>
    <col min="7" max="7" width="23.85546875" customWidth="1"/>
    <col min="8" max="8" width="7.7109375" customWidth="1"/>
    <col min="9" max="9" width="10.5703125" bestFit="1" customWidth="1"/>
    <col min="10" max="10" width="9.5703125" bestFit="1" customWidth="1"/>
    <col min="11" max="11" width="11.5703125" bestFit="1" customWidth="1"/>
    <col min="12" max="12" width="9.42578125" customWidth="1"/>
    <col min="13" max="13" width="11.85546875" bestFit="1" customWidth="1"/>
    <col min="14" max="14" width="11.5703125" customWidth="1"/>
  </cols>
  <sheetData>
    <row r="1" spans="1:14" ht="21">
      <c r="A1" s="846" t="s">
        <v>146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324"/>
    </row>
    <row r="2" spans="1:14" s="28" customFormat="1" ht="12.95" customHeight="1">
      <c r="A2" s="827" t="s">
        <v>147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325"/>
    </row>
    <row r="3" spans="1:14" s="65" customFormat="1" ht="12.95" customHeight="1">
      <c r="A3" s="866" t="s">
        <v>148</v>
      </c>
      <c r="B3" s="866"/>
      <c r="C3" s="866"/>
      <c r="D3" s="866"/>
      <c r="E3" s="866"/>
      <c r="F3" s="866"/>
      <c r="G3" s="866"/>
      <c r="H3" s="866"/>
      <c r="I3" s="866"/>
      <c r="J3" s="866"/>
      <c r="K3" s="866"/>
      <c r="L3" s="866"/>
      <c r="M3" s="866"/>
      <c r="N3" s="326"/>
    </row>
    <row r="4" spans="1:14" s="28" customFormat="1" ht="12.95" customHeight="1">
      <c r="A4" s="106" t="s">
        <v>21</v>
      </c>
      <c r="B4" s="106"/>
      <c r="C4" s="106"/>
      <c r="D4" s="106"/>
      <c r="E4" s="106"/>
      <c r="F4" s="107"/>
      <c r="G4" s="107"/>
      <c r="H4" s="107"/>
      <c r="I4" s="107"/>
      <c r="J4" s="107"/>
      <c r="K4" s="867" t="s">
        <v>1199</v>
      </c>
      <c r="L4" s="867"/>
      <c r="M4" s="867"/>
      <c r="N4" s="107"/>
    </row>
    <row r="5" spans="1:14" s="28" customFormat="1" ht="12.95" customHeight="1">
      <c r="A5" s="603" t="s">
        <v>0</v>
      </c>
      <c r="B5" s="603" t="s">
        <v>7</v>
      </c>
      <c r="C5" s="603" t="s">
        <v>13</v>
      </c>
      <c r="D5" s="603" t="s">
        <v>14</v>
      </c>
      <c r="E5" s="603" t="s">
        <v>8</v>
      </c>
      <c r="F5" s="603" t="s">
        <v>1</v>
      </c>
      <c r="G5" s="603" t="s">
        <v>2</v>
      </c>
      <c r="H5" s="603" t="s">
        <v>15</v>
      </c>
      <c r="I5" s="603" t="s">
        <v>3</v>
      </c>
      <c r="J5" s="603" t="s">
        <v>4</v>
      </c>
      <c r="K5" s="603" t="s">
        <v>5</v>
      </c>
      <c r="L5" s="603" t="s">
        <v>12</v>
      </c>
      <c r="M5" s="603" t="s">
        <v>6</v>
      </c>
      <c r="N5" s="107"/>
    </row>
    <row r="6" spans="1:14" s="28" customFormat="1" ht="12.95" customHeight="1">
      <c r="A6" s="594">
        <v>1</v>
      </c>
      <c r="B6" s="594" t="s">
        <v>1149</v>
      </c>
      <c r="C6" s="594" t="s">
        <v>217</v>
      </c>
      <c r="D6" s="594" t="s">
        <v>514</v>
      </c>
      <c r="E6" s="594"/>
      <c r="F6" s="90">
        <f>4575*1.0936</f>
        <v>5003.2199999999993</v>
      </c>
      <c r="G6" s="594" t="s">
        <v>170</v>
      </c>
      <c r="H6" s="79"/>
      <c r="I6" s="80">
        <v>5</v>
      </c>
      <c r="J6" s="81">
        <v>227</v>
      </c>
      <c r="K6" s="81">
        <f t="shared" ref="K6:K7" si="0">I6*J6</f>
        <v>1135</v>
      </c>
      <c r="L6" s="79"/>
      <c r="M6" s="156" t="e">
        <f>I6+I10+I14+I18+I22+#REF!+#REF!+#REF!+#REF!</f>
        <v>#REF!</v>
      </c>
      <c r="N6" s="594" t="s">
        <v>173</v>
      </c>
    </row>
    <row r="7" spans="1:14" s="28" customFormat="1" ht="12.95" customHeight="1">
      <c r="A7" s="594"/>
      <c r="B7" s="594"/>
      <c r="C7" s="594"/>
      <c r="D7" s="594"/>
      <c r="E7" s="594"/>
      <c r="F7" s="87"/>
      <c r="G7" s="594" t="s">
        <v>171</v>
      </c>
      <c r="H7" s="79"/>
      <c r="I7" s="80">
        <v>3</v>
      </c>
      <c r="J7" s="81">
        <v>416</v>
      </c>
      <c r="K7" s="81">
        <f t="shared" si="0"/>
        <v>1248</v>
      </c>
      <c r="L7" s="79"/>
      <c r="M7" s="156" t="e">
        <f>I7+I11+I15+I19+I23+#REF!+#REF!+#REF!+#REF!+I31+I37+I43+I49+I55</f>
        <v>#REF!</v>
      </c>
      <c r="N7" s="594" t="s">
        <v>174</v>
      </c>
    </row>
    <row r="8" spans="1:14" s="28" customFormat="1" ht="12.95" customHeight="1">
      <c r="A8" s="594"/>
      <c r="B8" s="594"/>
      <c r="C8" s="594"/>
      <c r="D8" s="594"/>
      <c r="E8" s="594"/>
      <c r="F8" s="87"/>
      <c r="G8" s="594" t="s">
        <v>172</v>
      </c>
      <c r="H8" s="79"/>
      <c r="I8" s="80">
        <v>2</v>
      </c>
      <c r="J8" s="81">
        <v>165</v>
      </c>
      <c r="K8" s="81">
        <f>I8*J8</f>
        <v>330</v>
      </c>
      <c r="L8" s="79"/>
      <c r="M8" s="156" t="e">
        <f>I8+I12+I16+I20+I24+#REF!+#REF!+#REF!+#REF!+I32+I38+I44+I50+I56+#REF!</f>
        <v>#REF!</v>
      </c>
      <c r="N8" s="594" t="s">
        <v>172</v>
      </c>
    </row>
    <row r="9" spans="1:14" s="28" customFormat="1" ht="12.95" customHeight="1">
      <c r="A9" s="594"/>
      <c r="B9" s="594"/>
      <c r="C9" s="594"/>
      <c r="D9" s="594"/>
      <c r="E9" s="603" t="s">
        <v>9</v>
      </c>
      <c r="F9" s="108">
        <f>SUM(F6:F8)</f>
        <v>5003.2199999999993</v>
      </c>
      <c r="G9" s="603"/>
      <c r="H9" s="603"/>
      <c r="I9" s="80"/>
      <c r="J9" s="81"/>
      <c r="K9" s="103">
        <f>SUM(K6:K8)</f>
        <v>2713</v>
      </c>
      <c r="L9" s="103">
        <f>K9/F9</f>
        <v>0.54225079049092395</v>
      </c>
      <c r="M9" s="156" t="e">
        <f>I29+I35+I41+I47+I53+I68+#REF!+I71+I74+#REF!</f>
        <v>#REF!</v>
      </c>
      <c r="N9" s="594" t="s">
        <v>24</v>
      </c>
    </row>
    <row r="10" spans="1:14" s="28" customFormat="1" ht="12.95" customHeight="1">
      <c r="A10" s="594">
        <v>2</v>
      </c>
      <c r="B10" s="594" t="s">
        <v>1120</v>
      </c>
      <c r="C10" s="594" t="s">
        <v>121</v>
      </c>
      <c r="D10" s="594" t="s">
        <v>369</v>
      </c>
      <c r="E10" s="594"/>
      <c r="F10" s="87">
        <f>14998*1.0936</f>
        <v>16401.8128</v>
      </c>
      <c r="G10" s="594" t="s">
        <v>170</v>
      </c>
      <c r="H10" s="79"/>
      <c r="I10" s="80">
        <v>17.5</v>
      </c>
      <c r="J10" s="81">
        <v>227</v>
      </c>
      <c r="K10" s="81">
        <f t="shared" ref="K10:K11" si="1">I10*J10</f>
        <v>3972.5</v>
      </c>
      <c r="L10" s="79"/>
      <c r="M10" s="156" t="e">
        <f>I30+I36+I42+I48+I54+#REF!</f>
        <v>#REF!</v>
      </c>
      <c r="N10" s="594" t="s">
        <v>175</v>
      </c>
    </row>
    <row r="11" spans="1:14" s="28" customFormat="1" ht="12.95" customHeight="1">
      <c r="A11" s="594"/>
      <c r="B11" s="594"/>
      <c r="C11" s="594"/>
      <c r="D11" s="594"/>
      <c r="E11" s="594"/>
      <c r="F11" s="87"/>
      <c r="G11" s="594" t="s">
        <v>171</v>
      </c>
      <c r="H11" s="79"/>
      <c r="I11" s="80">
        <v>10.5</v>
      </c>
      <c r="J11" s="81">
        <v>416</v>
      </c>
      <c r="K11" s="81">
        <f t="shared" si="1"/>
        <v>4368</v>
      </c>
      <c r="L11" s="79"/>
      <c r="M11" s="156" t="e">
        <f>I33+I39+I45+I51+I57+#REF!</f>
        <v>#REF!</v>
      </c>
      <c r="N11" s="598" t="s">
        <v>176</v>
      </c>
    </row>
    <row r="12" spans="1:14" s="28" customFormat="1" ht="12.95" customHeight="1">
      <c r="A12" s="594"/>
      <c r="B12" s="594"/>
      <c r="C12" s="594"/>
      <c r="D12" s="594"/>
      <c r="E12" s="594"/>
      <c r="F12" s="87"/>
      <c r="G12" s="594" t="s">
        <v>172</v>
      </c>
      <c r="H12" s="79"/>
      <c r="I12" s="80">
        <v>10.5</v>
      </c>
      <c r="J12" s="81">
        <v>165</v>
      </c>
      <c r="K12" s="81">
        <f>I12*J12</f>
        <v>1732.5</v>
      </c>
      <c r="L12" s="79"/>
      <c r="M12" s="156" t="e">
        <f>I69+#REF!+I72+I75</f>
        <v>#REF!</v>
      </c>
      <c r="N12" s="430" t="s">
        <v>10</v>
      </c>
    </row>
    <row r="13" spans="1:14" s="28" customFormat="1" ht="12.95" customHeight="1">
      <c r="A13" s="594"/>
      <c r="B13" s="594"/>
      <c r="C13" s="594"/>
      <c r="D13" s="594"/>
      <c r="E13" s="603" t="s">
        <v>9</v>
      </c>
      <c r="F13" s="108">
        <f>SUM(F10:F12)</f>
        <v>16401.8128</v>
      </c>
      <c r="G13" s="603"/>
      <c r="H13" s="603"/>
      <c r="I13" s="80"/>
      <c r="J13" s="81"/>
      <c r="K13" s="103">
        <f>SUM(K10:K12)</f>
        <v>10073</v>
      </c>
      <c r="L13" s="103">
        <f>K13/F13</f>
        <v>0.61413943219739708</v>
      </c>
      <c r="M13" s="156"/>
      <c r="N13" s="227"/>
    </row>
    <row r="14" spans="1:14" s="28" customFormat="1" ht="12.95" customHeight="1">
      <c r="A14" s="594">
        <v>3</v>
      </c>
      <c r="B14" s="594" t="s">
        <v>866</v>
      </c>
      <c r="C14" s="594" t="s">
        <v>792</v>
      </c>
      <c r="D14" s="594" t="s">
        <v>1215</v>
      </c>
      <c r="E14" s="594"/>
      <c r="F14" s="90">
        <f>6308*1.0936</f>
        <v>6898.4287999999997</v>
      </c>
      <c r="G14" s="594" t="s">
        <v>170</v>
      </c>
      <c r="H14" s="79"/>
      <c r="I14" s="80">
        <v>10</v>
      </c>
      <c r="J14" s="81">
        <v>227</v>
      </c>
      <c r="K14" s="81">
        <f t="shared" ref="K14:K15" si="2">I14*J14</f>
        <v>2270</v>
      </c>
      <c r="L14" s="79"/>
      <c r="M14" s="79"/>
      <c r="N14" s="107"/>
    </row>
    <row r="15" spans="1:14" s="28" customFormat="1" ht="12.95" customHeight="1">
      <c r="A15" s="594"/>
      <c r="B15" s="594"/>
      <c r="C15" s="594"/>
      <c r="D15" s="594"/>
      <c r="E15" s="594"/>
      <c r="F15" s="87"/>
      <c r="G15" s="594" t="s">
        <v>171</v>
      </c>
      <c r="H15" s="79"/>
      <c r="I15" s="80">
        <v>5</v>
      </c>
      <c r="J15" s="81">
        <v>416</v>
      </c>
      <c r="K15" s="81">
        <f t="shared" si="2"/>
        <v>2080</v>
      </c>
      <c r="L15" s="79"/>
      <c r="M15" s="79"/>
      <c r="N15" s="107"/>
    </row>
    <row r="16" spans="1:14" s="28" customFormat="1" ht="12.95" customHeight="1">
      <c r="A16" s="594"/>
      <c r="B16" s="594"/>
      <c r="C16" s="594"/>
      <c r="D16" s="594"/>
      <c r="E16" s="594"/>
      <c r="F16" s="87"/>
      <c r="G16" s="594" t="s">
        <v>172</v>
      </c>
      <c r="H16" s="79"/>
      <c r="I16" s="80">
        <v>3</v>
      </c>
      <c r="J16" s="81">
        <v>165</v>
      </c>
      <c r="K16" s="81">
        <f>I16*J16</f>
        <v>495</v>
      </c>
      <c r="L16" s="79"/>
      <c r="M16" s="79"/>
      <c r="N16" s="107"/>
    </row>
    <row r="17" spans="1:14" s="28" customFormat="1" ht="12.95" customHeight="1">
      <c r="A17" s="594"/>
      <c r="B17" s="594"/>
      <c r="C17" s="594"/>
      <c r="D17" s="594"/>
      <c r="E17" s="603" t="s">
        <v>9</v>
      </c>
      <c r="F17" s="108">
        <f>SUM(F14:F16)</f>
        <v>6898.4287999999997</v>
      </c>
      <c r="G17" s="603"/>
      <c r="H17" s="603"/>
      <c r="I17" s="80"/>
      <c r="J17" s="81"/>
      <c r="K17" s="103">
        <f>SUM(K14:K16)</f>
        <v>4845</v>
      </c>
      <c r="L17" s="103">
        <f>K17/F17</f>
        <v>0.70233384158433299</v>
      </c>
      <c r="M17" s="79"/>
      <c r="N17" s="107"/>
    </row>
    <row r="18" spans="1:14" s="28" customFormat="1" ht="12.95" customHeight="1">
      <c r="A18" s="594">
        <v>4</v>
      </c>
      <c r="B18" s="594" t="s">
        <v>1077</v>
      </c>
      <c r="C18" s="89" t="s">
        <v>1150</v>
      </c>
      <c r="D18" s="89" t="s">
        <v>1151</v>
      </c>
      <c r="E18" s="594"/>
      <c r="F18" s="90">
        <f>6182*1.0936</f>
        <v>6760.6351999999997</v>
      </c>
      <c r="G18" s="594" t="s">
        <v>170</v>
      </c>
      <c r="H18" s="79"/>
      <c r="I18" s="80">
        <v>10</v>
      </c>
      <c r="J18" s="81">
        <v>227</v>
      </c>
      <c r="K18" s="81">
        <f t="shared" ref="K18:K19" si="3">I18*J18</f>
        <v>2270</v>
      </c>
      <c r="L18" s="79"/>
      <c r="M18" s="79"/>
      <c r="N18" s="107"/>
    </row>
    <row r="19" spans="1:14" s="28" customFormat="1" ht="12.95" customHeight="1">
      <c r="A19" s="594"/>
      <c r="B19" s="594"/>
      <c r="C19" s="594"/>
      <c r="D19" s="594"/>
      <c r="E19" s="594"/>
      <c r="F19" s="87"/>
      <c r="G19" s="594" t="s">
        <v>171</v>
      </c>
      <c r="H19" s="79"/>
      <c r="I19" s="80">
        <v>5</v>
      </c>
      <c r="J19" s="81">
        <v>416</v>
      </c>
      <c r="K19" s="81">
        <f t="shared" si="3"/>
        <v>2080</v>
      </c>
      <c r="L19" s="79"/>
      <c r="M19" s="79"/>
      <c r="N19" s="107"/>
    </row>
    <row r="20" spans="1:14" s="28" customFormat="1" ht="12.95" customHeight="1">
      <c r="A20" s="594"/>
      <c r="B20" s="594"/>
      <c r="C20" s="594"/>
      <c r="D20" s="594"/>
      <c r="E20" s="594"/>
      <c r="F20" s="87"/>
      <c r="G20" s="594" t="s">
        <v>172</v>
      </c>
      <c r="H20" s="79"/>
      <c r="I20" s="80">
        <v>3</v>
      </c>
      <c r="J20" s="81">
        <v>165</v>
      </c>
      <c r="K20" s="81">
        <f>I20*J20</f>
        <v>495</v>
      </c>
      <c r="L20" s="79"/>
      <c r="M20" s="79"/>
      <c r="N20" s="107"/>
    </row>
    <row r="21" spans="1:14" s="28" customFormat="1" ht="12.95" customHeight="1">
      <c r="A21" s="594"/>
      <c r="B21" s="594"/>
      <c r="C21" s="594"/>
      <c r="D21" s="594"/>
      <c r="E21" s="603" t="s">
        <v>9</v>
      </c>
      <c r="F21" s="108">
        <f>SUM(F18:F20)</f>
        <v>6760.6351999999997</v>
      </c>
      <c r="G21" s="603"/>
      <c r="H21" s="603"/>
      <c r="I21" s="80"/>
      <c r="J21" s="81"/>
      <c r="K21" s="103">
        <f>SUM(K18:K20)</f>
        <v>4845</v>
      </c>
      <c r="L21" s="103">
        <f>K21/F21</f>
        <v>0.71664863680264834</v>
      </c>
      <c r="M21" s="79"/>
      <c r="N21" s="107"/>
    </row>
    <row r="22" spans="1:14" s="28" customFormat="1" ht="12.95" customHeight="1">
      <c r="A22" s="594">
        <v>5</v>
      </c>
      <c r="B22" s="594" t="s">
        <v>269</v>
      </c>
      <c r="C22" s="594"/>
      <c r="D22" s="594"/>
      <c r="E22" s="594"/>
      <c r="F22" s="90">
        <f>302*1.0936</f>
        <v>330.26719999999995</v>
      </c>
      <c r="G22" s="594" t="s">
        <v>170</v>
      </c>
      <c r="H22" s="79"/>
      <c r="I22" s="80">
        <v>5</v>
      </c>
      <c r="J22" s="81">
        <v>227</v>
      </c>
      <c r="K22" s="81">
        <f t="shared" ref="K22:K23" si="4">I22*J22</f>
        <v>1135</v>
      </c>
      <c r="L22" s="79"/>
      <c r="M22" s="79"/>
      <c r="N22" s="107"/>
    </row>
    <row r="23" spans="1:14" s="28" customFormat="1" ht="12.95" customHeight="1">
      <c r="A23" s="594"/>
      <c r="B23" s="594" t="s">
        <v>1158</v>
      </c>
      <c r="C23" s="594" t="s">
        <v>1216</v>
      </c>
      <c r="D23" s="594" t="s">
        <v>1217</v>
      </c>
      <c r="E23" s="594"/>
      <c r="F23" s="90">
        <f>1500*1.0936</f>
        <v>1640.3999999999999</v>
      </c>
      <c r="G23" s="594" t="s">
        <v>171</v>
      </c>
      <c r="H23" s="79"/>
      <c r="I23" s="80">
        <v>3</v>
      </c>
      <c r="J23" s="81">
        <v>416</v>
      </c>
      <c r="K23" s="81">
        <f t="shared" si="4"/>
        <v>1248</v>
      </c>
      <c r="L23" s="79"/>
      <c r="M23" s="79"/>
      <c r="N23" s="107"/>
    </row>
    <row r="24" spans="1:14" s="28" customFormat="1" ht="12.95" customHeight="1">
      <c r="A24" s="594"/>
      <c r="B24" s="594"/>
      <c r="C24" s="594"/>
      <c r="D24" s="594"/>
      <c r="E24" s="594"/>
      <c r="F24" s="87"/>
      <c r="G24" s="594" t="s">
        <v>172</v>
      </c>
      <c r="H24" s="79"/>
      <c r="I24" s="80">
        <v>2</v>
      </c>
      <c r="J24" s="81">
        <v>165</v>
      </c>
      <c r="K24" s="81">
        <f>I24*J24</f>
        <v>330</v>
      </c>
      <c r="L24" s="79"/>
      <c r="M24" s="79"/>
      <c r="N24" s="107"/>
    </row>
    <row r="25" spans="1:14" s="28" customFormat="1" ht="12.95" customHeight="1">
      <c r="A25" s="594"/>
      <c r="B25" s="594"/>
      <c r="C25" s="594"/>
      <c r="D25" s="594"/>
      <c r="E25" s="603" t="s">
        <v>9</v>
      </c>
      <c r="F25" s="108">
        <f>SUM(F22:F24)</f>
        <v>1970.6671999999999</v>
      </c>
      <c r="G25" s="603"/>
      <c r="H25" s="603"/>
      <c r="I25" s="80"/>
      <c r="J25" s="81"/>
      <c r="K25" s="103">
        <f>SUM(K22:K24)</f>
        <v>2713</v>
      </c>
      <c r="L25" s="103">
        <f>K25/F25</f>
        <v>1.3766911023840049</v>
      </c>
      <c r="M25" s="79"/>
      <c r="N25" s="107"/>
    </row>
    <row r="26" spans="1:14" s="28" customFormat="1" ht="12.95" customHeight="1">
      <c r="A26" s="107"/>
      <c r="B26" s="107"/>
      <c r="C26" s="107"/>
      <c r="D26" s="133" t="s">
        <v>30</v>
      </c>
      <c r="E26" s="133"/>
      <c r="F26" s="134">
        <f>F9+F13+F17+F21+'20'!F25</f>
        <v>37034.763999999996</v>
      </c>
      <c r="G26" s="135"/>
      <c r="H26" s="135"/>
      <c r="I26" s="135"/>
      <c r="J26" s="135"/>
      <c r="K26" s="134">
        <f>K9+K13+K17+K21+K25</f>
        <v>25189</v>
      </c>
      <c r="L26" s="151">
        <f>K26/F26</f>
        <v>0.68014474184309648</v>
      </c>
      <c r="M26" s="107"/>
      <c r="N26" s="107"/>
    </row>
    <row r="27" spans="1:14" s="28" customFormat="1" ht="12.95" customHeight="1">
      <c r="A27" s="106" t="s">
        <v>23</v>
      </c>
      <c r="B27" s="106"/>
      <c r="C27" s="106"/>
      <c r="D27" s="106"/>
      <c r="E27" s="106"/>
      <c r="F27" s="107"/>
      <c r="G27" s="107"/>
      <c r="H27" s="107"/>
      <c r="I27" s="107"/>
      <c r="J27" s="107"/>
      <c r="K27" s="867" t="s">
        <v>1199</v>
      </c>
      <c r="L27" s="867"/>
      <c r="M27" s="867"/>
      <c r="N27" s="107"/>
    </row>
    <row r="28" spans="1:14" s="28" customFormat="1" ht="12.95" customHeight="1">
      <c r="A28" s="603" t="s">
        <v>0</v>
      </c>
      <c r="B28" s="603" t="s">
        <v>7</v>
      </c>
      <c r="C28" s="603" t="s">
        <v>13</v>
      </c>
      <c r="D28" s="603" t="s">
        <v>14</v>
      </c>
      <c r="E28" s="603" t="s">
        <v>8</v>
      </c>
      <c r="F28" s="603" t="s">
        <v>1</v>
      </c>
      <c r="G28" s="603" t="s">
        <v>2</v>
      </c>
      <c r="H28" s="603" t="s">
        <v>15</v>
      </c>
      <c r="I28" s="603" t="s">
        <v>3</v>
      </c>
      <c r="J28" s="603" t="s">
        <v>4</v>
      </c>
      <c r="K28" s="603" t="s">
        <v>5</v>
      </c>
      <c r="L28" s="603" t="s">
        <v>12</v>
      </c>
      <c r="M28" s="603" t="s">
        <v>6</v>
      </c>
      <c r="N28" s="107"/>
    </row>
    <row r="29" spans="1:14" s="28" customFormat="1" ht="12.95" customHeight="1">
      <c r="A29" s="594">
        <v>1</v>
      </c>
      <c r="B29" s="594" t="s">
        <v>1149</v>
      </c>
      <c r="C29" s="594" t="s">
        <v>217</v>
      </c>
      <c r="D29" s="594" t="s">
        <v>514</v>
      </c>
      <c r="E29" s="594"/>
      <c r="F29" s="90">
        <f>22020*1.0936</f>
        <v>24081.071999999996</v>
      </c>
      <c r="G29" s="594" t="s">
        <v>24</v>
      </c>
      <c r="H29" s="79"/>
      <c r="I29" s="80">
        <v>220</v>
      </c>
      <c r="J29" s="81">
        <v>74</v>
      </c>
      <c r="K29" s="81">
        <f t="shared" ref="K29:K31" si="5">I29*J29</f>
        <v>16280</v>
      </c>
      <c r="L29" s="79"/>
      <c r="M29" s="162"/>
      <c r="N29" s="107"/>
    </row>
    <row r="30" spans="1:14" s="28" customFormat="1" ht="12.95" customHeight="1">
      <c r="A30" s="594"/>
      <c r="B30" s="594"/>
      <c r="C30" s="594"/>
      <c r="D30" s="594"/>
      <c r="E30" s="594"/>
      <c r="F30" s="87"/>
      <c r="G30" s="88" t="s">
        <v>18</v>
      </c>
      <c r="H30" s="79"/>
      <c r="I30" s="80">
        <v>75</v>
      </c>
      <c r="J30" s="81">
        <v>46</v>
      </c>
      <c r="K30" s="81">
        <f t="shared" si="5"/>
        <v>3450</v>
      </c>
      <c r="L30" s="79"/>
      <c r="M30" s="79"/>
      <c r="N30" s="107"/>
    </row>
    <row r="31" spans="1:14" s="28" customFormat="1" ht="12.95" customHeight="1">
      <c r="A31" s="594"/>
      <c r="B31" s="594"/>
      <c r="C31" s="594"/>
      <c r="D31" s="594"/>
      <c r="E31" s="594"/>
      <c r="F31" s="87"/>
      <c r="G31" s="594" t="s">
        <v>171</v>
      </c>
      <c r="H31" s="79"/>
      <c r="I31" s="80">
        <v>60</v>
      </c>
      <c r="J31" s="81">
        <v>416</v>
      </c>
      <c r="K31" s="81">
        <f t="shared" si="5"/>
        <v>24960</v>
      </c>
      <c r="L31" s="79"/>
      <c r="M31" s="79"/>
      <c r="N31" s="107"/>
    </row>
    <row r="32" spans="1:14" s="28" customFormat="1" ht="12.95" customHeight="1">
      <c r="A32" s="594"/>
      <c r="B32" s="594"/>
      <c r="C32" s="594"/>
      <c r="D32" s="594"/>
      <c r="E32" s="594"/>
      <c r="F32" s="87"/>
      <c r="G32" s="594" t="s">
        <v>172</v>
      </c>
      <c r="H32" s="79"/>
      <c r="I32" s="80">
        <v>45</v>
      </c>
      <c r="J32" s="81">
        <v>165</v>
      </c>
      <c r="K32" s="81">
        <f>I32*J32</f>
        <v>7425</v>
      </c>
      <c r="L32" s="79"/>
      <c r="M32" s="79"/>
      <c r="N32" s="107"/>
    </row>
    <row r="33" spans="1:14" s="28" customFormat="1" ht="12.95" customHeight="1">
      <c r="A33" s="594"/>
      <c r="B33" s="594"/>
      <c r="C33" s="594"/>
      <c r="D33" s="594"/>
      <c r="E33" s="594"/>
      <c r="F33" s="87"/>
      <c r="G33" s="598" t="s">
        <v>181</v>
      </c>
      <c r="H33" s="79"/>
      <c r="I33" s="80">
        <v>30</v>
      </c>
      <c r="J33" s="81">
        <v>165</v>
      </c>
      <c r="K33" s="81">
        <f t="shared" ref="K33" si="6">I33*J33</f>
        <v>4950</v>
      </c>
      <c r="L33" s="79"/>
      <c r="M33" s="79"/>
      <c r="N33" s="107"/>
    </row>
    <row r="34" spans="1:14" s="28" customFormat="1" ht="12.95" customHeight="1">
      <c r="A34" s="594"/>
      <c r="B34" s="594"/>
      <c r="C34" s="594"/>
      <c r="D34" s="594"/>
      <c r="E34" s="603" t="s">
        <v>9</v>
      </c>
      <c r="F34" s="108">
        <f>SUM(F29:F33)</f>
        <v>24081.071999999996</v>
      </c>
      <c r="G34" s="603"/>
      <c r="H34" s="603"/>
      <c r="I34" s="80"/>
      <c r="J34" s="81"/>
      <c r="K34" s="103">
        <f>SUM(K29:K33)</f>
        <v>57065</v>
      </c>
      <c r="L34" s="103">
        <f>K34/F34</f>
        <v>2.3697034749948012</v>
      </c>
      <c r="M34" s="79"/>
      <c r="N34" s="107"/>
    </row>
    <row r="35" spans="1:14" s="28" customFormat="1" ht="12.95" customHeight="1">
      <c r="A35" s="594">
        <v>2</v>
      </c>
      <c r="B35" s="594" t="s">
        <v>1149</v>
      </c>
      <c r="C35" s="594" t="s">
        <v>217</v>
      </c>
      <c r="D35" s="594" t="s">
        <v>514</v>
      </c>
      <c r="E35" s="594"/>
      <c r="F35" s="90">
        <f>21460*1.0936</f>
        <v>23468.655999999999</v>
      </c>
      <c r="G35" s="594" t="s">
        <v>24</v>
      </c>
      <c r="H35" s="79"/>
      <c r="I35" s="80">
        <f>184+29</f>
        <v>213</v>
      </c>
      <c r="J35" s="81">
        <v>74</v>
      </c>
      <c r="K35" s="81">
        <f t="shared" ref="K35:K37" si="7">I35*J35</f>
        <v>15762</v>
      </c>
      <c r="L35" s="79"/>
      <c r="M35" s="79"/>
      <c r="N35" s="107"/>
    </row>
    <row r="36" spans="1:14" s="28" customFormat="1" ht="12.95" customHeight="1">
      <c r="A36" s="594"/>
      <c r="B36" s="594"/>
      <c r="C36" s="594"/>
      <c r="D36" s="594"/>
      <c r="E36" s="594"/>
      <c r="F36" s="87"/>
      <c r="G36" s="88" t="s">
        <v>18</v>
      </c>
      <c r="H36" s="79"/>
      <c r="I36" s="80">
        <v>55</v>
      </c>
      <c r="J36" s="81">
        <v>46</v>
      </c>
      <c r="K36" s="81">
        <f t="shared" si="7"/>
        <v>2530</v>
      </c>
      <c r="L36" s="79"/>
      <c r="M36" s="79"/>
      <c r="N36" s="107"/>
    </row>
    <row r="37" spans="1:14" s="28" customFormat="1" ht="12.95" customHeight="1">
      <c r="A37" s="594"/>
      <c r="B37" s="594"/>
      <c r="C37" s="594"/>
      <c r="D37" s="594"/>
      <c r="E37" s="594"/>
      <c r="F37" s="87"/>
      <c r="G37" s="594" t="s">
        <v>171</v>
      </c>
      <c r="H37" s="79"/>
      <c r="I37" s="80">
        <v>70</v>
      </c>
      <c r="J37" s="81">
        <v>416</v>
      </c>
      <c r="K37" s="81">
        <f t="shared" si="7"/>
        <v>29120</v>
      </c>
      <c r="L37" s="79"/>
      <c r="M37" s="79"/>
      <c r="N37" s="107"/>
    </row>
    <row r="38" spans="1:14" s="28" customFormat="1" ht="12.95" customHeight="1">
      <c r="A38" s="594"/>
      <c r="B38" s="594"/>
      <c r="C38" s="594"/>
      <c r="D38" s="594"/>
      <c r="E38" s="594"/>
      <c r="F38" s="87"/>
      <c r="G38" s="594" t="s">
        <v>172</v>
      </c>
      <c r="H38" s="79"/>
      <c r="I38" s="80">
        <v>42</v>
      </c>
      <c r="J38" s="81">
        <v>165</v>
      </c>
      <c r="K38" s="81">
        <f>I38*J38</f>
        <v>6930</v>
      </c>
      <c r="L38" s="79"/>
      <c r="M38" s="79"/>
      <c r="N38" s="107"/>
    </row>
    <row r="39" spans="1:14" s="28" customFormat="1" ht="12.95" customHeight="1">
      <c r="A39" s="594"/>
      <c r="B39" s="594"/>
      <c r="C39" s="594"/>
      <c r="D39" s="594"/>
      <c r="E39" s="594"/>
      <c r="F39" s="87"/>
      <c r="G39" s="598" t="s">
        <v>181</v>
      </c>
      <c r="H39" s="79"/>
      <c r="I39" s="80">
        <v>24</v>
      </c>
      <c r="J39" s="81">
        <v>165</v>
      </c>
      <c r="K39" s="81">
        <f t="shared" ref="K39" si="8">I39*J39</f>
        <v>3960</v>
      </c>
      <c r="L39" s="79"/>
      <c r="M39" s="79"/>
      <c r="N39" s="107"/>
    </row>
    <row r="40" spans="1:14" s="28" customFormat="1" ht="12.95" customHeight="1">
      <c r="A40" s="594"/>
      <c r="B40" s="594"/>
      <c r="C40" s="594"/>
      <c r="D40" s="594"/>
      <c r="E40" s="603" t="s">
        <v>9</v>
      </c>
      <c r="F40" s="108">
        <f>SUM(F35:F39)</f>
        <v>23468.655999999999</v>
      </c>
      <c r="G40" s="603"/>
      <c r="H40" s="603"/>
      <c r="I40" s="80"/>
      <c r="J40" s="81"/>
      <c r="K40" s="103">
        <f>SUM(K35:K39)</f>
        <v>58302</v>
      </c>
      <c r="L40" s="103">
        <f>K40/F40</f>
        <v>2.4842496306563104</v>
      </c>
      <c r="M40" s="79"/>
      <c r="N40" s="107"/>
    </row>
    <row r="41" spans="1:14" s="28" customFormat="1" ht="12.95" customHeight="1">
      <c r="A41" s="594">
        <v>3</v>
      </c>
      <c r="B41" s="594" t="s">
        <v>1120</v>
      </c>
      <c r="C41" s="594" t="s">
        <v>121</v>
      </c>
      <c r="D41" s="594" t="s">
        <v>369</v>
      </c>
      <c r="E41" s="594"/>
      <c r="F41" s="87">
        <f>15950*1.0936</f>
        <v>17442.919999999998</v>
      </c>
      <c r="G41" s="594" t="s">
        <v>24</v>
      </c>
      <c r="H41" s="79"/>
      <c r="I41" s="80">
        <v>200</v>
      </c>
      <c r="J41" s="81">
        <v>74</v>
      </c>
      <c r="K41" s="81">
        <f t="shared" ref="K41:K43" si="9">I41*J41</f>
        <v>14800</v>
      </c>
      <c r="L41" s="79"/>
      <c r="M41" s="79"/>
      <c r="N41" s="107"/>
    </row>
    <row r="42" spans="1:14" s="28" customFormat="1" ht="12.95" customHeight="1">
      <c r="A42" s="594"/>
      <c r="B42" s="594"/>
      <c r="C42" s="594"/>
      <c r="D42" s="594"/>
      <c r="E42" s="594"/>
      <c r="F42" s="87"/>
      <c r="G42" s="88" t="s">
        <v>18</v>
      </c>
      <c r="H42" s="79"/>
      <c r="I42" s="80">
        <v>60</v>
      </c>
      <c r="J42" s="81">
        <v>46</v>
      </c>
      <c r="K42" s="81">
        <f t="shared" si="9"/>
        <v>2760</v>
      </c>
      <c r="L42" s="79"/>
      <c r="M42" s="79"/>
      <c r="N42" s="107"/>
    </row>
    <row r="43" spans="1:14" s="28" customFormat="1" ht="12.95" customHeight="1">
      <c r="A43" s="594"/>
      <c r="B43" s="594"/>
      <c r="C43" s="594"/>
      <c r="D43" s="594"/>
      <c r="E43" s="594"/>
      <c r="F43" s="87"/>
      <c r="G43" s="594" t="s">
        <v>171</v>
      </c>
      <c r="H43" s="79"/>
      <c r="I43" s="80">
        <v>30</v>
      </c>
      <c r="J43" s="81">
        <v>416</v>
      </c>
      <c r="K43" s="81">
        <f t="shared" si="9"/>
        <v>12480</v>
      </c>
      <c r="L43" s="79"/>
      <c r="M43" s="79"/>
      <c r="N43" s="107"/>
    </row>
    <row r="44" spans="1:14" s="28" customFormat="1" ht="12.95" customHeight="1">
      <c r="A44" s="594"/>
      <c r="B44" s="594"/>
      <c r="C44" s="594"/>
      <c r="D44" s="594"/>
      <c r="E44" s="594"/>
      <c r="F44" s="87"/>
      <c r="G44" s="594" t="s">
        <v>172</v>
      </c>
      <c r="H44" s="79"/>
      <c r="I44" s="80">
        <v>20</v>
      </c>
      <c r="J44" s="81">
        <v>165</v>
      </c>
      <c r="K44" s="81">
        <f>I44*J44</f>
        <v>3300</v>
      </c>
      <c r="L44" s="79"/>
      <c r="M44" s="79"/>
      <c r="N44" s="107"/>
    </row>
    <row r="45" spans="1:14" s="28" customFormat="1" ht="12.95" customHeight="1">
      <c r="A45" s="594"/>
      <c r="B45" s="594"/>
      <c r="C45" s="594"/>
      <c r="D45" s="594"/>
      <c r="E45" s="594"/>
      <c r="F45" s="87"/>
      <c r="G45" s="598" t="s">
        <v>181</v>
      </c>
      <c r="H45" s="79"/>
      <c r="I45" s="80">
        <v>30</v>
      </c>
      <c r="J45" s="81">
        <v>165</v>
      </c>
      <c r="K45" s="81">
        <f t="shared" ref="K45" si="10">I45*J45</f>
        <v>4950</v>
      </c>
      <c r="L45" s="79"/>
      <c r="M45" s="79"/>
      <c r="N45" s="107"/>
    </row>
    <row r="46" spans="1:14" s="28" customFormat="1" ht="12.95" customHeight="1">
      <c r="A46" s="594"/>
      <c r="B46" s="594"/>
      <c r="C46" s="594"/>
      <c r="D46" s="594"/>
      <c r="E46" s="603" t="s">
        <v>9</v>
      </c>
      <c r="F46" s="108">
        <f>SUM(F41:F45)</f>
        <v>17442.919999999998</v>
      </c>
      <c r="G46" s="603"/>
      <c r="H46" s="603"/>
      <c r="I46" s="80"/>
      <c r="J46" s="81"/>
      <c r="K46" s="103">
        <f>SUM(K41:K45)</f>
        <v>38290</v>
      </c>
      <c r="L46" s="103">
        <f>K46/F46</f>
        <v>2.1951599846814642</v>
      </c>
      <c r="M46" s="79"/>
      <c r="N46" s="107"/>
    </row>
    <row r="47" spans="1:14" s="28" customFormat="1" ht="12.95" customHeight="1">
      <c r="A47" s="594">
        <v>4</v>
      </c>
      <c r="B47" s="594" t="s">
        <v>1077</v>
      </c>
      <c r="C47" s="89" t="s">
        <v>1150</v>
      </c>
      <c r="D47" s="89" t="s">
        <v>1151</v>
      </c>
      <c r="E47" s="594"/>
      <c r="F47" s="90">
        <f>6700*1.0936</f>
        <v>7327.119999999999</v>
      </c>
      <c r="G47" s="594" t="s">
        <v>24</v>
      </c>
      <c r="H47" s="79"/>
      <c r="I47" s="80">
        <v>60</v>
      </c>
      <c r="J47" s="81">
        <v>74</v>
      </c>
      <c r="K47" s="81">
        <f t="shared" ref="K47:K49" si="11">I47*J47</f>
        <v>4440</v>
      </c>
      <c r="L47" s="79"/>
      <c r="M47" s="79"/>
      <c r="N47" s="107"/>
    </row>
    <row r="48" spans="1:14" s="28" customFormat="1" ht="12.95" customHeight="1">
      <c r="A48" s="594"/>
      <c r="B48" s="594"/>
      <c r="C48" s="594"/>
      <c r="D48" s="594"/>
      <c r="E48" s="594"/>
      <c r="F48" s="87"/>
      <c r="G48" s="88" t="s">
        <v>18</v>
      </c>
      <c r="H48" s="79"/>
      <c r="I48" s="80">
        <v>30</v>
      </c>
      <c r="J48" s="81">
        <v>46</v>
      </c>
      <c r="K48" s="81">
        <f t="shared" si="11"/>
        <v>1380</v>
      </c>
      <c r="L48" s="79"/>
      <c r="M48" s="79"/>
      <c r="N48" s="107"/>
    </row>
    <row r="49" spans="1:14" s="28" customFormat="1" ht="12.95" customHeight="1">
      <c r="A49" s="594"/>
      <c r="B49" s="594"/>
      <c r="C49" s="594"/>
      <c r="D49" s="594"/>
      <c r="E49" s="594"/>
      <c r="F49" s="87"/>
      <c r="G49" s="594" t="s">
        <v>171</v>
      </c>
      <c r="H49" s="79"/>
      <c r="I49" s="80">
        <v>15</v>
      </c>
      <c r="J49" s="81">
        <v>416</v>
      </c>
      <c r="K49" s="81">
        <f t="shared" si="11"/>
        <v>6240</v>
      </c>
      <c r="L49" s="79"/>
      <c r="M49" s="79"/>
      <c r="N49" s="107"/>
    </row>
    <row r="50" spans="1:14" s="28" customFormat="1" ht="12.95" customHeight="1">
      <c r="A50" s="594"/>
      <c r="B50" s="594"/>
      <c r="C50" s="594"/>
      <c r="D50" s="594"/>
      <c r="E50" s="594"/>
      <c r="F50" s="87"/>
      <c r="G50" s="594" t="s">
        <v>172</v>
      </c>
      <c r="H50" s="79"/>
      <c r="I50" s="80">
        <v>12</v>
      </c>
      <c r="J50" s="81">
        <v>165</v>
      </c>
      <c r="K50" s="81">
        <f>I50*J50</f>
        <v>1980</v>
      </c>
      <c r="L50" s="79"/>
      <c r="M50" s="79"/>
      <c r="N50" s="107"/>
    </row>
    <row r="51" spans="1:14" s="28" customFormat="1" ht="12.95" customHeight="1">
      <c r="A51" s="594"/>
      <c r="B51" s="594"/>
      <c r="C51" s="594"/>
      <c r="D51" s="594"/>
      <c r="E51" s="594"/>
      <c r="F51" s="87"/>
      <c r="G51" s="598" t="s">
        <v>181</v>
      </c>
      <c r="H51" s="79"/>
      <c r="I51" s="80">
        <v>15</v>
      </c>
      <c r="J51" s="81">
        <v>165</v>
      </c>
      <c r="K51" s="81">
        <f t="shared" ref="K51" si="12">I51*J51</f>
        <v>2475</v>
      </c>
      <c r="L51" s="79"/>
      <c r="M51" s="79"/>
      <c r="N51" s="107"/>
    </row>
    <row r="52" spans="1:14" s="28" customFormat="1" ht="12.95" customHeight="1">
      <c r="A52" s="594"/>
      <c r="B52" s="594"/>
      <c r="C52" s="594"/>
      <c r="D52" s="594"/>
      <c r="E52" s="603" t="s">
        <v>9</v>
      </c>
      <c r="F52" s="108">
        <f>SUM(F47:F51)</f>
        <v>7327.119999999999</v>
      </c>
      <c r="G52" s="603"/>
      <c r="H52" s="603"/>
      <c r="I52" s="80"/>
      <c r="J52" s="81"/>
      <c r="K52" s="103">
        <f>SUM(K47:K51)</f>
        <v>16515</v>
      </c>
      <c r="L52" s="103">
        <f>K52/F52</f>
        <v>2.2539551692888886</v>
      </c>
      <c r="M52" s="79"/>
      <c r="N52" s="107"/>
    </row>
    <row r="53" spans="1:14" s="28" customFormat="1" ht="12.95" customHeight="1">
      <c r="A53" s="594">
        <v>5</v>
      </c>
      <c r="B53" s="594" t="s">
        <v>866</v>
      </c>
      <c r="C53" s="594" t="s">
        <v>792</v>
      </c>
      <c r="D53" s="594" t="s">
        <v>1215</v>
      </c>
      <c r="E53" s="594"/>
      <c r="F53" s="90">
        <f>6680*1.0936</f>
        <v>7305.2479999999996</v>
      </c>
      <c r="G53" s="594" t="s">
        <v>24</v>
      </c>
      <c r="H53" s="79"/>
      <c r="I53" s="80">
        <v>53</v>
      </c>
      <c r="J53" s="81">
        <v>74</v>
      </c>
      <c r="K53" s="81">
        <f t="shared" ref="K53:K55" si="13">I53*J53</f>
        <v>3922</v>
      </c>
      <c r="L53" s="79"/>
      <c r="M53" s="79"/>
      <c r="N53" s="107"/>
    </row>
    <row r="54" spans="1:14" s="28" customFormat="1" ht="12.95" customHeight="1">
      <c r="A54" s="594"/>
      <c r="B54" s="594"/>
      <c r="C54" s="594"/>
      <c r="D54" s="594"/>
      <c r="E54" s="594"/>
      <c r="F54" s="87"/>
      <c r="G54" s="88" t="s">
        <v>18</v>
      </c>
      <c r="H54" s="79"/>
      <c r="I54" s="80">
        <v>45</v>
      </c>
      <c r="J54" s="81">
        <v>46</v>
      </c>
      <c r="K54" s="81">
        <f t="shared" si="13"/>
        <v>2070</v>
      </c>
      <c r="L54" s="79"/>
      <c r="M54" s="79"/>
      <c r="N54" s="107"/>
    </row>
    <row r="55" spans="1:14" s="28" customFormat="1" ht="12.95" customHeight="1">
      <c r="A55" s="594"/>
      <c r="B55" s="594"/>
      <c r="C55" s="594"/>
      <c r="D55" s="594"/>
      <c r="E55" s="594"/>
      <c r="F55" s="87"/>
      <c r="G55" s="594" t="s">
        <v>171</v>
      </c>
      <c r="H55" s="79"/>
      <c r="I55" s="80">
        <v>20</v>
      </c>
      <c r="J55" s="81">
        <v>416</v>
      </c>
      <c r="K55" s="81">
        <f t="shared" si="13"/>
        <v>8320</v>
      </c>
      <c r="L55" s="79"/>
      <c r="M55" s="79"/>
      <c r="N55" s="107"/>
    </row>
    <row r="56" spans="1:14" s="28" customFormat="1" ht="12.95" customHeight="1">
      <c r="A56" s="594"/>
      <c r="B56" s="594"/>
      <c r="C56" s="594"/>
      <c r="D56" s="594"/>
      <c r="E56" s="594"/>
      <c r="F56" s="87"/>
      <c r="G56" s="594" t="s">
        <v>172</v>
      </c>
      <c r="H56" s="79"/>
      <c r="I56" s="80">
        <v>14</v>
      </c>
      <c r="J56" s="81">
        <v>165</v>
      </c>
      <c r="K56" s="81">
        <f>I56*J56</f>
        <v>2310</v>
      </c>
      <c r="L56" s="79"/>
      <c r="M56" s="79"/>
      <c r="N56" s="107"/>
    </row>
    <row r="57" spans="1:14" s="28" customFormat="1" ht="12.95" customHeight="1">
      <c r="A57" s="594"/>
      <c r="B57" s="594"/>
      <c r="C57" s="594"/>
      <c r="D57" s="594"/>
      <c r="E57" s="594"/>
      <c r="F57" s="87"/>
      <c r="G57" s="598" t="s">
        <v>181</v>
      </c>
      <c r="H57" s="79"/>
      <c r="I57" s="80">
        <v>14</v>
      </c>
      <c r="J57" s="81">
        <v>165</v>
      </c>
      <c r="K57" s="81">
        <f t="shared" ref="K57" si="14">I57*J57</f>
        <v>2310</v>
      </c>
      <c r="L57" s="79"/>
      <c r="M57" s="79"/>
      <c r="N57" s="107"/>
    </row>
    <row r="58" spans="1:14" s="28" customFormat="1" ht="12.95" customHeight="1">
      <c r="A58" s="594"/>
      <c r="B58" s="594"/>
      <c r="C58" s="594"/>
      <c r="D58" s="594"/>
      <c r="E58" s="603" t="s">
        <v>9</v>
      </c>
      <c r="F58" s="108">
        <f>SUM(F53:F57)</f>
        <v>7305.2479999999996</v>
      </c>
      <c r="G58" s="603"/>
      <c r="H58" s="603"/>
      <c r="I58" s="80"/>
      <c r="J58" s="81"/>
      <c r="K58" s="103">
        <f>SUM(K53:K57)</f>
        <v>18932</v>
      </c>
      <c r="L58" s="103">
        <f>K58/F58</f>
        <v>2.5915615732689705</v>
      </c>
      <c r="M58" s="79"/>
      <c r="N58" s="107"/>
    </row>
    <row r="59" spans="1:14" s="28" customFormat="1" ht="12.95" customHeight="1">
      <c r="A59" s="594">
        <v>6</v>
      </c>
      <c r="B59" s="594" t="s">
        <v>1158</v>
      </c>
      <c r="C59" s="594" t="s">
        <v>1216</v>
      </c>
      <c r="D59" s="594" t="s">
        <v>1217</v>
      </c>
      <c r="E59" s="594"/>
      <c r="F59" s="90">
        <f>1500*1.0936</f>
        <v>1640.3999999999999</v>
      </c>
      <c r="G59" s="594" t="s">
        <v>24</v>
      </c>
      <c r="H59" s="79"/>
      <c r="I59" s="80">
        <v>20</v>
      </c>
      <c r="J59" s="81">
        <v>74</v>
      </c>
      <c r="K59" s="81">
        <f t="shared" ref="K59:K61" si="15">I59*J59</f>
        <v>1480</v>
      </c>
      <c r="L59" s="79"/>
      <c r="M59" s="79"/>
      <c r="N59" s="107"/>
    </row>
    <row r="60" spans="1:14" s="28" customFormat="1" ht="12.95" customHeight="1">
      <c r="A60" s="594"/>
      <c r="B60" s="594" t="s">
        <v>269</v>
      </c>
      <c r="C60" s="594"/>
      <c r="D60" s="594"/>
      <c r="E60" s="594"/>
      <c r="F60" s="90">
        <f>337*1.0936</f>
        <v>368.54319999999996</v>
      </c>
      <c r="G60" s="88" t="s">
        <v>18</v>
      </c>
      <c r="H60" s="79"/>
      <c r="I60" s="80">
        <v>10</v>
      </c>
      <c r="J60" s="81">
        <v>46</v>
      </c>
      <c r="K60" s="81">
        <f t="shared" si="15"/>
        <v>460</v>
      </c>
      <c r="L60" s="79"/>
      <c r="M60" s="79"/>
      <c r="N60" s="107"/>
    </row>
    <row r="61" spans="1:14" s="28" customFormat="1" ht="12.95" customHeight="1">
      <c r="A61" s="594"/>
      <c r="B61" s="594"/>
      <c r="C61" s="594"/>
      <c r="D61" s="594"/>
      <c r="E61" s="594"/>
      <c r="F61" s="87"/>
      <c r="G61" s="594" t="s">
        <v>171</v>
      </c>
      <c r="H61" s="79"/>
      <c r="I61" s="80">
        <v>6</v>
      </c>
      <c r="J61" s="81">
        <v>416</v>
      </c>
      <c r="K61" s="81">
        <f t="shared" si="15"/>
        <v>2496</v>
      </c>
      <c r="L61" s="79"/>
      <c r="M61" s="79"/>
      <c r="N61" s="107"/>
    </row>
    <row r="62" spans="1:14" s="28" customFormat="1" ht="12.95" customHeight="1">
      <c r="A62" s="594"/>
      <c r="B62" s="594"/>
      <c r="C62" s="594"/>
      <c r="D62" s="594"/>
      <c r="E62" s="594"/>
      <c r="F62" s="87"/>
      <c r="G62" s="594" t="s">
        <v>172</v>
      </c>
      <c r="H62" s="79"/>
      <c r="I62" s="80">
        <v>4</v>
      </c>
      <c r="J62" s="81">
        <v>165</v>
      </c>
      <c r="K62" s="81">
        <f>I62*J62</f>
        <v>660</v>
      </c>
      <c r="L62" s="79"/>
      <c r="M62" s="79"/>
      <c r="N62" s="107"/>
    </row>
    <row r="63" spans="1:14" s="28" customFormat="1" ht="12.95" customHeight="1">
      <c r="A63" s="594"/>
      <c r="B63" s="594"/>
      <c r="C63" s="594"/>
      <c r="D63" s="594"/>
      <c r="E63" s="594"/>
      <c r="F63" s="87"/>
      <c r="G63" s="598" t="s">
        <v>181</v>
      </c>
      <c r="H63" s="79"/>
      <c r="I63" s="80">
        <v>6</v>
      </c>
      <c r="J63" s="81">
        <v>165</v>
      </c>
      <c r="K63" s="81">
        <f t="shared" ref="K63" si="16">I63*J63</f>
        <v>990</v>
      </c>
      <c r="L63" s="79"/>
      <c r="M63" s="79"/>
      <c r="N63" s="107"/>
    </row>
    <row r="64" spans="1:14" s="28" customFormat="1" ht="12.95" customHeight="1">
      <c r="A64" s="594"/>
      <c r="B64" s="594"/>
      <c r="C64" s="594"/>
      <c r="D64" s="594"/>
      <c r="E64" s="603" t="s">
        <v>9</v>
      </c>
      <c r="F64" s="108">
        <f>SUM(F59:F63)</f>
        <v>2008.9431999999997</v>
      </c>
      <c r="G64" s="603"/>
      <c r="H64" s="603"/>
      <c r="I64" s="80"/>
      <c r="J64" s="81"/>
      <c r="K64" s="103">
        <f>SUM(K59:K63)</f>
        <v>6086</v>
      </c>
      <c r="L64" s="103">
        <f>K64/F64</f>
        <v>3.0294534957484118</v>
      </c>
      <c r="M64" s="79"/>
      <c r="N64" s="107"/>
    </row>
    <row r="65" spans="1:14" s="28" customFormat="1" ht="12.95" customHeight="1">
      <c r="A65" s="137"/>
      <c r="B65" s="137"/>
      <c r="C65" s="137"/>
      <c r="D65" s="603" t="s">
        <v>30</v>
      </c>
      <c r="E65" s="603"/>
      <c r="F65" s="134">
        <f>F34+F40+F46+F52+F58+F64</f>
        <v>81633.959199999998</v>
      </c>
      <c r="G65" s="195"/>
      <c r="H65" s="195"/>
      <c r="I65" s="195"/>
      <c r="J65" s="195"/>
      <c r="K65" s="134">
        <f>K34+K40+K46+K52+K58+K64</f>
        <v>195190</v>
      </c>
      <c r="L65" s="151">
        <f>K65/F65</f>
        <v>2.391039242893906</v>
      </c>
      <c r="M65" s="79"/>
      <c r="N65" s="107"/>
    </row>
    <row r="66" spans="1:14" s="28" customFormat="1" ht="12.95" customHeight="1">
      <c r="A66" s="106" t="s">
        <v>22</v>
      </c>
      <c r="B66" s="106"/>
      <c r="C66" s="106"/>
      <c r="D66" s="106"/>
      <c r="E66" s="106"/>
      <c r="F66" s="107"/>
      <c r="G66" s="107"/>
      <c r="H66" s="107"/>
      <c r="I66" s="107"/>
      <c r="J66" s="107"/>
      <c r="K66" s="867" t="s">
        <v>1199</v>
      </c>
      <c r="L66" s="867"/>
      <c r="M66" s="867"/>
      <c r="N66" s="107"/>
    </row>
    <row r="67" spans="1:14" s="28" customFormat="1" ht="12.95" customHeight="1">
      <c r="A67" s="603" t="s">
        <v>0</v>
      </c>
      <c r="B67" s="603" t="s">
        <v>7</v>
      </c>
      <c r="C67" s="603" t="s">
        <v>13</v>
      </c>
      <c r="D67" s="603" t="s">
        <v>14</v>
      </c>
      <c r="E67" s="603" t="s">
        <v>8</v>
      </c>
      <c r="F67" s="603" t="s">
        <v>1</v>
      </c>
      <c r="G67" s="603" t="s">
        <v>2</v>
      </c>
      <c r="H67" s="603" t="s">
        <v>15</v>
      </c>
      <c r="I67" s="603" t="s">
        <v>3</v>
      </c>
      <c r="J67" s="603" t="s">
        <v>4</v>
      </c>
      <c r="K67" s="603" t="s">
        <v>5</v>
      </c>
      <c r="L67" s="603" t="s">
        <v>12</v>
      </c>
      <c r="M67" s="603" t="s">
        <v>6</v>
      </c>
      <c r="N67" s="107"/>
    </row>
    <row r="68" spans="1:14" s="28" customFormat="1" ht="12.95" customHeight="1">
      <c r="A68" s="594">
        <v>1</v>
      </c>
      <c r="B68" s="594" t="s">
        <v>892</v>
      </c>
      <c r="C68" s="89" t="s">
        <v>766</v>
      </c>
      <c r="D68" s="89" t="s">
        <v>465</v>
      </c>
      <c r="E68" s="229"/>
      <c r="F68" s="90">
        <f>6200*1.0936</f>
        <v>6780.32</v>
      </c>
      <c r="G68" s="594" t="s">
        <v>24</v>
      </c>
      <c r="H68" s="79"/>
      <c r="I68" s="80">
        <v>70</v>
      </c>
      <c r="J68" s="81">
        <v>74</v>
      </c>
      <c r="K68" s="81">
        <f t="shared" ref="K68:K69" si="17">I68*J68</f>
        <v>5180</v>
      </c>
      <c r="L68" s="79"/>
      <c r="M68" s="162"/>
      <c r="N68" s="107"/>
    </row>
    <row r="69" spans="1:14" s="28" customFormat="1" ht="12.95" customHeight="1">
      <c r="A69" s="594"/>
      <c r="B69" s="594"/>
      <c r="C69" s="594"/>
      <c r="D69" s="594"/>
      <c r="E69" s="594"/>
      <c r="F69" s="87"/>
      <c r="G69" s="430" t="s">
        <v>10</v>
      </c>
      <c r="H69" s="79"/>
      <c r="I69" s="80">
        <v>20</v>
      </c>
      <c r="J69" s="81">
        <v>120</v>
      </c>
      <c r="K69" s="81">
        <f t="shared" si="17"/>
        <v>2400</v>
      </c>
      <c r="L69" s="79"/>
      <c r="M69" s="79"/>
      <c r="N69" s="107"/>
    </row>
    <row r="70" spans="1:14" s="28" customFormat="1" ht="12.95" customHeight="1">
      <c r="A70" s="594"/>
      <c r="B70" s="594"/>
      <c r="C70" s="594"/>
      <c r="D70" s="594"/>
      <c r="E70" s="603" t="s">
        <v>9</v>
      </c>
      <c r="F70" s="108">
        <f>SUM(F68:F69)</f>
        <v>6780.32</v>
      </c>
      <c r="G70" s="603"/>
      <c r="H70" s="603"/>
      <c r="I70" s="80"/>
      <c r="J70" s="81"/>
      <c r="K70" s="103">
        <f>SUM(K68:K69)</f>
        <v>7580</v>
      </c>
      <c r="L70" s="103">
        <f>K70/F70</f>
        <v>1.1179413361021309</v>
      </c>
      <c r="M70" s="79"/>
      <c r="N70" s="107"/>
    </row>
    <row r="71" spans="1:14" s="28" customFormat="1" ht="12.95" customHeight="1">
      <c r="A71" s="594">
        <v>3</v>
      </c>
      <c r="B71" s="594" t="s">
        <v>1149</v>
      </c>
      <c r="C71" s="594" t="s">
        <v>217</v>
      </c>
      <c r="D71" s="594" t="s">
        <v>514</v>
      </c>
      <c r="E71" s="594"/>
      <c r="F71" s="90">
        <f>51140*1.0936</f>
        <v>55926.703999999998</v>
      </c>
      <c r="G71" s="594" t="s">
        <v>24</v>
      </c>
      <c r="H71" s="79"/>
      <c r="I71" s="80">
        <f>177+380</f>
        <v>557</v>
      </c>
      <c r="J71" s="81">
        <v>74</v>
      </c>
      <c r="K71" s="81">
        <f t="shared" ref="K71:K72" si="18">I71*J71</f>
        <v>41218</v>
      </c>
      <c r="L71" s="79"/>
      <c r="M71" s="79"/>
      <c r="N71" s="107"/>
    </row>
    <row r="72" spans="1:14" s="28" customFormat="1" ht="12.95" customHeight="1">
      <c r="A72" s="594"/>
      <c r="B72" s="594"/>
      <c r="C72" s="594"/>
      <c r="D72" s="594"/>
      <c r="E72" s="594"/>
      <c r="F72" s="87"/>
      <c r="G72" s="430" t="s">
        <v>10</v>
      </c>
      <c r="H72" s="79"/>
      <c r="I72" s="80">
        <f>14+40</f>
        <v>54</v>
      </c>
      <c r="J72" s="81">
        <v>120</v>
      </c>
      <c r="K72" s="81">
        <f t="shared" si="18"/>
        <v>6480</v>
      </c>
      <c r="L72" s="79"/>
      <c r="M72" s="79"/>
      <c r="N72" s="107"/>
    </row>
    <row r="73" spans="1:14" s="28" customFormat="1" ht="12.95" customHeight="1">
      <c r="A73" s="594"/>
      <c r="B73" s="594"/>
      <c r="C73" s="594"/>
      <c r="D73" s="594"/>
      <c r="E73" s="603" t="s">
        <v>9</v>
      </c>
      <c r="F73" s="108">
        <f>SUM(F71:F72)</f>
        <v>55926.703999999998</v>
      </c>
      <c r="G73" s="603"/>
      <c r="H73" s="603"/>
      <c r="I73" s="80"/>
      <c r="J73" s="81"/>
      <c r="K73" s="103">
        <f>SUM(K71:K72)</f>
        <v>47698</v>
      </c>
      <c r="L73" s="103">
        <f>K73/F73</f>
        <v>0.85286628012264054</v>
      </c>
      <c r="M73" s="79"/>
      <c r="N73" s="107"/>
    </row>
    <row r="74" spans="1:14" s="28" customFormat="1" ht="12.95" customHeight="1">
      <c r="A74" s="594">
        <v>4</v>
      </c>
      <c r="B74" s="594" t="s">
        <v>1077</v>
      </c>
      <c r="C74" s="89" t="s">
        <v>1150</v>
      </c>
      <c r="D74" s="89" t="s">
        <v>1151</v>
      </c>
      <c r="E74" s="594"/>
      <c r="F74" s="90">
        <f>6789*1.0936</f>
        <v>7424.4503999999997</v>
      </c>
      <c r="G74" s="594" t="s">
        <v>24</v>
      </c>
      <c r="H74" s="79"/>
      <c r="I74" s="80">
        <v>110</v>
      </c>
      <c r="J74" s="81">
        <v>74</v>
      </c>
      <c r="K74" s="81">
        <f t="shared" ref="K74:K75" si="19">I74*J74</f>
        <v>8140</v>
      </c>
      <c r="L74" s="79"/>
      <c r="M74" s="79"/>
      <c r="N74" s="107"/>
    </row>
    <row r="75" spans="1:14" s="28" customFormat="1" ht="12.95" customHeight="1">
      <c r="A75" s="594"/>
      <c r="B75" s="594" t="s">
        <v>269</v>
      </c>
      <c r="C75" s="594"/>
      <c r="D75" s="594"/>
      <c r="E75" s="594"/>
      <c r="F75" s="90">
        <f>287*1.0936</f>
        <v>313.86319999999995</v>
      </c>
      <c r="G75" s="430" t="s">
        <v>10</v>
      </c>
      <c r="H75" s="79"/>
      <c r="I75" s="80">
        <v>30</v>
      </c>
      <c r="J75" s="81">
        <v>120</v>
      </c>
      <c r="K75" s="81">
        <f t="shared" si="19"/>
        <v>3600</v>
      </c>
      <c r="L75" s="79"/>
      <c r="M75" s="79"/>
      <c r="N75" s="107"/>
    </row>
    <row r="76" spans="1:14" s="28" customFormat="1" ht="12.95" customHeight="1">
      <c r="A76" s="594"/>
      <c r="B76" s="594"/>
      <c r="C76" s="594"/>
      <c r="D76" s="594"/>
      <c r="E76" s="603" t="s">
        <v>9</v>
      </c>
      <c r="F76" s="108">
        <f>SUM(F74:F75)</f>
        <v>7738.3135999999995</v>
      </c>
      <c r="G76" s="603"/>
      <c r="H76" s="603"/>
      <c r="I76" s="80"/>
      <c r="J76" s="81"/>
      <c r="K76" s="103">
        <f>SUM(K74:K75)</f>
        <v>11740</v>
      </c>
      <c r="L76" s="103">
        <f>K76/F76</f>
        <v>1.517126418862115</v>
      </c>
      <c r="M76" s="79"/>
      <c r="N76" s="107"/>
    </row>
    <row r="77" spans="1:14" s="28" customFormat="1" ht="12.95" customHeight="1">
      <c r="A77" s="107"/>
      <c r="B77" s="107"/>
      <c r="C77" s="107"/>
      <c r="D77" s="133" t="s">
        <v>30</v>
      </c>
      <c r="E77" s="133"/>
      <c r="F77" s="134">
        <f>F70+F73+F76</f>
        <v>70445.337599999999</v>
      </c>
      <c r="G77" s="135"/>
      <c r="H77" s="135"/>
      <c r="I77" s="135"/>
      <c r="J77" s="135"/>
      <c r="K77" s="134">
        <f>K70+K73+K76</f>
        <v>67018</v>
      </c>
      <c r="L77" s="151">
        <f>K77/F77</f>
        <v>0.95134755944444505</v>
      </c>
      <c r="M77" s="107"/>
      <c r="N77" s="107"/>
    </row>
    <row r="78" spans="1:14" s="28" customFormat="1" ht="12.95" customHeight="1">
      <c r="A78" s="106" t="s">
        <v>16</v>
      </c>
      <c r="B78" s="106"/>
      <c r="C78" s="106"/>
      <c r="D78" s="106"/>
      <c r="E78" s="106"/>
      <c r="F78" s="107"/>
      <c r="G78" s="107"/>
      <c r="H78" s="107"/>
      <c r="I78" s="107"/>
      <c r="J78" s="107"/>
      <c r="K78" s="867" t="s">
        <v>1199</v>
      </c>
      <c r="L78" s="867"/>
      <c r="M78" s="867"/>
      <c r="N78" s="107"/>
    </row>
    <row r="79" spans="1:14" s="28" customFormat="1" ht="12.95" customHeight="1">
      <c r="A79" s="603" t="s">
        <v>0</v>
      </c>
      <c r="B79" s="603" t="s">
        <v>7</v>
      </c>
      <c r="C79" s="603" t="s">
        <v>13</v>
      </c>
      <c r="D79" s="603" t="s">
        <v>14</v>
      </c>
      <c r="E79" s="603" t="s">
        <v>8</v>
      </c>
      <c r="F79" s="603" t="s">
        <v>1</v>
      </c>
      <c r="G79" s="603" t="s">
        <v>2</v>
      </c>
      <c r="H79" s="603" t="s">
        <v>15</v>
      </c>
      <c r="I79" s="603" t="s">
        <v>3</v>
      </c>
      <c r="J79" s="603" t="s">
        <v>4</v>
      </c>
      <c r="K79" s="603" t="s">
        <v>5</v>
      </c>
      <c r="L79" s="603" t="s">
        <v>12</v>
      </c>
      <c r="M79" s="603" t="s">
        <v>6</v>
      </c>
      <c r="N79" s="107"/>
    </row>
    <row r="80" spans="1:14" s="28" customFormat="1" ht="12.95" customHeight="1">
      <c r="A80" s="594"/>
      <c r="B80" s="594"/>
      <c r="C80" s="594"/>
      <c r="D80" s="594"/>
      <c r="E80" s="594"/>
      <c r="F80" s="87"/>
      <c r="G80" s="594" t="s">
        <v>75</v>
      </c>
      <c r="H80" s="594"/>
      <c r="I80" s="96"/>
      <c r="J80" s="94">
        <v>367</v>
      </c>
      <c r="K80" s="94">
        <f t="shared" ref="K80" si="20">I80*J80</f>
        <v>0</v>
      </c>
      <c r="L80" s="79"/>
      <c r="M80" s="162"/>
      <c r="N80" s="107"/>
    </row>
    <row r="81" spans="1:14" s="28" customFormat="1" ht="12.95" customHeight="1">
      <c r="A81" s="594"/>
      <c r="B81" s="594"/>
      <c r="C81" s="594"/>
      <c r="D81" s="594"/>
      <c r="E81" s="594"/>
      <c r="F81" s="87"/>
      <c r="G81" s="594" t="s">
        <v>20</v>
      </c>
      <c r="H81" s="79"/>
      <c r="I81" s="80"/>
      <c r="J81" s="81">
        <v>315</v>
      </c>
      <c r="K81" s="81">
        <f t="shared" ref="K81" si="21">I81*J81</f>
        <v>0</v>
      </c>
      <c r="L81" s="79"/>
      <c r="M81" s="79"/>
      <c r="N81" s="107"/>
    </row>
    <row r="82" spans="1:14" s="28" customFormat="1" ht="12.95" customHeight="1">
      <c r="A82" s="594"/>
      <c r="B82" s="594"/>
      <c r="C82" s="594"/>
      <c r="D82" s="594"/>
      <c r="E82" s="603" t="s">
        <v>9</v>
      </c>
      <c r="F82" s="108">
        <f>SUM(F81:F81)</f>
        <v>0</v>
      </c>
      <c r="G82" s="603"/>
      <c r="H82" s="603"/>
      <c r="I82" s="80"/>
      <c r="J82" s="81"/>
      <c r="K82" s="103">
        <f>SUM(K81:K81)</f>
        <v>0</v>
      </c>
      <c r="L82" s="103" t="e">
        <f>K82/F82</f>
        <v>#DIV/0!</v>
      </c>
      <c r="M82" s="79"/>
      <c r="N82" s="107"/>
    </row>
    <row r="83" spans="1:14" s="28" customFormat="1" ht="12.95" customHeight="1">
      <c r="A83" s="590"/>
      <c r="B83" s="590"/>
      <c r="C83" s="590"/>
      <c r="D83" s="133" t="s">
        <v>30</v>
      </c>
      <c r="E83" s="133"/>
      <c r="F83" s="134">
        <f>F82</f>
        <v>0</v>
      </c>
      <c r="G83" s="135"/>
      <c r="H83" s="135"/>
      <c r="I83" s="135"/>
      <c r="J83" s="135"/>
      <c r="K83" s="134">
        <f>K82</f>
        <v>0</v>
      </c>
      <c r="L83" s="151" t="e">
        <f>K83/F83</f>
        <v>#DIV/0!</v>
      </c>
      <c r="M83" s="137"/>
      <c r="N83" s="107"/>
    </row>
    <row r="84" spans="1:14" s="28" customFormat="1" ht="12.95" customHeight="1">
      <c r="A84" s="106" t="s">
        <v>72</v>
      </c>
      <c r="B84" s="106"/>
      <c r="C84" s="106"/>
      <c r="D84" s="106"/>
      <c r="E84" s="106"/>
      <c r="F84" s="107"/>
      <c r="G84" s="107"/>
      <c r="H84" s="107"/>
      <c r="I84" s="149"/>
      <c r="J84" s="107"/>
      <c r="K84" s="867" t="s">
        <v>1199</v>
      </c>
      <c r="L84" s="867"/>
      <c r="M84" s="867"/>
      <c r="N84" s="107"/>
    </row>
    <row r="85" spans="1:14" s="28" customFormat="1" ht="12.95" customHeight="1">
      <c r="A85" s="603" t="s">
        <v>0</v>
      </c>
      <c r="B85" s="603" t="s">
        <v>7</v>
      </c>
      <c r="C85" s="603" t="s">
        <v>13</v>
      </c>
      <c r="D85" s="603" t="s">
        <v>14</v>
      </c>
      <c r="E85" s="603" t="s">
        <v>8</v>
      </c>
      <c r="F85" s="603" t="s">
        <v>1</v>
      </c>
      <c r="G85" s="603" t="s">
        <v>2</v>
      </c>
      <c r="H85" s="603" t="s">
        <v>15</v>
      </c>
      <c r="I85" s="150" t="s">
        <v>3</v>
      </c>
      <c r="J85" s="603" t="s">
        <v>4</v>
      </c>
      <c r="K85" s="603" t="s">
        <v>5</v>
      </c>
      <c r="L85" s="603" t="s">
        <v>12</v>
      </c>
      <c r="M85" s="603" t="s">
        <v>6</v>
      </c>
      <c r="N85" s="246"/>
    </row>
    <row r="86" spans="1:14" s="28" customFormat="1" ht="12.95" customHeight="1">
      <c r="A86" s="594">
        <v>9888</v>
      </c>
      <c r="B86" s="804" t="s">
        <v>1232</v>
      </c>
      <c r="C86" s="89" t="s">
        <v>1026</v>
      </c>
      <c r="D86" s="89" t="s">
        <v>1116</v>
      </c>
      <c r="E86" s="594" t="s">
        <v>127</v>
      </c>
      <c r="F86" s="90">
        <f>2280*1.0936</f>
        <v>2493.4079999999999</v>
      </c>
      <c r="G86" s="602" t="s">
        <v>196</v>
      </c>
      <c r="H86" s="79"/>
      <c r="I86" s="80">
        <f>5.352+0.945+1.562</f>
        <v>7.8590000000000009</v>
      </c>
      <c r="J86" s="81">
        <v>888</v>
      </c>
      <c r="K86" s="81">
        <f t="shared" ref="K86:K90" si="22">I86*J86</f>
        <v>6978.7920000000004</v>
      </c>
      <c r="L86" s="79"/>
      <c r="M86" s="79"/>
      <c r="N86" s="107"/>
    </row>
    <row r="87" spans="1:14" s="28" customFormat="1" ht="12.95" customHeight="1">
      <c r="A87" s="594"/>
      <c r="B87" s="594"/>
      <c r="C87" s="594"/>
      <c r="D87" s="594"/>
      <c r="E87" s="594"/>
      <c r="F87" s="87"/>
      <c r="G87" s="602" t="s">
        <v>195</v>
      </c>
      <c r="H87" s="79"/>
      <c r="I87" s="80">
        <f>1.26+0.28+0.498</f>
        <v>2.0380000000000003</v>
      </c>
      <c r="J87" s="81">
        <v>645</v>
      </c>
      <c r="K87" s="81">
        <f t="shared" si="22"/>
        <v>1314.5100000000002</v>
      </c>
      <c r="L87" s="79"/>
      <c r="M87" s="79"/>
      <c r="N87" s="107"/>
    </row>
    <row r="88" spans="1:14" s="28" customFormat="1" ht="12.95" customHeight="1">
      <c r="A88" s="594"/>
      <c r="B88" s="594"/>
      <c r="C88" s="594"/>
      <c r="D88" s="594"/>
      <c r="E88" s="594"/>
      <c r="F88" s="87"/>
      <c r="G88" s="602" t="s">
        <v>191</v>
      </c>
      <c r="H88" s="79"/>
      <c r="I88" s="80">
        <f>4.032+0.94+1.558</f>
        <v>6.5299999999999994</v>
      </c>
      <c r="J88" s="81">
        <v>1628</v>
      </c>
      <c r="K88" s="81">
        <f t="shared" si="22"/>
        <v>10630.839999999998</v>
      </c>
      <c r="L88" s="79"/>
      <c r="M88" s="79"/>
      <c r="N88" s="107"/>
    </row>
    <row r="89" spans="1:14" s="28" customFormat="1" ht="12.95" customHeight="1">
      <c r="A89" s="594"/>
      <c r="B89" s="594"/>
      <c r="C89" s="594"/>
      <c r="D89" s="594"/>
      <c r="E89" s="594"/>
      <c r="F89" s="87"/>
      <c r="G89" s="594" t="s">
        <v>184</v>
      </c>
      <c r="H89" s="594"/>
      <c r="I89" s="80">
        <f>4.7+4.5</f>
        <v>9.1999999999999993</v>
      </c>
      <c r="J89" s="81">
        <v>336</v>
      </c>
      <c r="K89" s="94">
        <f t="shared" si="22"/>
        <v>3091.2</v>
      </c>
      <c r="L89" s="79"/>
      <c r="M89" s="79"/>
      <c r="N89" s="107"/>
    </row>
    <row r="90" spans="1:14" s="28" customFormat="1" ht="12.95" customHeight="1">
      <c r="A90" s="594"/>
      <c r="B90" s="594"/>
      <c r="C90" s="594"/>
      <c r="D90" s="594"/>
      <c r="E90" s="594"/>
      <c r="F90" s="87"/>
      <c r="G90" s="95" t="s">
        <v>185</v>
      </c>
      <c r="H90" s="79"/>
      <c r="I90" s="96">
        <f>0.8+0.14+0.82</f>
        <v>1.76</v>
      </c>
      <c r="J90" s="81">
        <v>490</v>
      </c>
      <c r="K90" s="81">
        <f t="shared" si="22"/>
        <v>862.4</v>
      </c>
      <c r="L90" s="79"/>
      <c r="M90" s="79"/>
      <c r="N90" s="107"/>
    </row>
    <row r="91" spans="1:14" s="28" customFormat="1" ht="12.95" customHeight="1">
      <c r="A91" s="594"/>
      <c r="B91" s="594"/>
      <c r="C91" s="594"/>
      <c r="D91" s="594"/>
      <c r="E91" s="603" t="s">
        <v>9</v>
      </c>
      <c r="F91" s="108">
        <f>SUM(F86:F90)</f>
        <v>2493.4079999999999</v>
      </c>
      <c r="G91" s="603"/>
      <c r="H91" s="603"/>
      <c r="I91" s="80"/>
      <c r="J91" s="81"/>
      <c r="K91" s="103">
        <f>SUM(K86:K90)</f>
        <v>22877.742000000002</v>
      </c>
      <c r="L91" s="103">
        <f>K91/F91</f>
        <v>9.1752902052131073</v>
      </c>
      <c r="M91" s="79"/>
      <c r="N91" s="107"/>
    </row>
    <row r="92" spans="1:14" s="28" customFormat="1" ht="12.95" customHeight="1">
      <c r="A92" s="594">
        <v>9890</v>
      </c>
      <c r="B92" s="594" t="s">
        <v>990</v>
      </c>
      <c r="C92" s="89" t="s">
        <v>766</v>
      </c>
      <c r="D92" s="89" t="s">
        <v>465</v>
      </c>
      <c r="E92" s="594" t="s">
        <v>232</v>
      </c>
      <c r="F92" s="99">
        <f>4800*1.0936</f>
        <v>5249.28</v>
      </c>
      <c r="G92" s="598" t="s">
        <v>314</v>
      </c>
      <c r="H92" s="79"/>
      <c r="I92" s="81">
        <f>1.5+1.01</f>
        <v>2.5099999999999998</v>
      </c>
      <c r="J92" s="81">
        <v>1695</v>
      </c>
      <c r="K92" s="81">
        <f>I92*J92</f>
        <v>4254.45</v>
      </c>
      <c r="L92" s="79"/>
      <c r="M92" s="79"/>
      <c r="N92" s="107"/>
    </row>
    <row r="93" spans="1:14" s="28" customFormat="1" ht="12.95" customHeight="1">
      <c r="A93" s="594"/>
      <c r="B93" s="594"/>
      <c r="C93" s="594"/>
      <c r="D93" s="594"/>
      <c r="E93" s="594"/>
      <c r="F93" s="87"/>
      <c r="G93" s="602" t="s">
        <v>192</v>
      </c>
      <c r="H93" s="79"/>
      <c r="I93" s="80">
        <f>2.25+0.99</f>
        <v>3.24</v>
      </c>
      <c r="J93" s="81">
        <v>1126</v>
      </c>
      <c r="K93" s="81">
        <f t="shared" ref="K93:K97" si="23">I93*J93</f>
        <v>3648.2400000000002</v>
      </c>
      <c r="L93" s="79"/>
      <c r="M93" s="79"/>
      <c r="N93" s="107"/>
    </row>
    <row r="94" spans="1:14" s="28" customFormat="1" ht="12.95" customHeight="1">
      <c r="A94" s="594"/>
      <c r="B94" s="594"/>
      <c r="C94" s="594"/>
      <c r="D94" s="594"/>
      <c r="E94" s="594"/>
      <c r="F94" s="87"/>
      <c r="G94" s="602" t="s">
        <v>193</v>
      </c>
      <c r="H94" s="79"/>
      <c r="I94" s="80">
        <f>2.5+1.1</f>
        <v>3.6</v>
      </c>
      <c r="J94" s="81">
        <v>1150</v>
      </c>
      <c r="K94" s="81">
        <f t="shared" si="23"/>
        <v>4140</v>
      </c>
      <c r="L94" s="79"/>
      <c r="M94" s="79"/>
      <c r="N94" s="107"/>
    </row>
    <row r="95" spans="1:14" s="28" customFormat="1" ht="12.95" customHeight="1">
      <c r="A95" s="594"/>
      <c r="B95" s="594"/>
      <c r="C95" s="594"/>
      <c r="D95" s="594"/>
      <c r="E95" s="594"/>
      <c r="F95" s="87"/>
      <c r="G95" s="602" t="s">
        <v>199</v>
      </c>
      <c r="H95" s="79"/>
      <c r="I95" s="80">
        <f>20+8.8</f>
        <v>28.8</v>
      </c>
      <c r="J95" s="81">
        <v>530</v>
      </c>
      <c r="K95" s="81">
        <f t="shared" si="23"/>
        <v>15264</v>
      </c>
      <c r="L95" s="79"/>
      <c r="M95" s="79"/>
      <c r="N95" s="107"/>
    </row>
    <row r="96" spans="1:14" s="28" customFormat="1" ht="12.95" customHeight="1">
      <c r="A96" s="594"/>
      <c r="B96" s="594"/>
      <c r="C96" s="594"/>
      <c r="D96" s="594"/>
      <c r="E96" s="594"/>
      <c r="F96" s="87"/>
      <c r="G96" s="594" t="s">
        <v>184</v>
      </c>
      <c r="H96" s="594"/>
      <c r="I96" s="80">
        <f>5+2</f>
        <v>7</v>
      </c>
      <c r="J96" s="81">
        <v>336</v>
      </c>
      <c r="K96" s="94">
        <f t="shared" si="23"/>
        <v>2352</v>
      </c>
      <c r="L96" s="79"/>
      <c r="M96" s="79"/>
      <c r="N96" s="107"/>
    </row>
    <row r="97" spans="1:14" s="28" customFormat="1" ht="12.95" customHeight="1">
      <c r="A97" s="594"/>
      <c r="B97" s="594"/>
      <c r="C97" s="594"/>
      <c r="D97" s="594"/>
      <c r="E97" s="594"/>
      <c r="F97" s="87"/>
      <c r="G97" s="95" t="s">
        <v>185</v>
      </c>
      <c r="H97" s="79"/>
      <c r="I97" s="96">
        <f>1+0.4</f>
        <v>1.4</v>
      </c>
      <c r="J97" s="81">
        <v>490</v>
      </c>
      <c r="K97" s="81">
        <f t="shared" si="23"/>
        <v>686</v>
      </c>
      <c r="L97" s="79"/>
      <c r="M97" s="79"/>
      <c r="N97" s="107"/>
    </row>
    <row r="98" spans="1:14" s="28" customFormat="1" ht="12.95" customHeight="1">
      <c r="A98" s="594"/>
      <c r="B98" s="594"/>
      <c r="C98" s="594"/>
      <c r="D98" s="594"/>
      <c r="E98" s="603" t="s">
        <v>9</v>
      </c>
      <c r="F98" s="108">
        <f>SUM(F92:F97)</f>
        <v>5249.28</v>
      </c>
      <c r="G98" s="603"/>
      <c r="H98" s="603"/>
      <c r="I98" s="80"/>
      <c r="J98" s="81"/>
      <c r="K98" s="103">
        <f>SUM(K92:K97)</f>
        <v>30344.690000000002</v>
      </c>
      <c r="L98" s="103">
        <f>K98/F98</f>
        <v>5.7807337387222635</v>
      </c>
      <c r="M98" s="79"/>
      <c r="N98" s="107"/>
    </row>
    <row r="99" spans="1:14" s="107" customFormat="1" ht="12.95" customHeight="1">
      <c r="A99" s="594">
        <v>9887</v>
      </c>
      <c r="B99" s="594" t="s">
        <v>1173</v>
      </c>
      <c r="C99" s="594" t="s">
        <v>516</v>
      </c>
      <c r="D99" s="594" t="s">
        <v>1174</v>
      </c>
      <c r="E99" s="594" t="s">
        <v>1175</v>
      </c>
      <c r="F99" s="222">
        <f>435*1.0936</f>
        <v>475.71599999999995</v>
      </c>
      <c r="G99" s="598" t="s">
        <v>405</v>
      </c>
      <c r="H99" s="79"/>
      <c r="I99" s="80">
        <v>0.20499999999999999</v>
      </c>
      <c r="J99" s="81">
        <v>1708</v>
      </c>
      <c r="K99" s="81">
        <f t="shared" ref="K99:K103" si="24">I99*J99</f>
        <v>350.14</v>
      </c>
      <c r="L99" s="79"/>
      <c r="M99" s="79"/>
    </row>
    <row r="100" spans="1:14" s="28" customFormat="1" ht="12.95" customHeight="1">
      <c r="A100" s="594"/>
      <c r="B100" s="594"/>
      <c r="C100" s="594"/>
      <c r="D100" s="594"/>
      <c r="E100" s="594"/>
      <c r="F100" s="594"/>
      <c r="G100" s="598" t="s">
        <v>183</v>
      </c>
      <c r="H100" s="79"/>
      <c r="I100" s="80">
        <v>6.5000000000000002E-2</v>
      </c>
      <c r="J100" s="81">
        <v>1600</v>
      </c>
      <c r="K100" s="81">
        <f t="shared" si="24"/>
        <v>104</v>
      </c>
      <c r="L100" s="79"/>
      <c r="M100" s="79"/>
      <c r="N100" s="107"/>
    </row>
    <row r="101" spans="1:14" s="28" customFormat="1" ht="12.95" customHeight="1">
      <c r="A101" s="594"/>
      <c r="B101" s="594"/>
      <c r="C101" s="594"/>
      <c r="D101" s="594"/>
      <c r="E101" s="594"/>
      <c r="F101" s="87"/>
      <c r="G101" s="93" t="s">
        <v>315</v>
      </c>
      <c r="H101" s="79"/>
      <c r="I101" s="80">
        <v>0.32</v>
      </c>
      <c r="J101" s="81">
        <v>2184</v>
      </c>
      <c r="K101" s="81">
        <f t="shared" si="24"/>
        <v>698.88</v>
      </c>
      <c r="L101" s="79"/>
      <c r="M101" s="79"/>
      <c r="N101" s="107"/>
    </row>
    <row r="102" spans="1:14" s="28" customFormat="1" ht="12.95" customHeight="1">
      <c r="A102" s="594"/>
      <c r="B102" s="594"/>
      <c r="C102" s="594"/>
      <c r="D102" s="594"/>
      <c r="E102" s="594"/>
      <c r="F102" s="87"/>
      <c r="G102" s="594" t="s">
        <v>184</v>
      </c>
      <c r="H102" s="594"/>
      <c r="I102" s="80">
        <v>1</v>
      </c>
      <c r="J102" s="81">
        <v>336</v>
      </c>
      <c r="K102" s="94">
        <f t="shared" si="24"/>
        <v>336</v>
      </c>
      <c r="L102" s="79"/>
      <c r="M102" s="79"/>
      <c r="N102" s="107"/>
    </row>
    <row r="103" spans="1:14" s="28" customFormat="1" ht="12.95" customHeight="1">
      <c r="A103" s="594"/>
      <c r="B103" s="594"/>
      <c r="C103" s="594"/>
      <c r="D103" s="594"/>
      <c r="E103" s="594"/>
      <c r="F103" s="87"/>
      <c r="G103" s="95" t="s">
        <v>185</v>
      </c>
      <c r="H103" s="79"/>
      <c r="I103" s="96">
        <v>0.2</v>
      </c>
      <c r="J103" s="81">
        <v>490</v>
      </c>
      <c r="K103" s="81">
        <f t="shared" si="24"/>
        <v>98</v>
      </c>
      <c r="L103" s="79"/>
      <c r="M103" s="79"/>
      <c r="N103" s="107"/>
    </row>
    <row r="104" spans="1:14" s="28" customFormat="1" ht="12.95" customHeight="1">
      <c r="A104" s="594"/>
      <c r="B104" s="594"/>
      <c r="C104" s="594"/>
      <c r="D104" s="594"/>
      <c r="E104" s="603" t="s">
        <v>9</v>
      </c>
      <c r="F104" s="108">
        <f>SUM(F99:F103)</f>
        <v>475.71599999999995</v>
      </c>
      <c r="G104" s="603"/>
      <c r="H104" s="603"/>
      <c r="I104" s="80"/>
      <c r="J104" s="81"/>
      <c r="K104" s="103">
        <f>SUM(K99:K103)</f>
        <v>1587.02</v>
      </c>
      <c r="L104" s="103">
        <f>K104/F104</f>
        <v>3.3360660562184163</v>
      </c>
      <c r="M104" s="79"/>
      <c r="N104" s="107"/>
    </row>
    <row r="105" spans="1:14" s="28" customFormat="1" ht="12.95" customHeight="1">
      <c r="A105" s="594">
        <v>9891</v>
      </c>
      <c r="B105" s="594" t="s">
        <v>269</v>
      </c>
      <c r="C105" s="594" t="s">
        <v>121</v>
      </c>
      <c r="D105" s="594" t="s">
        <v>1054</v>
      </c>
      <c r="E105" s="594" t="s">
        <v>822</v>
      </c>
      <c r="F105" s="90">
        <f>50*1.0936</f>
        <v>54.679999999999993</v>
      </c>
      <c r="G105" s="598" t="s">
        <v>405</v>
      </c>
      <c r="H105" s="79"/>
      <c r="I105" s="80">
        <v>0.252</v>
      </c>
      <c r="J105" s="81">
        <v>1708</v>
      </c>
      <c r="K105" s="81">
        <f t="shared" ref="K105:K109" si="25">I105*J105</f>
        <v>430.416</v>
      </c>
      <c r="L105" s="79"/>
      <c r="M105" s="79"/>
      <c r="N105" s="107"/>
    </row>
    <row r="106" spans="1:14" s="28" customFormat="1" ht="12.95" customHeight="1">
      <c r="A106" s="594"/>
      <c r="B106" s="594"/>
      <c r="C106" s="594"/>
      <c r="D106" s="594"/>
      <c r="E106" s="594"/>
      <c r="F106" s="87"/>
      <c r="G106" s="602" t="s">
        <v>195</v>
      </c>
      <c r="H106" s="79"/>
      <c r="I106" s="80">
        <v>6.2E-2</v>
      </c>
      <c r="J106" s="81">
        <v>645</v>
      </c>
      <c r="K106" s="81">
        <f t="shared" si="25"/>
        <v>39.99</v>
      </c>
      <c r="L106" s="79"/>
      <c r="M106" s="79"/>
      <c r="N106" s="107"/>
    </row>
    <row r="107" spans="1:14" s="28" customFormat="1" ht="12.95" customHeight="1">
      <c r="A107" s="594"/>
      <c r="B107" s="594"/>
      <c r="C107" s="594"/>
      <c r="D107" s="594"/>
      <c r="E107" s="594"/>
      <c r="F107" s="87"/>
      <c r="G107" s="602" t="s">
        <v>191</v>
      </c>
      <c r="H107" s="79"/>
      <c r="I107" s="80">
        <v>0.154</v>
      </c>
      <c r="J107" s="81">
        <v>1628</v>
      </c>
      <c r="K107" s="81">
        <f t="shared" si="25"/>
        <v>250.71199999999999</v>
      </c>
      <c r="L107" s="79"/>
      <c r="M107" s="79"/>
      <c r="N107" s="107"/>
    </row>
    <row r="108" spans="1:14" s="28" customFormat="1" ht="12.95" customHeight="1">
      <c r="A108" s="594"/>
      <c r="B108" s="594"/>
      <c r="C108" s="594"/>
      <c r="D108" s="594"/>
      <c r="E108" s="594"/>
      <c r="F108" s="87"/>
      <c r="G108" s="594" t="s">
        <v>184</v>
      </c>
      <c r="H108" s="594"/>
      <c r="I108" s="80">
        <v>0.6</v>
      </c>
      <c r="J108" s="81">
        <v>336</v>
      </c>
      <c r="K108" s="94">
        <f t="shared" si="25"/>
        <v>201.6</v>
      </c>
      <c r="L108" s="79"/>
      <c r="M108" s="79"/>
      <c r="N108" s="107"/>
    </row>
    <row r="109" spans="1:14" s="28" customFormat="1" ht="12.95" customHeight="1">
      <c r="A109" s="594"/>
      <c r="B109" s="594"/>
      <c r="C109" s="594"/>
      <c r="D109" s="594"/>
      <c r="E109" s="594"/>
      <c r="F109" s="87"/>
      <c r="G109" s="95" t="s">
        <v>185</v>
      </c>
      <c r="H109" s="79"/>
      <c r="I109" s="96">
        <v>0.12</v>
      </c>
      <c r="J109" s="81">
        <v>490</v>
      </c>
      <c r="K109" s="81">
        <f t="shared" si="25"/>
        <v>58.8</v>
      </c>
      <c r="L109" s="79"/>
      <c r="M109" s="79"/>
      <c r="N109" s="107"/>
    </row>
    <row r="110" spans="1:14" s="28" customFormat="1" ht="12.95" customHeight="1">
      <c r="A110" s="594"/>
      <c r="B110" s="594"/>
      <c r="C110" s="594"/>
      <c r="D110" s="594"/>
      <c r="E110" s="603" t="s">
        <v>9</v>
      </c>
      <c r="F110" s="108">
        <f>SUM(F105:F109)</f>
        <v>54.679999999999993</v>
      </c>
      <c r="G110" s="603"/>
      <c r="H110" s="603"/>
      <c r="I110" s="80"/>
      <c r="J110" s="81"/>
      <c r="K110" s="103">
        <f>SUM(K105:K109)</f>
        <v>981.51799999999992</v>
      </c>
      <c r="L110" s="103">
        <f>K110/F110</f>
        <v>17.950219458668617</v>
      </c>
      <c r="M110" s="79"/>
      <c r="N110" s="107"/>
    </row>
    <row r="111" spans="1:14" s="107" customFormat="1" ht="12.95" customHeight="1">
      <c r="A111" s="590"/>
      <c r="B111" s="590"/>
      <c r="C111" s="590"/>
      <c r="D111" s="133" t="s">
        <v>30</v>
      </c>
      <c r="E111" s="133"/>
      <c r="F111" s="134">
        <f>F91+F98+F104+F110</f>
        <v>8273.0840000000007</v>
      </c>
      <c r="G111" s="135"/>
      <c r="H111" s="135"/>
      <c r="I111" s="135"/>
      <c r="J111" s="135"/>
      <c r="K111" s="134">
        <f>K91+K98+K104+K110</f>
        <v>55790.969999999994</v>
      </c>
      <c r="L111" s="151">
        <f>K111/F111</f>
        <v>6.7436726135018077</v>
      </c>
      <c r="M111" s="137"/>
    </row>
    <row r="112" spans="1:14" s="28" customFormat="1" ht="12.95" customHeight="1">
      <c r="A112" s="106" t="s">
        <v>40</v>
      </c>
      <c r="B112" s="106"/>
      <c r="C112" s="106"/>
      <c r="D112" s="106"/>
      <c r="E112" s="106"/>
      <c r="F112" s="107"/>
      <c r="G112" s="107"/>
      <c r="H112" s="107"/>
      <c r="I112" s="149"/>
      <c r="J112" s="107"/>
      <c r="K112" s="867" t="s">
        <v>1199</v>
      </c>
      <c r="L112" s="867"/>
      <c r="M112" s="867"/>
    </row>
    <row r="113" spans="1:14" s="28" customFormat="1" ht="12.95" customHeight="1">
      <c r="A113" s="603" t="s">
        <v>0</v>
      </c>
      <c r="B113" s="603" t="s">
        <v>7</v>
      </c>
      <c r="C113" s="603" t="s">
        <v>13</v>
      </c>
      <c r="D113" s="603" t="s">
        <v>14</v>
      </c>
      <c r="E113" s="603" t="s">
        <v>8</v>
      </c>
      <c r="F113" s="603" t="s">
        <v>1</v>
      </c>
      <c r="G113" s="603" t="s">
        <v>2</v>
      </c>
      <c r="H113" s="603" t="s">
        <v>15</v>
      </c>
      <c r="I113" s="150" t="s">
        <v>3</v>
      </c>
      <c r="J113" s="603" t="s">
        <v>4</v>
      </c>
      <c r="K113" s="603" t="s">
        <v>5</v>
      </c>
      <c r="L113" s="603" t="s">
        <v>12</v>
      </c>
      <c r="M113" s="603" t="s">
        <v>6</v>
      </c>
      <c r="N113" s="30"/>
    </row>
    <row r="114" spans="1:14" s="28" customFormat="1" ht="12.95" customHeight="1">
      <c r="A114" s="594">
        <v>10326</v>
      </c>
      <c r="B114" s="594" t="s">
        <v>1170</v>
      </c>
      <c r="C114" s="594" t="s">
        <v>494</v>
      </c>
      <c r="D114" s="594" t="s">
        <v>1169</v>
      </c>
      <c r="E114" s="594" t="s">
        <v>262</v>
      </c>
      <c r="F114" s="222">
        <f>1800*1.0936</f>
        <v>1968.4799999999998</v>
      </c>
      <c r="G114" s="594" t="s">
        <v>27</v>
      </c>
      <c r="H114" s="79"/>
      <c r="I114" s="80">
        <v>250</v>
      </c>
      <c r="J114" s="81">
        <v>22</v>
      </c>
      <c r="K114" s="81">
        <f t="shared" ref="K114:K116" si="26">I114*J114</f>
        <v>5500</v>
      </c>
      <c r="L114" s="594"/>
      <c r="M114" s="594"/>
      <c r="N114" s="247"/>
    </row>
    <row r="115" spans="1:14" s="28" customFormat="1" ht="12.95" customHeight="1">
      <c r="A115" s="594"/>
      <c r="B115" s="594"/>
      <c r="C115" s="594"/>
      <c r="D115" s="594"/>
      <c r="E115" s="594"/>
      <c r="F115" s="99"/>
      <c r="G115" s="598" t="s">
        <v>49</v>
      </c>
      <c r="H115" s="79"/>
      <c r="I115" s="80">
        <v>20</v>
      </c>
      <c r="J115" s="81">
        <v>34</v>
      </c>
      <c r="K115" s="81">
        <f t="shared" si="26"/>
        <v>680</v>
      </c>
      <c r="L115" s="594"/>
      <c r="M115" s="594"/>
      <c r="N115" s="247"/>
    </row>
    <row r="116" spans="1:14" s="28" customFormat="1" ht="12.95" customHeight="1">
      <c r="A116" s="594"/>
      <c r="B116" s="594"/>
      <c r="C116" s="594"/>
      <c r="D116" s="594"/>
      <c r="E116" s="594"/>
      <c r="F116" s="594"/>
      <c r="G116" s="594" t="s">
        <v>19</v>
      </c>
      <c r="H116" s="79"/>
      <c r="I116" s="80">
        <v>6</v>
      </c>
      <c r="J116" s="81">
        <v>74</v>
      </c>
      <c r="K116" s="81">
        <f t="shared" si="26"/>
        <v>444</v>
      </c>
      <c r="L116" s="594"/>
      <c r="M116" s="594"/>
      <c r="N116" s="247"/>
    </row>
    <row r="117" spans="1:14" s="28" customFormat="1" ht="12.95" customHeight="1">
      <c r="A117" s="594"/>
      <c r="B117" s="594"/>
      <c r="C117" s="594"/>
      <c r="D117" s="594"/>
      <c r="E117" s="603" t="s">
        <v>9</v>
      </c>
      <c r="F117" s="108">
        <f>SUM(F114:F116)</f>
        <v>1968.4799999999998</v>
      </c>
      <c r="G117" s="603"/>
      <c r="H117" s="603"/>
      <c r="I117" s="80"/>
      <c r="J117" s="81"/>
      <c r="K117" s="103">
        <f>SUM(K114:K116)</f>
        <v>6624</v>
      </c>
      <c r="L117" s="103">
        <f>K117/F117</f>
        <v>3.365032918800293</v>
      </c>
      <c r="M117" s="79"/>
    </row>
    <row r="118" spans="1:14" s="28" customFormat="1" ht="12.95" customHeight="1">
      <c r="A118" s="594">
        <v>10330</v>
      </c>
      <c r="B118" s="594" t="s">
        <v>954</v>
      </c>
      <c r="C118" s="594" t="s">
        <v>494</v>
      </c>
      <c r="D118" s="594" t="s">
        <v>1169</v>
      </c>
      <c r="E118" s="594" t="s">
        <v>1171</v>
      </c>
      <c r="F118" s="222">
        <f>1600*1.0936</f>
        <v>1749.7599999999998</v>
      </c>
      <c r="G118" s="594" t="s">
        <v>27</v>
      </c>
      <c r="H118" s="79"/>
      <c r="I118" s="80">
        <v>175</v>
      </c>
      <c r="J118" s="81">
        <v>22</v>
      </c>
      <c r="K118" s="81">
        <f t="shared" ref="K118:K120" si="27">I118*J118</f>
        <v>3850</v>
      </c>
      <c r="L118" s="594"/>
      <c r="M118" s="594"/>
      <c r="N118" s="247"/>
    </row>
    <row r="119" spans="1:14" s="28" customFormat="1" ht="12.95" customHeight="1">
      <c r="A119" s="594"/>
      <c r="B119" s="594"/>
      <c r="C119" s="594"/>
      <c r="D119" s="594"/>
      <c r="E119" s="594"/>
      <c r="F119" s="594"/>
      <c r="G119" s="598" t="s">
        <v>49</v>
      </c>
      <c r="H119" s="79"/>
      <c r="I119" s="80">
        <v>14</v>
      </c>
      <c r="J119" s="81">
        <v>34</v>
      </c>
      <c r="K119" s="81">
        <f t="shared" si="27"/>
        <v>476</v>
      </c>
      <c r="L119" s="594"/>
      <c r="M119" s="594"/>
      <c r="N119" s="247"/>
    </row>
    <row r="120" spans="1:14" s="28" customFormat="1" ht="12.95" customHeight="1">
      <c r="A120" s="594"/>
      <c r="B120" s="594"/>
      <c r="C120" s="594"/>
      <c r="D120" s="594"/>
      <c r="E120" s="594"/>
      <c r="F120" s="594"/>
      <c r="G120" s="594" t="s">
        <v>19</v>
      </c>
      <c r="H120" s="79"/>
      <c r="I120" s="80">
        <v>4.2</v>
      </c>
      <c r="J120" s="81">
        <v>74</v>
      </c>
      <c r="K120" s="81">
        <f t="shared" si="27"/>
        <v>310.8</v>
      </c>
      <c r="L120" s="594"/>
      <c r="M120" s="594"/>
      <c r="N120" s="247"/>
    </row>
    <row r="121" spans="1:14" s="28" customFormat="1" ht="12.95" customHeight="1">
      <c r="A121" s="594"/>
      <c r="B121" s="594"/>
      <c r="C121" s="594"/>
      <c r="D121" s="594"/>
      <c r="E121" s="603" t="s">
        <v>9</v>
      </c>
      <c r="F121" s="108">
        <f>SUM(F118:F119)</f>
        <v>1749.7599999999998</v>
      </c>
      <c r="G121" s="603"/>
      <c r="H121" s="603"/>
      <c r="I121" s="80"/>
      <c r="J121" s="81"/>
      <c r="K121" s="103">
        <f>SUM(K118:K120)</f>
        <v>4636.8</v>
      </c>
      <c r="L121" s="103">
        <f>K121/F121</f>
        <v>2.649963423555231</v>
      </c>
      <c r="M121" s="79"/>
      <c r="N121" s="247"/>
    </row>
    <row r="122" spans="1:14" s="28" customFormat="1" ht="12.95" customHeight="1">
      <c r="A122" s="594">
        <v>10320</v>
      </c>
      <c r="B122" s="594" t="s">
        <v>1190</v>
      </c>
      <c r="C122" s="89" t="s">
        <v>1026</v>
      </c>
      <c r="D122" s="89" t="s">
        <v>1176</v>
      </c>
      <c r="E122" s="594" t="s">
        <v>127</v>
      </c>
      <c r="F122" s="222">
        <f>1000*1.0936</f>
        <v>1093.5999999999999</v>
      </c>
      <c r="G122" s="594" t="s">
        <v>27</v>
      </c>
      <c r="H122" s="79"/>
      <c r="I122" s="80">
        <v>63</v>
      </c>
      <c r="J122" s="81">
        <v>22</v>
      </c>
      <c r="K122" s="81">
        <f t="shared" ref="K122:K124" si="28">I122*J122</f>
        <v>1386</v>
      </c>
      <c r="L122" s="594"/>
      <c r="M122" s="594"/>
      <c r="N122" s="247"/>
    </row>
    <row r="123" spans="1:14" s="28" customFormat="1" ht="12.95" customHeight="1">
      <c r="A123" s="594"/>
      <c r="B123" s="594"/>
      <c r="C123" s="594"/>
      <c r="D123" s="594"/>
      <c r="E123" s="594"/>
      <c r="F123" s="87"/>
      <c r="G123" s="598" t="s">
        <v>49</v>
      </c>
      <c r="H123" s="79"/>
      <c r="I123" s="80">
        <v>5</v>
      </c>
      <c r="J123" s="81">
        <v>34</v>
      </c>
      <c r="K123" s="81">
        <f t="shared" si="28"/>
        <v>170</v>
      </c>
      <c r="L123" s="594"/>
      <c r="M123" s="594"/>
      <c r="N123" s="247"/>
    </row>
    <row r="124" spans="1:14" s="28" customFormat="1" ht="12.95" customHeight="1">
      <c r="A124" s="594"/>
      <c r="B124" s="594"/>
      <c r="C124" s="594"/>
      <c r="D124" s="594"/>
      <c r="E124" s="594"/>
      <c r="F124" s="594"/>
      <c r="G124" s="594" t="s">
        <v>19</v>
      </c>
      <c r="H124" s="79"/>
      <c r="I124" s="80">
        <v>1.5</v>
      </c>
      <c r="J124" s="81">
        <v>74</v>
      </c>
      <c r="K124" s="81">
        <f t="shared" si="28"/>
        <v>111</v>
      </c>
      <c r="L124" s="594"/>
      <c r="M124" s="594"/>
      <c r="N124" s="247"/>
    </row>
    <row r="125" spans="1:14" s="28" customFormat="1" ht="12.95" customHeight="1">
      <c r="A125" s="594"/>
      <c r="B125" s="594"/>
      <c r="C125" s="594"/>
      <c r="D125" s="594"/>
      <c r="E125" s="603" t="s">
        <v>9</v>
      </c>
      <c r="F125" s="108">
        <f>SUM(F122:F123)</f>
        <v>1093.5999999999999</v>
      </c>
      <c r="G125" s="603"/>
      <c r="H125" s="603"/>
      <c r="I125" s="80"/>
      <c r="J125" s="81"/>
      <c r="K125" s="103">
        <f>SUM(K122:K124)</f>
        <v>1667</v>
      </c>
      <c r="L125" s="103">
        <f>K125/F125</f>
        <v>1.5243233357717632</v>
      </c>
      <c r="M125" s="594"/>
      <c r="N125" s="247"/>
    </row>
    <row r="126" spans="1:14" s="28" customFormat="1" ht="12.95" customHeight="1">
      <c r="A126" s="594">
        <v>10330</v>
      </c>
      <c r="B126" s="594" t="s">
        <v>990</v>
      </c>
      <c r="C126" s="89" t="s">
        <v>766</v>
      </c>
      <c r="D126" s="89" t="s">
        <v>465</v>
      </c>
      <c r="E126" s="594" t="s">
        <v>232</v>
      </c>
      <c r="F126" s="99">
        <f>4800*1.0936</f>
        <v>5249.28</v>
      </c>
      <c r="G126" s="594" t="s">
        <v>27</v>
      </c>
      <c r="H126" s="79"/>
      <c r="I126" s="80">
        <v>175</v>
      </c>
      <c r="J126" s="81">
        <v>22</v>
      </c>
      <c r="K126" s="81">
        <f t="shared" ref="K126:K128" si="29">I126*J126</f>
        <v>3850</v>
      </c>
      <c r="L126" s="594"/>
      <c r="M126" s="594"/>
      <c r="N126" s="247"/>
    </row>
    <row r="127" spans="1:14" s="28" customFormat="1" ht="12.95" customHeight="1">
      <c r="A127" s="594"/>
      <c r="B127" s="594"/>
      <c r="C127" s="594"/>
      <c r="D127" s="594"/>
      <c r="E127" s="594"/>
      <c r="F127" s="87"/>
      <c r="G127" s="598" t="s">
        <v>49</v>
      </c>
      <c r="H127" s="79"/>
      <c r="I127" s="80">
        <v>14</v>
      </c>
      <c r="J127" s="81">
        <v>34</v>
      </c>
      <c r="K127" s="81">
        <f t="shared" si="29"/>
        <v>476</v>
      </c>
      <c r="L127" s="594"/>
      <c r="M127" s="594"/>
      <c r="N127" s="247"/>
    </row>
    <row r="128" spans="1:14" s="28" customFormat="1" ht="12.95" customHeight="1">
      <c r="A128" s="594"/>
      <c r="B128" s="594"/>
      <c r="C128" s="594"/>
      <c r="D128" s="594"/>
      <c r="E128" s="594"/>
      <c r="F128" s="594"/>
      <c r="G128" s="594" t="s">
        <v>19</v>
      </c>
      <c r="H128" s="79"/>
      <c r="I128" s="80">
        <v>4.2</v>
      </c>
      <c r="J128" s="81">
        <v>74</v>
      </c>
      <c r="K128" s="81">
        <f t="shared" si="29"/>
        <v>310.8</v>
      </c>
      <c r="L128" s="594"/>
      <c r="M128" s="594"/>
      <c r="N128" s="247"/>
    </row>
    <row r="129" spans="1:14" s="28" customFormat="1" ht="12.95" customHeight="1">
      <c r="A129" s="594"/>
      <c r="B129" s="594"/>
      <c r="C129" s="594"/>
      <c r="D129" s="594"/>
      <c r="E129" s="603" t="s">
        <v>9</v>
      </c>
      <c r="F129" s="108">
        <f>SUM(F126:F128)</f>
        <v>5249.28</v>
      </c>
      <c r="G129" s="603"/>
      <c r="H129" s="603"/>
      <c r="I129" s="80"/>
      <c r="J129" s="81"/>
      <c r="K129" s="103">
        <f>SUM(K126:K128)</f>
        <v>4636.8</v>
      </c>
      <c r="L129" s="103">
        <f>K129/F129</f>
        <v>0.88332114118507687</v>
      </c>
      <c r="M129" s="594"/>
      <c r="N129" s="247"/>
    </row>
    <row r="130" spans="1:14" s="28" customFormat="1" ht="12.95" customHeight="1">
      <c r="A130" s="594">
        <v>10337</v>
      </c>
      <c r="B130" s="594" t="s">
        <v>1173</v>
      </c>
      <c r="C130" s="594" t="s">
        <v>516</v>
      </c>
      <c r="D130" s="594" t="s">
        <v>1174</v>
      </c>
      <c r="E130" s="594" t="s">
        <v>1175</v>
      </c>
      <c r="F130" s="222">
        <f>435*1.0936</f>
        <v>475.71599999999995</v>
      </c>
      <c r="G130" s="598" t="s">
        <v>25</v>
      </c>
      <c r="H130" s="79"/>
      <c r="I130" s="80">
        <v>20</v>
      </c>
      <c r="J130" s="81">
        <v>172</v>
      </c>
      <c r="K130" s="81">
        <f t="shared" ref="K130:K131" si="30">I130*J130</f>
        <v>3440</v>
      </c>
      <c r="L130" s="594"/>
      <c r="M130" s="594"/>
      <c r="N130" s="247"/>
    </row>
    <row r="131" spans="1:14" s="28" customFormat="1" ht="12.95" customHeight="1">
      <c r="A131" s="594"/>
      <c r="B131" s="594"/>
      <c r="C131" s="594"/>
      <c r="D131" s="594"/>
      <c r="E131" s="594"/>
      <c r="F131" s="99"/>
      <c r="G131" s="594" t="s">
        <v>19</v>
      </c>
      <c r="H131" s="79"/>
      <c r="I131" s="80">
        <v>20</v>
      </c>
      <c r="J131" s="81">
        <v>74</v>
      </c>
      <c r="K131" s="81">
        <f t="shared" si="30"/>
        <v>1480</v>
      </c>
      <c r="L131" s="594"/>
      <c r="M131" s="594"/>
      <c r="N131" s="247"/>
    </row>
    <row r="132" spans="1:14" s="28" customFormat="1" ht="12.95" customHeight="1">
      <c r="A132" s="594"/>
      <c r="B132" s="594"/>
      <c r="C132" s="594"/>
      <c r="D132" s="594"/>
      <c r="E132" s="603" t="s">
        <v>9</v>
      </c>
      <c r="F132" s="108">
        <f>SUM(F130:F131)</f>
        <v>475.71599999999995</v>
      </c>
      <c r="G132" s="603"/>
      <c r="H132" s="603"/>
      <c r="I132" s="80"/>
      <c r="J132" s="81"/>
      <c r="K132" s="103">
        <f>SUM(K130:K131)</f>
        <v>4920</v>
      </c>
      <c r="L132" s="103">
        <f>K132/F132</f>
        <v>10.342305072774513</v>
      </c>
      <c r="M132" s="594"/>
      <c r="N132" s="247"/>
    </row>
    <row r="133" spans="1:14" s="28" customFormat="1" ht="12.95" customHeight="1">
      <c r="A133" s="590"/>
      <c r="B133" s="590"/>
      <c r="C133" s="590"/>
      <c r="D133" s="133" t="s">
        <v>30</v>
      </c>
      <c r="E133" s="186"/>
      <c r="F133" s="134">
        <f>F117+F121+F125+F129+F132</f>
        <v>10536.835999999999</v>
      </c>
      <c r="G133" s="135"/>
      <c r="H133" s="135"/>
      <c r="I133" s="135"/>
      <c r="J133" s="135"/>
      <c r="K133" s="134">
        <f>K117+K121+K125+K129+K132</f>
        <v>22484.6</v>
      </c>
      <c r="L133" s="151">
        <f>K133/F133</f>
        <v>2.133904333331182</v>
      </c>
      <c r="M133" s="137"/>
      <c r="N133" s="247"/>
    </row>
    <row r="134" spans="1:14" s="71" customFormat="1" ht="12" customHeight="1">
      <c r="A134" s="70" t="s">
        <v>11</v>
      </c>
      <c r="B134" s="70"/>
      <c r="C134" s="70"/>
      <c r="D134" s="70"/>
      <c r="E134" s="70"/>
      <c r="K134" s="824" t="s">
        <v>1199</v>
      </c>
      <c r="L134" s="824"/>
      <c r="M134" s="824"/>
    </row>
    <row r="135" spans="1:14" s="71" customFormat="1" ht="12.95" customHeight="1">
      <c r="A135" s="592" t="s">
        <v>0</v>
      </c>
      <c r="B135" s="592" t="s">
        <v>7</v>
      </c>
      <c r="C135" s="592" t="s">
        <v>13</v>
      </c>
      <c r="D135" s="592" t="s">
        <v>14</v>
      </c>
      <c r="E135" s="592" t="s">
        <v>8</v>
      </c>
      <c r="F135" s="592" t="s">
        <v>1</v>
      </c>
      <c r="G135" s="592" t="s">
        <v>2</v>
      </c>
      <c r="H135" s="592" t="s">
        <v>15</v>
      </c>
      <c r="I135" s="592" t="s">
        <v>3</v>
      </c>
      <c r="J135" s="592" t="s">
        <v>4</v>
      </c>
      <c r="K135" s="592" t="s">
        <v>5</v>
      </c>
      <c r="L135" s="592" t="s">
        <v>12</v>
      </c>
      <c r="M135" s="592" t="s">
        <v>6</v>
      </c>
      <c r="N135" s="123"/>
    </row>
    <row r="136" spans="1:14" s="71" customFormat="1" ht="12.95" customHeight="1">
      <c r="A136" s="594">
        <v>8063</v>
      </c>
      <c r="B136" s="594" t="s">
        <v>1014</v>
      </c>
      <c r="C136" s="594" t="s">
        <v>792</v>
      </c>
      <c r="D136" s="594" t="s">
        <v>1016</v>
      </c>
      <c r="E136" s="594" t="s">
        <v>93</v>
      </c>
      <c r="F136" s="90">
        <f>7500*1.0936</f>
        <v>8202</v>
      </c>
      <c r="G136" s="173" t="s">
        <v>298</v>
      </c>
      <c r="H136" s="79"/>
      <c r="I136" s="80">
        <f>9</f>
        <v>9</v>
      </c>
      <c r="J136" s="81">
        <v>435</v>
      </c>
      <c r="K136" s="94">
        <f t="shared" ref="K136:K137" si="31">I136*J136</f>
        <v>3915</v>
      </c>
      <c r="L136" s="79"/>
      <c r="M136" s="79"/>
    </row>
    <row r="137" spans="1:14" s="71" customFormat="1" ht="12.95" customHeight="1">
      <c r="A137" s="594"/>
      <c r="B137" s="594" t="s">
        <v>1105</v>
      </c>
      <c r="C137" s="594" t="s">
        <v>792</v>
      </c>
      <c r="D137" s="594" t="s">
        <v>1016</v>
      </c>
      <c r="E137" s="594" t="s">
        <v>93</v>
      </c>
      <c r="F137" s="90">
        <f>5150*1.0936</f>
        <v>5632.04</v>
      </c>
      <c r="G137" s="598" t="s">
        <v>1164</v>
      </c>
      <c r="H137" s="192"/>
      <c r="I137" s="189">
        <v>90</v>
      </c>
      <c r="J137" s="103">
        <v>480</v>
      </c>
      <c r="K137" s="81">
        <f t="shared" si="31"/>
        <v>43200</v>
      </c>
      <c r="L137" s="79"/>
      <c r="M137" s="79"/>
    </row>
    <row r="138" spans="1:14" s="71" customFormat="1" ht="12.95" customHeight="1">
      <c r="A138" s="594"/>
      <c r="B138" s="594" t="s">
        <v>1045</v>
      </c>
      <c r="C138" s="594" t="s">
        <v>792</v>
      </c>
      <c r="D138" s="594" t="s">
        <v>1016</v>
      </c>
      <c r="E138" s="594" t="s">
        <v>93</v>
      </c>
      <c r="F138" s="90">
        <f>9200*1.0936</f>
        <v>10061.119999999999</v>
      </c>
      <c r="G138" s="598" t="s">
        <v>798</v>
      </c>
      <c r="H138" s="79"/>
      <c r="I138" s="81">
        <v>9</v>
      </c>
      <c r="J138" s="81">
        <v>248</v>
      </c>
      <c r="K138" s="81">
        <f>I138*J138</f>
        <v>2232</v>
      </c>
      <c r="L138" s="79"/>
      <c r="M138" s="79"/>
    </row>
    <row r="139" spans="1:14" s="71" customFormat="1" ht="12.95" customHeight="1">
      <c r="A139" s="594"/>
      <c r="B139" s="594"/>
      <c r="C139" s="594"/>
      <c r="D139" s="594"/>
      <c r="E139" s="603" t="s">
        <v>9</v>
      </c>
      <c r="F139" s="108">
        <f>SUM(F136:F138)</f>
        <v>23895.16</v>
      </c>
      <c r="G139" s="603"/>
      <c r="H139" s="603"/>
      <c r="I139" s="81"/>
      <c r="J139" s="81"/>
      <c r="K139" s="103">
        <f>SUM(K136:K138)</f>
        <v>49347</v>
      </c>
      <c r="L139" s="103">
        <f>K139/F139</f>
        <v>2.0651462471898077</v>
      </c>
      <c r="M139" s="79"/>
    </row>
    <row r="140" spans="1:14" s="71" customFormat="1" ht="12.95" customHeight="1">
      <c r="A140" s="594">
        <v>8064</v>
      </c>
      <c r="B140" s="594" t="s">
        <v>1077</v>
      </c>
      <c r="C140" s="89" t="s">
        <v>1150</v>
      </c>
      <c r="D140" s="89" t="s">
        <v>1151</v>
      </c>
      <c r="E140" s="594" t="s">
        <v>879</v>
      </c>
      <c r="F140" s="90">
        <f>16000*1.0936</f>
        <v>17497.599999999999</v>
      </c>
      <c r="G140" s="598" t="s">
        <v>587</v>
      </c>
      <c r="H140" s="79"/>
      <c r="I140" s="81">
        <v>16</v>
      </c>
      <c r="J140" s="81">
        <v>456</v>
      </c>
      <c r="K140" s="94">
        <f t="shared" ref="K140" si="32">I140*J140</f>
        <v>7296</v>
      </c>
      <c r="L140" s="79"/>
      <c r="M140" s="79"/>
    </row>
    <row r="141" spans="1:14" s="71" customFormat="1" ht="12.95" customHeight="1">
      <c r="A141" s="594"/>
      <c r="B141" s="594"/>
      <c r="C141" s="594"/>
      <c r="D141" s="594"/>
      <c r="E141" s="594"/>
      <c r="F141" s="99"/>
      <c r="G141" s="598" t="s">
        <v>206</v>
      </c>
      <c r="H141" s="79"/>
      <c r="I141" s="80"/>
      <c r="J141" s="81">
        <v>375</v>
      </c>
      <c r="K141" s="81">
        <f t="shared" ref="K141" si="33">I141*J141</f>
        <v>0</v>
      </c>
      <c r="L141" s="79"/>
      <c r="M141" s="79"/>
    </row>
    <row r="142" spans="1:14" s="71" customFormat="1" ht="12.95" customHeight="1">
      <c r="A142" s="594"/>
      <c r="B142" s="594"/>
      <c r="C142" s="594"/>
      <c r="D142" s="594"/>
      <c r="E142" s="603" t="s">
        <v>9</v>
      </c>
      <c r="F142" s="108">
        <f>SUM(F140:F141)</f>
        <v>17497.599999999999</v>
      </c>
      <c r="G142" s="603"/>
      <c r="H142" s="603"/>
      <c r="I142" s="81"/>
      <c r="J142" s="81"/>
      <c r="K142" s="103">
        <f>SUM(K140:K141)</f>
        <v>7296</v>
      </c>
      <c r="L142" s="103">
        <f>K142/F142</f>
        <v>0.41697147037307974</v>
      </c>
      <c r="M142" s="79"/>
    </row>
    <row r="143" spans="1:14" s="71" customFormat="1" ht="12.95" customHeight="1">
      <c r="A143" s="594">
        <v>8068</v>
      </c>
      <c r="B143" s="594" t="s">
        <v>1120</v>
      </c>
      <c r="C143" s="594" t="s">
        <v>121</v>
      </c>
      <c r="D143" s="594" t="s">
        <v>369</v>
      </c>
      <c r="E143" s="594" t="s">
        <v>1133</v>
      </c>
      <c r="F143" s="222">
        <f>1000*1.0936</f>
        <v>1093.5999999999999</v>
      </c>
      <c r="G143" s="173" t="s">
        <v>298</v>
      </c>
      <c r="H143" s="79"/>
      <c r="I143" s="80">
        <v>2</v>
      </c>
      <c r="J143" s="81">
        <v>435</v>
      </c>
      <c r="K143" s="94">
        <f t="shared" ref="K143:K144" si="34">I143*J143</f>
        <v>870</v>
      </c>
      <c r="L143" s="79"/>
      <c r="M143" s="79"/>
    </row>
    <row r="144" spans="1:14" s="71" customFormat="1" ht="12.95" customHeight="1">
      <c r="A144" s="594"/>
      <c r="B144" s="594"/>
      <c r="C144" s="594"/>
      <c r="D144" s="594"/>
      <c r="E144" s="594"/>
      <c r="F144" s="87"/>
      <c r="G144" s="173" t="s">
        <v>799</v>
      </c>
      <c r="H144" s="79"/>
      <c r="I144" s="188">
        <v>2</v>
      </c>
      <c r="J144" s="81">
        <v>350</v>
      </c>
      <c r="K144" s="94">
        <f t="shared" si="34"/>
        <v>700</v>
      </c>
      <c r="L144" s="79"/>
      <c r="M144" s="79"/>
    </row>
    <row r="145" spans="1:14" s="71" customFormat="1" ht="12.95" customHeight="1">
      <c r="A145" s="594"/>
      <c r="B145" s="594"/>
      <c r="C145" s="594"/>
      <c r="D145" s="594"/>
      <c r="E145" s="594"/>
      <c r="F145" s="87"/>
      <c r="G145" s="598" t="s">
        <v>798</v>
      </c>
      <c r="H145" s="79"/>
      <c r="I145" s="81">
        <v>1</v>
      </c>
      <c r="J145" s="81">
        <v>248</v>
      </c>
      <c r="K145" s="81">
        <f>I145*J145</f>
        <v>248</v>
      </c>
      <c r="L145" s="79"/>
      <c r="M145" s="79"/>
    </row>
    <row r="146" spans="1:14" s="71" customFormat="1" ht="12.95" customHeight="1">
      <c r="A146" s="594"/>
      <c r="B146" s="594"/>
      <c r="C146" s="594"/>
      <c r="D146" s="594"/>
      <c r="E146" s="603" t="s">
        <v>9</v>
      </c>
      <c r="F146" s="108">
        <f>SUM(F143:F145)</f>
        <v>1093.5999999999999</v>
      </c>
      <c r="G146" s="603"/>
      <c r="H146" s="603"/>
      <c r="I146" s="81"/>
      <c r="J146" s="81"/>
      <c r="K146" s="103">
        <f>SUM(K143:K145)</f>
        <v>1818</v>
      </c>
      <c r="L146" s="103">
        <f>K146/F146</f>
        <v>1.6623994147768839</v>
      </c>
      <c r="M146" s="79"/>
    </row>
    <row r="147" spans="1:14" s="71" customFormat="1" ht="12.95" customHeight="1">
      <c r="A147" s="594">
        <v>8066</v>
      </c>
      <c r="B147" s="594" t="s">
        <v>1138</v>
      </c>
      <c r="C147" s="594" t="s">
        <v>121</v>
      </c>
      <c r="D147" s="594" t="s">
        <v>1136</v>
      </c>
      <c r="E147" s="594" t="s">
        <v>1139</v>
      </c>
      <c r="F147" s="222">
        <f>65*1.0936</f>
        <v>71.083999999999989</v>
      </c>
      <c r="G147" s="173" t="s">
        <v>298</v>
      </c>
      <c r="H147" s="79"/>
      <c r="I147" s="80">
        <v>5</v>
      </c>
      <c r="J147" s="81">
        <v>435</v>
      </c>
      <c r="K147" s="94">
        <f t="shared" ref="K147:K148" si="35">I147*J147</f>
        <v>2175</v>
      </c>
      <c r="L147" s="79"/>
      <c r="M147" s="79"/>
    </row>
    <row r="148" spans="1:14" s="71" customFormat="1" ht="12.95" customHeight="1">
      <c r="A148" s="594"/>
      <c r="B148" s="594"/>
      <c r="C148" s="594"/>
      <c r="D148" s="594"/>
      <c r="E148" s="594"/>
      <c r="F148" s="87"/>
      <c r="G148" s="173" t="s">
        <v>799</v>
      </c>
      <c r="H148" s="79"/>
      <c r="I148" s="188">
        <v>5</v>
      </c>
      <c r="J148" s="81">
        <v>350</v>
      </c>
      <c r="K148" s="94">
        <f t="shared" si="35"/>
        <v>1750</v>
      </c>
      <c r="L148" s="79"/>
      <c r="M148" s="79"/>
    </row>
    <row r="149" spans="1:14" s="71" customFormat="1" ht="12.95" customHeight="1">
      <c r="A149" s="594"/>
      <c r="B149" s="594"/>
      <c r="C149" s="594"/>
      <c r="D149" s="594"/>
      <c r="E149" s="603" t="s">
        <v>9</v>
      </c>
      <c r="F149" s="108">
        <f>SUM(F147:F148)</f>
        <v>71.083999999999989</v>
      </c>
      <c r="G149" s="603"/>
      <c r="H149" s="603"/>
      <c r="I149" s="81"/>
      <c r="J149" s="81"/>
      <c r="K149" s="103">
        <f>SUM(K147:K148)</f>
        <v>3925</v>
      </c>
      <c r="L149" s="103">
        <f>K149/F149</f>
        <v>55.216363738675376</v>
      </c>
      <c r="M149" s="79"/>
    </row>
    <row r="150" spans="1:14" s="71" customFormat="1" ht="12.95" customHeight="1">
      <c r="A150" s="594">
        <v>8065</v>
      </c>
      <c r="B150" s="594" t="s">
        <v>1111</v>
      </c>
      <c r="C150" s="89" t="s">
        <v>700</v>
      </c>
      <c r="D150" s="89" t="s">
        <v>297</v>
      </c>
      <c r="E150" s="594" t="s">
        <v>1112</v>
      </c>
      <c r="F150" s="90">
        <f>4450*1.0936</f>
        <v>4866.5199999999995</v>
      </c>
      <c r="G150" s="598" t="s">
        <v>587</v>
      </c>
      <c r="H150" s="79"/>
      <c r="I150" s="81">
        <v>5</v>
      </c>
      <c r="J150" s="81">
        <v>456</v>
      </c>
      <c r="K150" s="94">
        <f t="shared" ref="K150" si="36">I150*J150</f>
        <v>2280</v>
      </c>
      <c r="L150" s="79"/>
      <c r="M150" s="79"/>
    </row>
    <row r="151" spans="1:14" s="71" customFormat="1" ht="12.95" customHeight="1">
      <c r="A151" s="594"/>
      <c r="B151" s="594"/>
      <c r="C151" s="594"/>
      <c r="D151" s="594"/>
      <c r="E151" s="594"/>
      <c r="F151" s="87"/>
      <c r="G151" s="173" t="s">
        <v>799</v>
      </c>
      <c r="H151" s="79"/>
      <c r="I151" s="188">
        <v>6</v>
      </c>
      <c r="J151" s="81">
        <v>350</v>
      </c>
      <c r="K151" s="94">
        <f t="shared" ref="K151:K153" si="37">I151*J151</f>
        <v>2100</v>
      </c>
      <c r="L151" s="79"/>
      <c r="M151" s="79"/>
    </row>
    <row r="152" spans="1:14" s="71" customFormat="1" ht="12.95" customHeight="1">
      <c r="A152" s="594"/>
      <c r="B152" s="594"/>
      <c r="C152" s="594"/>
      <c r="D152" s="594"/>
      <c r="E152" s="594"/>
      <c r="F152" s="87"/>
      <c r="G152" s="598" t="s">
        <v>206</v>
      </c>
      <c r="H152" s="79"/>
      <c r="I152" s="81">
        <v>1</v>
      </c>
      <c r="J152" s="81">
        <v>375</v>
      </c>
      <c r="K152" s="81">
        <f t="shared" si="37"/>
        <v>375</v>
      </c>
      <c r="L152" s="79"/>
      <c r="M152" s="79"/>
    </row>
    <row r="153" spans="1:14" s="71" customFormat="1" ht="12.95" customHeight="1">
      <c r="A153" s="594"/>
      <c r="B153" s="594"/>
      <c r="C153" s="594"/>
      <c r="D153" s="594"/>
      <c r="E153" s="594"/>
      <c r="F153" s="87"/>
      <c r="G153" s="598" t="s">
        <v>1192</v>
      </c>
      <c r="H153" s="79"/>
      <c r="I153" s="80">
        <v>6</v>
      </c>
      <c r="J153" s="81">
        <v>342</v>
      </c>
      <c r="K153" s="94">
        <f t="shared" si="37"/>
        <v>2052</v>
      </c>
      <c r="L153" s="79"/>
      <c r="M153" s="79"/>
    </row>
    <row r="154" spans="1:14" s="71" customFormat="1" ht="12.95" customHeight="1">
      <c r="A154" s="594"/>
      <c r="B154" s="594"/>
      <c r="C154" s="594"/>
      <c r="D154" s="594"/>
      <c r="E154" s="603" t="s">
        <v>9</v>
      </c>
      <c r="F154" s="108">
        <f>SUM(F150:F153)</f>
        <v>4866.5199999999995</v>
      </c>
      <c r="G154" s="603"/>
      <c r="H154" s="603"/>
      <c r="I154" s="81"/>
      <c r="J154" s="81"/>
      <c r="K154" s="103">
        <f>SUM(K150:K153)</f>
        <v>6807</v>
      </c>
      <c r="L154" s="103">
        <f>K154/F154</f>
        <v>1.3987407839688322</v>
      </c>
      <c r="M154" s="79"/>
    </row>
    <row r="155" spans="1:14" s="71" customFormat="1" ht="12.95" customHeight="1">
      <c r="A155" s="107"/>
      <c r="B155" s="107"/>
      <c r="C155" s="107"/>
      <c r="D155" s="133" t="s">
        <v>30</v>
      </c>
      <c r="E155" s="133"/>
      <c r="F155" s="134">
        <f>F142+F146+F149+F154</f>
        <v>23528.803999999996</v>
      </c>
      <c r="G155" s="135"/>
      <c r="H155" s="135"/>
      <c r="I155" s="135"/>
      <c r="J155" s="135"/>
      <c r="K155" s="134">
        <f>K139+K142+K146+K149+K154</f>
        <v>69193</v>
      </c>
      <c r="L155" s="151">
        <f>K155/F155</f>
        <v>2.9407784603076301</v>
      </c>
      <c r="M155" s="107"/>
    </row>
    <row r="156" spans="1:14" s="71" customFormat="1" ht="12.95" customHeight="1">
      <c r="A156" s="106" t="s">
        <v>42</v>
      </c>
      <c r="B156" s="106"/>
      <c r="C156" s="106"/>
      <c r="D156" s="106"/>
      <c r="E156" s="106"/>
      <c r="F156" s="107"/>
      <c r="G156" s="107"/>
      <c r="H156" s="107"/>
      <c r="I156" s="107"/>
      <c r="J156" s="107"/>
      <c r="K156" s="867" t="s">
        <v>1199</v>
      </c>
      <c r="L156" s="867"/>
      <c r="M156" s="867"/>
    </row>
    <row r="157" spans="1:14" s="71" customFormat="1" ht="12.95" customHeight="1">
      <c r="A157" s="603" t="s">
        <v>0</v>
      </c>
      <c r="B157" s="603" t="s">
        <v>7</v>
      </c>
      <c r="C157" s="603" t="s">
        <v>13</v>
      </c>
      <c r="D157" s="603" t="s">
        <v>14</v>
      </c>
      <c r="E157" s="603" t="s">
        <v>8</v>
      </c>
      <c r="F157" s="603" t="s">
        <v>1</v>
      </c>
      <c r="G157" s="603" t="s">
        <v>2</v>
      </c>
      <c r="H157" s="603" t="s">
        <v>15</v>
      </c>
      <c r="I157" s="603" t="s">
        <v>3</v>
      </c>
      <c r="J157" s="603" t="s">
        <v>4</v>
      </c>
      <c r="K157" s="603" t="s">
        <v>5</v>
      </c>
      <c r="L157" s="603" t="s">
        <v>12</v>
      </c>
      <c r="M157" s="603" t="s">
        <v>6</v>
      </c>
      <c r="N157" s="123"/>
    </row>
    <row r="158" spans="1:14" s="71" customFormat="1" ht="12.95" customHeight="1">
      <c r="A158" s="594">
        <v>6444</v>
      </c>
      <c r="B158" s="594" t="s">
        <v>493</v>
      </c>
      <c r="C158" s="594" t="s">
        <v>494</v>
      </c>
      <c r="D158" s="594" t="s">
        <v>495</v>
      </c>
      <c r="E158" s="594" t="s">
        <v>561</v>
      </c>
      <c r="F158" s="87"/>
      <c r="G158" s="602" t="s">
        <v>209</v>
      </c>
      <c r="H158" s="79"/>
      <c r="I158" s="80"/>
      <c r="J158" s="81">
        <v>350</v>
      </c>
      <c r="K158" s="81">
        <f t="shared" ref="K158:K160" si="38">I158*J158</f>
        <v>0</v>
      </c>
      <c r="L158" s="79"/>
      <c r="M158" s="79"/>
    </row>
    <row r="159" spans="1:14" s="71" customFormat="1" ht="12.95" customHeight="1">
      <c r="A159" s="594"/>
      <c r="B159" s="594"/>
      <c r="C159" s="594"/>
      <c r="D159" s="594"/>
      <c r="E159" s="594" t="s">
        <v>93</v>
      </c>
      <c r="F159" s="87"/>
      <c r="G159" s="602" t="s">
        <v>466</v>
      </c>
      <c r="H159" s="109"/>
      <c r="I159" s="80"/>
      <c r="J159" s="81">
        <v>790</v>
      </c>
      <c r="K159" s="81">
        <f t="shared" si="38"/>
        <v>0</v>
      </c>
      <c r="L159" s="79"/>
      <c r="M159" s="79"/>
    </row>
    <row r="160" spans="1:14" s="71" customFormat="1" ht="12.95" customHeight="1">
      <c r="A160" s="594"/>
      <c r="B160" s="594"/>
      <c r="C160" s="594"/>
      <c r="D160" s="594"/>
      <c r="E160" s="594"/>
      <c r="F160" s="87"/>
      <c r="G160" s="602" t="s">
        <v>272</v>
      </c>
      <c r="H160" s="109"/>
      <c r="I160" s="80"/>
      <c r="J160" s="81">
        <v>700</v>
      </c>
      <c r="K160" s="81">
        <f t="shared" si="38"/>
        <v>0</v>
      </c>
      <c r="L160" s="79"/>
      <c r="M160" s="79"/>
    </row>
    <row r="161" spans="1:13" s="71" customFormat="1" ht="12.95" customHeight="1">
      <c r="A161" s="594"/>
      <c r="B161" s="594"/>
      <c r="C161" s="594"/>
      <c r="D161" s="594"/>
      <c r="E161" s="594"/>
      <c r="F161" s="108"/>
      <c r="G161" s="598" t="s">
        <v>211</v>
      </c>
      <c r="H161" s="79"/>
      <c r="I161" s="80"/>
      <c r="J161" s="81">
        <v>120</v>
      </c>
      <c r="K161" s="81">
        <f>I161*J161</f>
        <v>0</v>
      </c>
      <c r="L161" s="79"/>
      <c r="M161" s="79"/>
    </row>
    <row r="162" spans="1:13" s="71" customFormat="1" ht="12.95" customHeight="1">
      <c r="A162" s="594"/>
      <c r="B162" s="594"/>
      <c r="C162" s="594"/>
      <c r="D162" s="594"/>
      <c r="E162" s="594"/>
      <c r="F162" s="87"/>
      <c r="G162" s="598" t="s">
        <v>212</v>
      </c>
      <c r="H162" s="79"/>
      <c r="I162" s="80"/>
      <c r="J162" s="81">
        <v>280</v>
      </c>
      <c r="K162" s="81">
        <f t="shared" ref="K162:K164" si="39">I162*J162</f>
        <v>0</v>
      </c>
      <c r="L162" s="79"/>
      <c r="M162" s="79"/>
    </row>
    <row r="163" spans="1:13" s="71" customFormat="1" ht="12.95" customHeight="1">
      <c r="A163" s="594"/>
      <c r="B163" s="594"/>
      <c r="C163" s="594"/>
      <c r="D163" s="594"/>
      <c r="E163" s="594"/>
      <c r="F163" s="87"/>
      <c r="G163" s="598" t="s">
        <v>213</v>
      </c>
      <c r="H163" s="79"/>
      <c r="I163" s="80"/>
      <c r="J163" s="81">
        <v>348</v>
      </c>
      <c r="K163" s="81">
        <f t="shared" si="39"/>
        <v>0</v>
      </c>
      <c r="L163" s="79"/>
      <c r="M163" s="79"/>
    </row>
    <row r="164" spans="1:13" s="71" customFormat="1" ht="12.95" customHeight="1">
      <c r="A164" s="594"/>
      <c r="B164" s="594"/>
      <c r="C164" s="193"/>
      <c r="D164" s="193"/>
      <c r="E164" s="193"/>
      <c r="F164" s="87"/>
      <c r="G164" s="598" t="s">
        <v>45</v>
      </c>
      <c r="H164" s="79"/>
      <c r="I164" s="80"/>
      <c r="J164" s="81">
        <v>45</v>
      </c>
      <c r="K164" s="81">
        <f t="shared" si="39"/>
        <v>0</v>
      </c>
      <c r="L164" s="79"/>
      <c r="M164" s="79"/>
    </row>
    <row r="165" spans="1:13" s="71" customFormat="1" ht="12.95" customHeight="1">
      <c r="A165" s="594"/>
      <c r="B165" s="594"/>
      <c r="C165" s="193"/>
      <c r="D165" s="193"/>
      <c r="E165" s="603" t="s">
        <v>9</v>
      </c>
      <c r="F165" s="108">
        <f>SUM(F158:F164)</f>
        <v>0</v>
      </c>
      <c r="G165" s="603"/>
      <c r="H165" s="603"/>
      <c r="I165" s="81"/>
      <c r="J165" s="81"/>
      <c r="K165" s="103">
        <f>SUM(K158:K164)</f>
        <v>0</v>
      </c>
      <c r="L165" s="103" t="e">
        <f>K165/F165</f>
        <v>#DIV/0!</v>
      </c>
      <c r="M165" s="79"/>
    </row>
    <row r="166" spans="1:13" s="71" customFormat="1" ht="12.95" customHeight="1">
      <c r="A166" s="107"/>
      <c r="B166" s="107"/>
      <c r="C166" s="107"/>
      <c r="D166" s="133" t="s">
        <v>30</v>
      </c>
      <c r="E166" s="133"/>
      <c r="F166" s="134">
        <f>F165</f>
        <v>0</v>
      </c>
      <c r="G166" s="135"/>
      <c r="H166" s="135"/>
      <c r="I166" s="135"/>
      <c r="J166" s="135"/>
      <c r="K166" s="134">
        <f>K165</f>
        <v>0</v>
      </c>
      <c r="L166" s="151" t="e">
        <f>K166/F166</f>
        <v>#DIV/0!</v>
      </c>
      <c r="M166" s="107"/>
    </row>
    <row r="167" spans="1:13" s="71" customFormat="1" ht="12.95" customHeight="1">
      <c r="A167" s="107"/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</row>
    <row r="168" spans="1:13" s="71" customFormat="1" ht="12.95" customHeight="1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</row>
    <row r="169" spans="1:13" s="71" customFormat="1" ht="12.95" customHeight="1">
      <c r="A169" s="107"/>
      <c r="B169" s="107"/>
      <c r="C169" s="107"/>
      <c r="D169" s="133" t="s">
        <v>1009</v>
      </c>
      <c r="E169" s="405">
        <f>F111+F166</f>
        <v>8273.0840000000007</v>
      </c>
      <c r="F169" s="133"/>
      <c r="G169" s="134">
        <f>K26+K65+K77+K111+K133+K155+K166</f>
        <v>434865.56999999995</v>
      </c>
      <c r="H169" s="135"/>
      <c r="I169" s="135"/>
      <c r="J169" s="135"/>
      <c r="K169" s="135"/>
      <c r="L169" s="134">
        <f>G169/E169</f>
        <v>52.563901200567997</v>
      </c>
      <c r="M169" s="107"/>
    </row>
    <row r="170" spans="1:13" s="71" customFormat="1" ht="12.95" customHeight="1">
      <c r="A170" s="107"/>
      <c r="B170" s="107"/>
      <c r="C170" s="107"/>
      <c r="D170" s="109" t="s">
        <v>855</v>
      </c>
      <c r="E170" s="406"/>
      <c r="F170" s="109"/>
      <c r="G170" s="359">
        <f>K86+K87+K88+K92+K93+K94+K95+K99+K100+K101+K105+K106+K107</f>
        <v>48104.969999999994</v>
      </c>
      <c r="H170" s="370"/>
      <c r="I170" s="359">
        <f>'19'!I197+'20'!G170</f>
        <v>1714709.03</v>
      </c>
      <c r="J170" s="438">
        <f>G170+M195</f>
        <v>50293.705999999991</v>
      </c>
      <c r="K170" s="360"/>
      <c r="L170" s="396"/>
      <c r="M170" s="107"/>
    </row>
    <row r="171" spans="1:13" s="71" customFormat="1" ht="12.95" customHeight="1">
      <c r="A171" s="107"/>
      <c r="B171" s="107"/>
      <c r="C171" s="107"/>
      <c r="D171" s="323" t="s">
        <v>854</v>
      </c>
      <c r="E171" s="361"/>
      <c r="F171" s="323"/>
      <c r="G171" s="397">
        <f>G169-G170</f>
        <v>386760.6</v>
      </c>
      <c r="H171" s="398"/>
      <c r="I171" s="359">
        <f>'19'!I198+'20'!G171</f>
        <v>3854892.6810000003</v>
      </c>
      <c r="J171" s="400"/>
      <c r="K171" s="400"/>
      <c r="L171" s="401"/>
      <c r="M171" s="107"/>
    </row>
    <row r="172" spans="1:13" s="71" customFormat="1" ht="12.95" customHeight="1">
      <c r="A172" s="107"/>
      <c r="B172" s="107"/>
      <c r="C172" s="107"/>
      <c r="D172" s="109" t="s">
        <v>853</v>
      </c>
      <c r="E172" s="407"/>
      <c r="F172" s="109"/>
      <c r="G172" s="410">
        <f>SUM(G170:G171)</f>
        <v>434865.56999999995</v>
      </c>
      <c r="H172" s="402"/>
      <c r="I172" s="403">
        <f>'01'!G327+'02'!G374+'03'!G467+'04'!G377</f>
        <v>0</v>
      </c>
      <c r="J172" s="402"/>
      <c r="K172" s="402"/>
      <c r="L172" s="404">
        <f>G172/E169</f>
        <v>52.563901200567997</v>
      </c>
      <c r="M172" s="107"/>
    </row>
    <row r="173" spans="1:13" s="71" customFormat="1" ht="12.95" customHeight="1">
      <c r="A173" s="107"/>
      <c r="B173" s="107"/>
      <c r="C173" s="107"/>
      <c r="D173" s="795" t="s">
        <v>906</v>
      </c>
      <c r="E173" s="796"/>
      <c r="F173" s="109"/>
      <c r="G173" s="409">
        <f>M183</f>
        <v>0</v>
      </c>
      <c r="H173" s="392"/>
      <c r="I173" s="391"/>
      <c r="J173" s="391"/>
      <c r="K173" s="393"/>
      <c r="L173" s="107"/>
      <c r="M173" s="107"/>
    </row>
    <row r="174" spans="1:13" s="71" customFormat="1" ht="12.95" customHeight="1">
      <c r="A174" s="107"/>
      <c r="B174" s="107"/>
      <c r="C174" s="107"/>
      <c r="D174" s="106"/>
      <c r="E174" s="106"/>
      <c r="F174" s="106"/>
      <c r="G174" s="106"/>
      <c r="H174" s="246"/>
      <c r="I174" s="106"/>
      <c r="J174" s="106"/>
      <c r="K174" s="106"/>
      <c r="L174" s="106"/>
      <c r="M174" s="107"/>
    </row>
    <row r="175" spans="1:13" s="71" customFormat="1" ht="12.95" customHeight="1">
      <c r="A175" s="107"/>
      <c r="B175" s="107"/>
      <c r="C175" s="107"/>
      <c r="D175" s="829" t="s">
        <v>852</v>
      </c>
      <c r="E175" s="829"/>
      <c r="F175" s="357">
        <f>G196</f>
        <v>142270</v>
      </c>
      <c r="G175" s="106"/>
      <c r="H175" s="500" t="s">
        <v>908</v>
      </c>
      <c r="I175" s="832" t="s">
        <v>405</v>
      </c>
      <c r="J175" s="833"/>
      <c r="K175" s="80">
        <f>0.04+0.03+0.006+0.19</f>
        <v>0.26600000000000001</v>
      </c>
      <c r="L175" s="81">
        <v>1708</v>
      </c>
      <c r="M175" s="81">
        <f t="shared" ref="M175:M194" si="40">K175*L175</f>
        <v>454.32800000000003</v>
      </c>
    </row>
    <row r="176" spans="1:13" s="71" customFormat="1" ht="12.95" customHeight="1">
      <c r="A176" s="107"/>
      <c r="B176" s="107"/>
      <c r="C176" s="107"/>
      <c r="D176" s="829" t="s">
        <v>835</v>
      </c>
      <c r="E176" s="829"/>
      <c r="F176" s="357">
        <f>G181+G182</f>
        <v>127870</v>
      </c>
      <c r="G176" s="106"/>
      <c r="H176" s="500" t="s">
        <v>909</v>
      </c>
      <c r="I176" s="832" t="s">
        <v>183</v>
      </c>
      <c r="J176" s="833"/>
      <c r="K176" s="80">
        <f>0.092+0.03+0.09+0.105</f>
        <v>0.317</v>
      </c>
      <c r="L176" s="81">
        <v>1600</v>
      </c>
      <c r="M176" s="81">
        <f t="shared" si="40"/>
        <v>507.2</v>
      </c>
    </row>
    <row r="177" spans="1:13" s="71" customFormat="1" ht="12.95" customHeight="1">
      <c r="A177" s="107"/>
      <c r="B177" s="107"/>
      <c r="C177" s="107"/>
      <c r="D177" s="829" t="s">
        <v>836</v>
      </c>
      <c r="E177" s="829"/>
      <c r="F177" s="357">
        <f>G195</f>
        <v>14400</v>
      </c>
      <c r="G177" s="106"/>
      <c r="H177" s="500" t="s">
        <v>910</v>
      </c>
      <c r="I177" s="834" t="s">
        <v>190</v>
      </c>
      <c r="J177" s="835"/>
      <c r="K177" s="80">
        <f>0.04+0.12</f>
        <v>0.16</v>
      </c>
      <c r="L177" s="81">
        <v>644</v>
      </c>
      <c r="M177" s="81">
        <f t="shared" si="40"/>
        <v>103.04</v>
      </c>
    </row>
    <row r="178" spans="1:13" s="71" customFormat="1" ht="12.95" customHeight="1">
      <c r="A178" s="107"/>
      <c r="B178" s="107"/>
      <c r="C178" s="107"/>
      <c r="D178" s="589" t="s">
        <v>847</v>
      </c>
      <c r="E178" s="589"/>
      <c r="F178" s="357">
        <f>F175-G171</f>
        <v>-244490.59999999998</v>
      </c>
      <c r="G178" s="106"/>
      <c r="H178" s="500" t="s">
        <v>908</v>
      </c>
      <c r="I178" s="830" t="s">
        <v>192</v>
      </c>
      <c r="J178" s="831"/>
      <c r="K178" s="80">
        <f>0.04+0.09+0.55</f>
        <v>0.68</v>
      </c>
      <c r="L178" s="81">
        <v>1126</v>
      </c>
      <c r="M178" s="81">
        <f t="shared" si="40"/>
        <v>765.68000000000006</v>
      </c>
    </row>
    <row r="179" spans="1:13" s="71" customFormat="1" ht="12.95" customHeight="1">
      <c r="A179" s="107"/>
      <c r="B179" s="107"/>
      <c r="C179" s="107"/>
      <c r="D179" s="106"/>
      <c r="E179" s="106"/>
      <c r="F179" s="106"/>
      <c r="G179" s="106"/>
      <c r="H179" s="500" t="s">
        <v>912</v>
      </c>
      <c r="I179" s="830" t="s">
        <v>196</v>
      </c>
      <c r="J179" s="831"/>
      <c r="K179" s="80">
        <v>1.4E-2</v>
      </c>
      <c r="L179" s="81">
        <v>888</v>
      </c>
      <c r="M179" s="81">
        <f t="shared" si="40"/>
        <v>12.432</v>
      </c>
    </row>
    <row r="180" spans="1:13" s="71" customFormat="1" ht="12.95" customHeight="1">
      <c r="A180" s="107"/>
      <c r="B180" s="868" t="s">
        <v>833</v>
      </c>
      <c r="C180" s="869"/>
      <c r="D180" s="603" t="s">
        <v>844</v>
      </c>
      <c r="E180" s="603" t="s">
        <v>845</v>
      </c>
      <c r="F180" s="603" t="s">
        <v>846</v>
      </c>
      <c r="G180" s="603" t="s">
        <v>5</v>
      </c>
      <c r="H180" s="500" t="s">
        <v>911</v>
      </c>
      <c r="I180" s="830" t="s">
        <v>279</v>
      </c>
      <c r="J180" s="831"/>
      <c r="K180" s="79">
        <v>0.04</v>
      </c>
      <c r="L180" s="81">
        <v>689</v>
      </c>
      <c r="M180" s="573">
        <f t="shared" si="40"/>
        <v>27.560000000000002</v>
      </c>
    </row>
    <row r="181" spans="1:13" s="71" customFormat="1" ht="12.95" customHeight="1">
      <c r="A181" s="107"/>
      <c r="B181" s="107"/>
      <c r="C181" s="107"/>
      <c r="D181" s="603" t="s">
        <v>837</v>
      </c>
      <c r="E181" s="109">
        <v>15.5</v>
      </c>
      <c r="F181" s="332">
        <v>8140</v>
      </c>
      <c r="G181" s="329">
        <f>F181*E181</f>
        <v>126170</v>
      </c>
      <c r="H181" s="500" t="s">
        <v>909</v>
      </c>
      <c r="I181" s="830" t="s">
        <v>926</v>
      </c>
      <c r="J181" s="831"/>
      <c r="K181" s="79">
        <f>0.075+0.073</f>
        <v>0.14799999999999999</v>
      </c>
      <c r="L181" s="79">
        <v>2152</v>
      </c>
      <c r="M181" s="573">
        <f t="shared" si="40"/>
        <v>318.49599999999998</v>
      </c>
    </row>
    <row r="182" spans="1:13" s="71" customFormat="1" ht="12.95" customHeight="1">
      <c r="A182" s="107"/>
      <c r="B182" s="107"/>
      <c r="C182" s="107"/>
      <c r="D182" s="603" t="s">
        <v>1062</v>
      </c>
      <c r="E182" s="109">
        <v>34</v>
      </c>
      <c r="F182" s="332">
        <v>50</v>
      </c>
      <c r="G182" s="329">
        <f t="shared" ref="G182:G193" si="41">F182*E182</f>
        <v>1700</v>
      </c>
      <c r="H182" s="500" t="s">
        <v>911</v>
      </c>
      <c r="I182" s="832" t="s">
        <v>314</v>
      </c>
      <c r="J182" s="833"/>
      <c r="K182" s="80"/>
      <c r="L182" s="81">
        <v>1695</v>
      </c>
      <c r="M182" s="81">
        <f t="shared" si="40"/>
        <v>0</v>
      </c>
    </row>
    <row r="183" spans="1:13" s="71" customFormat="1" ht="12.95" customHeight="1">
      <c r="A183" s="591"/>
      <c r="B183" s="106"/>
      <c r="C183" s="106"/>
      <c r="D183" s="331" t="s">
        <v>843</v>
      </c>
      <c r="E183" s="109"/>
      <c r="F183" s="332">
        <f>SUM(F181:F182)</f>
        <v>8190</v>
      </c>
      <c r="G183" s="329">
        <f>SUM(G181:G182)</f>
        <v>127870</v>
      </c>
      <c r="H183" s="106"/>
      <c r="I183" s="830" t="s">
        <v>281</v>
      </c>
      <c r="J183" s="831"/>
      <c r="K183" s="80"/>
      <c r="L183" s="81">
        <v>1035</v>
      </c>
      <c r="M183" s="81">
        <f t="shared" si="40"/>
        <v>0</v>
      </c>
    </row>
    <row r="184" spans="1:13" s="71" customFormat="1" ht="12.95" customHeight="1">
      <c r="A184" s="107"/>
      <c r="B184" s="107"/>
      <c r="C184" s="107"/>
      <c r="D184" s="603" t="s">
        <v>1070</v>
      </c>
      <c r="E184" s="109">
        <v>227</v>
      </c>
      <c r="F184" s="332"/>
      <c r="G184" s="329">
        <f t="shared" si="41"/>
        <v>0</v>
      </c>
      <c r="H184" s="106"/>
      <c r="I184" s="830" t="s">
        <v>282</v>
      </c>
      <c r="J184" s="831"/>
      <c r="K184" s="80"/>
      <c r="L184" s="81">
        <v>840</v>
      </c>
      <c r="M184" s="81">
        <f t="shared" si="40"/>
        <v>0</v>
      </c>
    </row>
    <row r="185" spans="1:13" s="71" customFormat="1" ht="12.95" customHeight="1">
      <c r="A185" s="107"/>
      <c r="B185" s="107"/>
      <c r="C185" s="107"/>
      <c r="D185" s="603" t="s">
        <v>1065</v>
      </c>
      <c r="E185" s="389">
        <v>165</v>
      </c>
      <c r="F185" s="332"/>
      <c r="G185" s="329">
        <f t="shared" si="41"/>
        <v>0</v>
      </c>
      <c r="H185" s="106"/>
      <c r="I185" s="830" t="s">
        <v>199</v>
      </c>
      <c r="J185" s="831"/>
      <c r="K185" s="80"/>
      <c r="L185" s="81">
        <v>530</v>
      </c>
      <c r="M185" s="81">
        <f t="shared" si="40"/>
        <v>0</v>
      </c>
    </row>
    <row r="186" spans="1:13" s="71" customFormat="1" ht="12.95" customHeight="1">
      <c r="A186" s="107"/>
      <c r="B186" s="107"/>
      <c r="C186" s="107"/>
      <c r="D186" s="390" t="s">
        <v>1066</v>
      </c>
      <c r="E186" s="389">
        <v>165</v>
      </c>
      <c r="F186" s="332"/>
      <c r="G186" s="329">
        <f t="shared" si="41"/>
        <v>0</v>
      </c>
      <c r="H186" s="106"/>
      <c r="I186" s="832" t="s">
        <v>183</v>
      </c>
      <c r="J186" s="833"/>
      <c r="K186" s="80"/>
      <c r="L186" s="81">
        <v>1600</v>
      </c>
      <c r="M186" s="81">
        <f t="shared" si="40"/>
        <v>0</v>
      </c>
    </row>
    <row r="187" spans="1:13" s="71" customFormat="1" ht="12.95" customHeight="1">
      <c r="A187" s="107"/>
      <c r="B187" s="107"/>
      <c r="C187" s="107"/>
      <c r="D187" s="603" t="s">
        <v>1067</v>
      </c>
      <c r="E187" s="389">
        <v>416</v>
      </c>
      <c r="F187" s="535"/>
      <c r="G187" s="329">
        <f t="shared" si="41"/>
        <v>0</v>
      </c>
      <c r="H187" s="106"/>
      <c r="I187" s="871"/>
      <c r="J187" s="871"/>
      <c r="K187" s="80"/>
      <c r="L187" s="81"/>
      <c r="M187" s="81">
        <f t="shared" si="40"/>
        <v>0</v>
      </c>
    </row>
    <row r="188" spans="1:13" s="71" customFormat="1" ht="12.95" customHeight="1">
      <c r="A188" s="107"/>
      <c r="B188" s="107"/>
      <c r="C188" s="107"/>
      <c r="D188" s="603" t="s">
        <v>907</v>
      </c>
      <c r="E188" s="389">
        <v>46</v>
      </c>
      <c r="F188" s="332"/>
      <c r="G188" s="329">
        <f t="shared" si="41"/>
        <v>0</v>
      </c>
      <c r="H188" s="107"/>
      <c r="I188" s="873"/>
      <c r="J188" s="874"/>
      <c r="K188" s="79"/>
      <c r="L188" s="79"/>
      <c r="M188" s="81">
        <f t="shared" si="40"/>
        <v>0</v>
      </c>
    </row>
    <row r="189" spans="1:13" s="71" customFormat="1" ht="12.95" customHeight="1">
      <c r="A189" s="107"/>
      <c r="B189" s="107"/>
      <c r="C189" s="107"/>
      <c r="D189" s="603" t="s">
        <v>27</v>
      </c>
      <c r="E189" s="109">
        <v>22</v>
      </c>
      <c r="F189" s="332"/>
      <c r="G189" s="329">
        <f t="shared" si="41"/>
        <v>0</v>
      </c>
      <c r="H189" s="107"/>
      <c r="I189" s="873"/>
      <c r="J189" s="874"/>
      <c r="K189" s="79"/>
      <c r="L189" s="79"/>
      <c r="M189" s="81">
        <f t="shared" si="40"/>
        <v>0</v>
      </c>
    </row>
    <row r="190" spans="1:13" s="71" customFormat="1" ht="12.95" customHeight="1">
      <c r="A190" s="107"/>
      <c r="B190" s="107"/>
      <c r="C190" s="107"/>
      <c r="D190" s="603" t="s">
        <v>1062</v>
      </c>
      <c r="E190" s="109">
        <v>34</v>
      </c>
      <c r="F190" s="332"/>
      <c r="G190" s="329">
        <f t="shared" si="41"/>
        <v>0</v>
      </c>
      <c r="H190" s="107"/>
      <c r="I190" s="873"/>
      <c r="J190" s="874"/>
      <c r="K190" s="79"/>
      <c r="L190" s="79"/>
      <c r="M190" s="81">
        <f t="shared" si="40"/>
        <v>0</v>
      </c>
    </row>
    <row r="191" spans="1:13" s="71" customFormat="1" ht="12.95" customHeight="1">
      <c r="A191" s="107"/>
      <c r="B191" s="107"/>
      <c r="C191" s="107"/>
      <c r="D191" s="603" t="s">
        <v>24</v>
      </c>
      <c r="E191" s="109">
        <v>74</v>
      </c>
      <c r="F191" s="332"/>
      <c r="G191" s="329">
        <f t="shared" si="41"/>
        <v>0</v>
      </c>
      <c r="H191" s="107"/>
      <c r="I191" s="873"/>
      <c r="J191" s="874"/>
      <c r="K191" s="79"/>
      <c r="L191" s="79"/>
      <c r="M191" s="81">
        <f t="shared" si="40"/>
        <v>0</v>
      </c>
    </row>
    <row r="192" spans="1:13" s="71" customFormat="1" ht="12.95" customHeight="1">
      <c r="A192" s="107"/>
      <c r="B192" s="107"/>
      <c r="C192" s="107"/>
      <c r="D192" s="534" t="s">
        <v>185</v>
      </c>
      <c r="E192" s="109">
        <v>490</v>
      </c>
      <c r="F192" s="332"/>
      <c r="G192" s="329">
        <f t="shared" si="41"/>
        <v>0</v>
      </c>
      <c r="H192" s="107"/>
      <c r="I192" s="873"/>
      <c r="J192" s="874"/>
      <c r="K192" s="79"/>
      <c r="L192" s="79"/>
      <c r="M192" s="81">
        <f t="shared" si="40"/>
        <v>0</v>
      </c>
    </row>
    <row r="193" spans="1:13" s="71" customFormat="1" ht="12.95" customHeight="1">
      <c r="A193" s="107"/>
      <c r="B193" s="107"/>
      <c r="C193" s="107"/>
      <c r="D193" s="603" t="s">
        <v>184</v>
      </c>
      <c r="E193" s="109">
        <v>336</v>
      </c>
      <c r="F193" s="332"/>
      <c r="G193" s="329">
        <f t="shared" si="41"/>
        <v>0</v>
      </c>
      <c r="H193" s="107"/>
      <c r="I193" s="873"/>
      <c r="J193" s="874"/>
      <c r="K193" s="79"/>
      <c r="L193" s="79"/>
      <c r="M193" s="81">
        <f t="shared" si="40"/>
        <v>0</v>
      </c>
    </row>
    <row r="194" spans="1:13" s="71" customFormat="1" ht="12.95" customHeight="1">
      <c r="A194" s="107"/>
      <c r="B194" s="107"/>
      <c r="C194" s="107"/>
      <c r="D194" s="603" t="s">
        <v>839</v>
      </c>
      <c r="E194" s="109">
        <v>120</v>
      </c>
      <c r="F194" s="332">
        <v>120</v>
      </c>
      <c r="G194" s="329">
        <f t="shared" ref="G194" si="42">F194*E194</f>
        <v>14400</v>
      </c>
      <c r="H194" s="107"/>
      <c r="I194" s="872"/>
      <c r="J194" s="872"/>
      <c r="K194" s="797"/>
      <c r="L194" s="192"/>
      <c r="M194" s="81">
        <f t="shared" si="40"/>
        <v>0</v>
      </c>
    </row>
    <row r="195" spans="1:13" s="71" customFormat="1" ht="12.95" customHeight="1">
      <c r="A195" s="107"/>
      <c r="B195" s="107"/>
      <c r="C195" s="107"/>
      <c r="D195" s="331" t="s">
        <v>843</v>
      </c>
      <c r="E195" s="109"/>
      <c r="F195" s="332">
        <f>SUM(F194)</f>
        <v>120</v>
      </c>
      <c r="G195" s="329">
        <f>SUM(G194)</f>
        <v>14400</v>
      </c>
      <c r="H195" s="107"/>
      <c r="I195" s="872" t="s">
        <v>906</v>
      </c>
      <c r="J195" s="872"/>
      <c r="K195" s="797">
        <f>SUM(K176:K189)</f>
        <v>1.359</v>
      </c>
      <c r="L195" s="192"/>
      <c r="M195" s="798">
        <f>SUM(M175:M194)</f>
        <v>2188.7359999999999</v>
      </c>
    </row>
    <row r="196" spans="1:13" s="71" customFormat="1" ht="12.95" customHeight="1">
      <c r="A196" s="107"/>
      <c r="B196" s="107"/>
      <c r="C196" s="107"/>
      <c r="D196" s="331" t="s">
        <v>969</v>
      </c>
      <c r="E196" s="109"/>
      <c r="F196" s="332">
        <f>F183+F195</f>
        <v>8310</v>
      </c>
      <c r="G196" s="329">
        <f>G183+G195</f>
        <v>142270</v>
      </c>
      <c r="H196" s="107"/>
      <c r="I196" s="109"/>
      <c r="J196" s="109"/>
      <c r="K196" s="109"/>
      <c r="L196" s="109"/>
      <c r="M196" s="122">
        <f>G170+M195</f>
        <v>50293.705999999991</v>
      </c>
    </row>
    <row r="197" spans="1:13" s="71" customFormat="1" ht="12.95" customHeight="1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</row>
    <row r="198" spans="1:13" s="71" customFormat="1" ht="12.95" customHeight="1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</row>
    <row r="199" spans="1:13" s="71" customFormat="1" ht="12.95" customHeight="1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</row>
    <row r="200" spans="1:13" s="71" customFormat="1" ht="12.95" customHeight="1"/>
    <row r="201" spans="1:13" s="71" customFormat="1" ht="12.95" customHeight="1"/>
    <row r="202" spans="1:13" s="71" customFormat="1" ht="12.95" customHeight="1"/>
    <row r="203" spans="1:13" s="71" customFormat="1" ht="12.95" customHeight="1"/>
    <row r="204" spans="1:13" s="71" customFormat="1" ht="12.95" customHeight="1"/>
    <row r="205" spans="1:13" s="71" customFormat="1" ht="12.95" customHeight="1"/>
    <row r="206" spans="1:13" s="71" customFormat="1" ht="12.95" customHeight="1"/>
    <row r="207" spans="1:13" s="28" customFormat="1" ht="12.95" customHeight="1"/>
    <row r="208" spans="1:13" s="28" customFormat="1" ht="12.95" customHeight="1">
      <c r="A208" s="870" t="s">
        <v>240</v>
      </c>
      <c r="B208" s="870"/>
      <c r="C208" s="870" t="s">
        <v>765</v>
      </c>
      <c r="D208" s="870"/>
      <c r="E208" s="870" t="s">
        <v>764</v>
      </c>
      <c r="F208" s="870"/>
      <c r="G208" s="391" t="s">
        <v>66</v>
      </c>
      <c r="H208" s="870" t="s">
        <v>411</v>
      </c>
      <c r="I208" s="870"/>
      <c r="J208" s="870"/>
      <c r="K208" s="870" t="s">
        <v>68</v>
      </c>
      <c r="L208" s="870"/>
      <c r="M208" s="870"/>
    </row>
    <row r="209" s="28" customFormat="1" ht="12.95" customHeight="1"/>
  </sheetData>
  <mergeCells count="41">
    <mergeCell ref="K208:M208"/>
    <mergeCell ref="I181:J181"/>
    <mergeCell ref="I182:J182"/>
    <mergeCell ref="I183:J183"/>
    <mergeCell ref="A208:B208"/>
    <mergeCell ref="C208:D208"/>
    <mergeCell ref="E208:F208"/>
    <mergeCell ref="H208:J208"/>
    <mergeCell ref="I184:J184"/>
    <mergeCell ref="I185:J185"/>
    <mergeCell ref="I186:J186"/>
    <mergeCell ref="I187:J187"/>
    <mergeCell ref="I194:J194"/>
    <mergeCell ref="I195:J195"/>
    <mergeCell ref="I188:J188"/>
    <mergeCell ref="I189:J189"/>
    <mergeCell ref="I190:J190"/>
    <mergeCell ref="I191:J191"/>
    <mergeCell ref="I192:J192"/>
    <mergeCell ref="I193:J193"/>
    <mergeCell ref="D177:E177"/>
    <mergeCell ref="I177:J177"/>
    <mergeCell ref="I178:J178"/>
    <mergeCell ref="I179:J179"/>
    <mergeCell ref="B180:C180"/>
    <mergeCell ref="I180:J180"/>
    <mergeCell ref="D175:E175"/>
    <mergeCell ref="D176:E176"/>
    <mergeCell ref="I175:J175"/>
    <mergeCell ref="I176:J176"/>
    <mergeCell ref="A1:M1"/>
    <mergeCell ref="A2:M2"/>
    <mergeCell ref="A3:M3"/>
    <mergeCell ref="K156:M156"/>
    <mergeCell ref="K112:M112"/>
    <mergeCell ref="K66:M66"/>
    <mergeCell ref="K78:M78"/>
    <mergeCell ref="K84:M84"/>
    <mergeCell ref="K134:M134"/>
    <mergeCell ref="K4:M4"/>
    <mergeCell ref="K27:M27"/>
  </mergeCells>
  <pageMargins left="0.7" right="0.7" top="0.75" bottom="0.75" header="0.3" footer="0.3"/>
  <pageSetup scale="7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49"/>
  <sheetViews>
    <sheetView topLeftCell="A31" workbookViewId="0">
      <selection activeCell="B94" sqref="B94:L98"/>
    </sheetView>
  </sheetViews>
  <sheetFormatPr defaultRowHeight="15"/>
  <cols>
    <col min="2" max="2" width="11.28515625" customWidth="1"/>
    <col min="3" max="3" width="13.42578125" customWidth="1"/>
    <col min="4" max="4" width="17.140625" customWidth="1"/>
    <col min="5" max="5" width="11.7109375" customWidth="1"/>
    <col min="6" max="6" width="10.5703125" bestFit="1" customWidth="1"/>
    <col min="7" max="7" width="21" customWidth="1"/>
    <col min="8" max="8" width="7.42578125" customWidth="1"/>
    <col min="9" max="9" width="12.5703125" bestFit="1" customWidth="1"/>
    <col min="10" max="10" width="10.5703125" bestFit="1" customWidth="1"/>
    <col min="11" max="11" width="11.5703125" bestFit="1" customWidth="1"/>
    <col min="12" max="12" width="9.42578125" customWidth="1"/>
    <col min="13" max="13" width="11.85546875" bestFit="1" customWidth="1"/>
    <col min="14" max="14" width="13.140625" customWidth="1"/>
  </cols>
  <sheetData>
    <row r="1" spans="1:14" ht="23.25">
      <c r="A1" s="846" t="s">
        <v>146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383"/>
    </row>
    <row r="2" spans="1:14" ht="14.45" customHeight="1">
      <c r="A2" s="827" t="s">
        <v>147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384"/>
    </row>
    <row r="3" spans="1:14" s="9" customFormat="1" ht="14.45" customHeight="1">
      <c r="A3" s="828" t="s">
        <v>148</v>
      </c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  <c r="M3" s="828"/>
      <c r="N3" s="385"/>
    </row>
    <row r="4" spans="1:14" ht="14.45" customHeight="1">
      <c r="A4" s="70" t="s">
        <v>21</v>
      </c>
      <c r="B4" s="70"/>
      <c r="C4" s="70"/>
      <c r="D4" s="70"/>
      <c r="E4" s="70"/>
      <c r="F4" s="71"/>
      <c r="G4" s="71"/>
      <c r="H4" s="71"/>
      <c r="I4" s="71"/>
      <c r="J4" s="71"/>
      <c r="K4" s="824" t="s">
        <v>1181</v>
      </c>
      <c r="L4" s="824"/>
      <c r="M4" s="824"/>
      <c r="N4" s="71"/>
    </row>
    <row r="5" spans="1:14" ht="14.45" customHeight="1">
      <c r="A5" s="172" t="s">
        <v>0</v>
      </c>
      <c r="B5" s="172" t="s">
        <v>7</v>
      </c>
      <c r="C5" s="172" t="s">
        <v>13</v>
      </c>
      <c r="D5" s="172" t="s">
        <v>14</v>
      </c>
      <c r="E5" s="172" t="s">
        <v>8</v>
      </c>
      <c r="F5" s="172" t="s">
        <v>1</v>
      </c>
      <c r="G5" s="172" t="s">
        <v>2</v>
      </c>
      <c r="H5" s="172" t="s">
        <v>15</v>
      </c>
      <c r="I5" s="172" t="s">
        <v>3</v>
      </c>
      <c r="J5" s="172" t="s">
        <v>4</v>
      </c>
      <c r="K5" s="172" t="s">
        <v>5</v>
      </c>
      <c r="L5" s="172" t="s">
        <v>12</v>
      </c>
      <c r="M5" s="172" t="s">
        <v>6</v>
      </c>
      <c r="N5" s="71"/>
    </row>
    <row r="6" spans="1:14" ht="14.45" customHeight="1">
      <c r="A6" s="85">
        <v>1</v>
      </c>
      <c r="B6" s="120" t="s">
        <v>511</v>
      </c>
      <c r="C6" s="120" t="s">
        <v>121</v>
      </c>
      <c r="D6" s="120" t="s">
        <v>369</v>
      </c>
      <c r="E6" s="120"/>
      <c r="F6" s="87"/>
      <c r="G6" s="120" t="s">
        <v>24</v>
      </c>
      <c r="H6" s="79"/>
      <c r="I6" s="80"/>
      <c r="J6" s="81">
        <v>74</v>
      </c>
      <c r="K6" s="81">
        <f t="shared" ref="K6:K8" si="0">I6*J6</f>
        <v>0</v>
      </c>
      <c r="L6" s="102"/>
      <c r="M6" s="156"/>
      <c r="N6" s="120" t="s">
        <v>173</v>
      </c>
    </row>
    <row r="7" spans="1:14" ht="14.45" customHeight="1">
      <c r="A7" s="85"/>
      <c r="B7" s="120"/>
      <c r="C7" s="120"/>
      <c r="D7" s="120"/>
      <c r="E7" s="85"/>
      <c r="F7" s="98"/>
      <c r="G7" s="88" t="s">
        <v>18</v>
      </c>
      <c r="H7" s="79"/>
      <c r="I7" s="80"/>
      <c r="J7" s="81">
        <v>46</v>
      </c>
      <c r="K7" s="81">
        <f t="shared" si="0"/>
        <v>0</v>
      </c>
      <c r="L7" s="102"/>
      <c r="M7" s="156"/>
      <c r="N7" s="120" t="s">
        <v>174</v>
      </c>
    </row>
    <row r="8" spans="1:14" ht="14.45" customHeight="1">
      <c r="A8" s="85"/>
      <c r="B8" s="120"/>
      <c r="C8" s="120"/>
      <c r="D8" s="120"/>
      <c r="E8" s="85"/>
      <c r="F8" s="98"/>
      <c r="G8" s="120" t="s">
        <v>171</v>
      </c>
      <c r="H8" s="79"/>
      <c r="I8" s="80"/>
      <c r="J8" s="81">
        <v>416</v>
      </c>
      <c r="K8" s="81">
        <f t="shared" si="0"/>
        <v>0</v>
      </c>
      <c r="L8" s="102"/>
      <c r="M8" s="156"/>
      <c r="N8" s="120" t="s">
        <v>172</v>
      </c>
    </row>
    <row r="9" spans="1:14" ht="14.45" customHeight="1">
      <c r="A9" s="85"/>
      <c r="B9" s="85"/>
      <c r="C9" s="85"/>
      <c r="D9" s="85"/>
      <c r="E9" s="172"/>
      <c r="F9" s="110"/>
      <c r="G9" s="120" t="s">
        <v>172</v>
      </c>
      <c r="H9" s="79"/>
      <c r="I9" s="80"/>
      <c r="J9" s="81">
        <v>165</v>
      </c>
      <c r="K9" s="81">
        <f>I9*J9</f>
        <v>0</v>
      </c>
      <c r="L9" s="102"/>
      <c r="M9" s="156"/>
      <c r="N9" s="120" t="s">
        <v>24</v>
      </c>
    </row>
    <row r="10" spans="1:14" ht="14.45" customHeight="1">
      <c r="A10" s="85"/>
      <c r="B10" s="120"/>
      <c r="C10" s="120"/>
      <c r="D10" s="120"/>
      <c r="E10" s="120"/>
      <c r="F10" s="87"/>
      <c r="G10" s="83" t="s">
        <v>181</v>
      </c>
      <c r="H10" s="79"/>
      <c r="I10" s="80"/>
      <c r="J10" s="81">
        <v>165</v>
      </c>
      <c r="K10" s="81">
        <f t="shared" ref="K10" si="1">I10*J10</f>
        <v>0</v>
      </c>
      <c r="L10" s="102"/>
      <c r="M10" s="156"/>
      <c r="N10" s="120" t="s">
        <v>175</v>
      </c>
    </row>
    <row r="11" spans="1:14" ht="14.45" customHeight="1">
      <c r="A11" s="85"/>
      <c r="B11" s="120"/>
      <c r="C11" s="120"/>
      <c r="D11" s="120"/>
      <c r="E11" s="261" t="s">
        <v>9</v>
      </c>
      <c r="F11" s="110">
        <f>SUM(F6:F10)</f>
        <v>0</v>
      </c>
      <c r="G11" s="261"/>
      <c r="H11" s="261"/>
      <c r="I11" s="125"/>
      <c r="J11" s="97"/>
      <c r="K11" s="111">
        <f>SUM(K6:K10)</f>
        <v>0</v>
      </c>
      <c r="L11" s="111" t="e">
        <f>K11/F11</f>
        <v>#DIV/0!</v>
      </c>
      <c r="M11" s="156"/>
      <c r="N11" s="83" t="s">
        <v>176</v>
      </c>
    </row>
    <row r="12" spans="1:14" ht="14.45" customHeight="1">
      <c r="A12" s="85"/>
      <c r="B12" s="120" t="s">
        <v>522</v>
      </c>
      <c r="C12" s="120" t="s">
        <v>253</v>
      </c>
      <c r="D12" s="120" t="s">
        <v>534</v>
      </c>
      <c r="E12" s="120"/>
      <c r="F12" s="87"/>
      <c r="G12" s="120" t="s">
        <v>170</v>
      </c>
      <c r="H12" s="79"/>
      <c r="I12" s="80"/>
      <c r="J12" s="81">
        <v>227</v>
      </c>
      <c r="K12" s="81">
        <f t="shared" ref="K12" si="2">I12*J12</f>
        <v>0</v>
      </c>
      <c r="L12" s="79"/>
      <c r="M12" s="156"/>
      <c r="N12" s="84" t="s">
        <v>10</v>
      </c>
    </row>
    <row r="13" spans="1:14" ht="14.45" customHeight="1">
      <c r="A13" s="85"/>
      <c r="B13" s="120"/>
      <c r="C13" s="120"/>
      <c r="D13" s="120"/>
      <c r="E13" s="172" t="s">
        <v>9</v>
      </c>
      <c r="F13" s="110">
        <f>SUM(F12)</f>
        <v>0</v>
      </c>
      <c r="G13" s="172"/>
      <c r="H13" s="172"/>
      <c r="I13" s="125"/>
      <c r="J13" s="97"/>
      <c r="K13" s="111">
        <f>SUM(K12)</f>
        <v>0</v>
      </c>
      <c r="L13" s="111" t="e">
        <f>K13/F13</f>
        <v>#DIV/0!</v>
      </c>
      <c r="M13" s="102"/>
      <c r="N13" s="71"/>
    </row>
    <row r="14" spans="1:14" ht="14.45" customHeight="1">
      <c r="A14" s="71"/>
      <c r="B14" s="71"/>
      <c r="C14" s="71"/>
      <c r="D14" s="126" t="s">
        <v>30</v>
      </c>
      <c r="E14" s="126"/>
      <c r="F14" s="127">
        <f>F11+F13</f>
        <v>0</v>
      </c>
      <c r="G14" s="128"/>
      <c r="H14" s="128"/>
      <c r="I14" s="128"/>
      <c r="J14" s="128"/>
      <c r="K14" s="127">
        <f>K11+K13</f>
        <v>0</v>
      </c>
      <c r="L14" s="129" t="e">
        <f>K14/F14</f>
        <v>#DIV/0!</v>
      </c>
      <c r="M14" s="71"/>
      <c r="N14" s="71"/>
    </row>
    <row r="15" spans="1:14" ht="14.45" customHeight="1">
      <c r="A15" s="70" t="s">
        <v>23</v>
      </c>
      <c r="B15" s="70"/>
      <c r="C15" s="70"/>
      <c r="D15" s="70"/>
      <c r="E15" s="70"/>
      <c r="F15" s="71"/>
      <c r="G15" s="71"/>
      <c r="H15" s="71"/>
      <c r="I15" s="71"/>
      <c r="J15" s="71"/>
      <c r="K15" s="824" t="s">
        <v>1181</v>
      </c>
      <c r="L15" s="824"/>
      <c r="M15" s="824"/>
      <c r="N15" s="71"/>
    </row>
    <row r="16" spans="1:14" ht="14.45" customHeight="1">
      <c r="A16" s="172" t="s">
        <v>0</v>
      </c>
      <c r="B16" s="172" t="s">
        <v>7</v>
      </c>
      <c r="C16" s="172" t="s">
        <v>13</v>
      </c>
      <c r="D16" s="172" t="s">
        <v>14</v>
      </c>
      <c r="E16" s="172" t="s">
        <v>8</v>
      </c>
      <c r="F16" s="172" t="s">
        <v>1</v>
      </c>
      <c r="G16" s="172" t="s">
        <v>2</v>
      </c>
      <c r="H16" s="172" t="s">
        <v>15</v>
      </c>
      <c r="I16" s="172" t="s">
        <v>3</v>
      </c>
      <c r="J16" s="172" t="s">
        <v>4</v>
      </c>
      <c r="K16" s="172" t="s">
        <v>5</v>
      </c>
      <c r="L16" s="172" t="s">
        <v>12</v>
      </c>
      <c r="M16" s="172" t="s">
        <v>6</v>
      </c>
      <c r="N16" s="71"/>
    </row>
    <row r="17" spans="1:14" ht="14.45" customHeight="1">
      <c r="A17" s="85">
        <v>1</v>
      </c>
      <c r="B17" s="120" t="s">
        <v>451</v>
      </c>
      <c r="C17" s="120" t="s">
        <v>121</v>
      </c>
      <c r="D17" s="120" t="s">
        <v>290</v>
      </c>
      <c r="E17" s="262"/>
      <c r="F17" s="87"/>
      <c r="G17" s="120" t="s">
        <v>24</v>
      </c>
      <c r="H17" s="79"/>
      <c r="I17" s="80"/>
      <c r="J17" s="81">
        <v>74</v>
      </c>
      <c r="K17" s="81">
        <f t="shared" ref="K17:K19" si="3">I17*J17</f>
        <v>0</v>
      </c>
      <c r="L17" s="102"/>
      <c r="M17" s="124"/>
      <c r="N17" s="71"/>
    </row>
    <row r="18" spans="1:14" ht="14.45" customHeight="1">
      <c r="A18" s="85"/>
      <c r="B18" s="120"/>
      <c r="C18" s="120"/>
      <c r="D18" s="120"/>
      <c r="E18" s="85"/>
      <c r="F18" s="98"/>
      <c r="G18" s="88" t="s">
        <v>18</v>
      </c>
      <c r="H18" s="79"/>
      <c r="I18" s="80"/>
      <c r="J18" s="81">
        <v>46</v>
      </c>
      <c r="K18" s="81">
        <f t="shared" si="3"/>
        <v>0</v>
      </c>
      <c r="L18" s="102"/>
      <c r="M18" s="102"/>
      <c r="N18" s="71"/>
    </row>
    <row r="19" spans="1:14" ht="14.45" customHeight="1">
      <c r="A19" s="85"/>
      <c r="B19" s="120"/>
      <c r="C19" s="120"/>
      <c r="D19" s="120"/>
      <c r="E19" s="85"/>
      <c r="F19" s="98"/>
      <c r="G19" s="120" t="s">
        <v>171</v>
      </c>
      <c r="H19" s="79"/>
      <c r="I19" s="80"/>
      <c r="J19" s="81">
        <v>416</v>
      </c>
      <c r="K19" s="81">
        <f t="shared" si="3"/>
        <v>0</v>
      </c>
      <c r="L19" s="102"/>
      <c r="M19" s="102"/>
      <c r="N19" s="71"/>
    </row>
    <row r="20" spans="1:14" ht="14.45" customHeight="1">
      <c r="A20" s="85"/>
      <c r="B20" s="85"/>
      <c r="C20" s="85"/>
      <c r="D20" s="85"/>
      <c r="E20" s="85"/>
      <c r="F20" s="98"/>
      <c r="G20" s="120" t="s">
        <v>172</v>
      </c>
      <c r="H20" s="79"/>
      <c r="I20" s="80"/>
      <c r="J20" s="81">
        <v>165</v>
      </c>
      <c r="K20" s="81">
        <f>I20*J20</f>
        <v>0</v>
      </c>
      <c r="L20" s="102"/>
      <c r="M20" s="102"/>
      <c r="N20" s="71"/>
    </row>
    <row r="21" spans="1:14" ht="14.45" customHeight="1">
      <c r="A21" s="85"/>
      <c r="B21" s="85"/>
      <c r="C21" s="85"/>
      <c r="D21" s="85"/>
      <c r="E21" s="85"/>
      <c r="F21" s="98"/>
      <c r="G21" s="83" t="s">
        <v>181</v>
      </c>
      <c r="H21" s="79"/>
      <c r="I21" s="80"/>
      <c r="J21" s="81">
        <v>165</v>
      </c>
      <c r="K21" s="81">
        <f t="shared" ref="K21" si="4">I21*J21</f>
        <v>0</v>
      </c>
      <c r="L21" s="102"/>
      <c r="M21" s="102"/>
      <c r="N21" s="71"/>
    </row>
    <row r="22" spans="1:14" ht="14.45" customHeight="1">
      <c r="A22" s="85"/>
      <c r="B22" s="85"/>
      <c r="C22" s="85"/>
      <c r="D22" s="85"/>
      <c r="E22" s="172" t="s">
        <v>9</v>
      </c>
      <c r="F22" s="110">
        <f>SUM(F17:F21)</f>
        <v>0</v>
      </c>
      <c r="G22" s="172"/>
      <c r="H22" s="172"/>
      <c r="I22" s="125"/>
      <c r="J22" s="97"/>
      <c r="K22" s="111">
        <f>SUM(K17:K21)</f>
        <v>0</v>
      </c>
      <c r="L22" s="111" t="e">
        <f>K22/F22</f>
        <v>#DIV/0!</v>
      </c>
      <c r="M22" s="102"/>
      <c r="N22" s="71"/>
    </row>
    <row r="23" spans="1:14" ht="14.45" customHeight="1">
      <c r="A23" s="131"/>
      <c r="B23" s="131"/>
      <c r="C23" s="131"/>
      <c r="D23" s="172" t="s">
        <v>30</v>
      </c>
      <c r="E23" s="172"/>
      <c r="F23" s="127">
        <f>F22</f>
        <v>0</v>
      </c>
      <c r="G23" s="132"/>
      <c r="H23" s="132"/>
      <c r="I23" s="132"/>
      <c r="J23" s="132"/>
      <c r="K23" s="127">
        <f>K22</f>
        <v>0</v>
      </c>
      <c r="L23" s="129" t="e">
        <f>K23/F23</f>
        <v>#DIV/0!</v>
      </c>
      <c r="M23" s="102"/>
      <c r="N23" s="71"/>
    </row>
    <row r="24" spans="1:14" ht="14.45" customHeight="1">
      <c r="A24" s="70" t="s">
        <v>22</v>
      </c>
      <c r="B24" s="70"/>
      <c r="C24" s="70"/>
      <c r="D24" s="70"/>
      <c r="E24" s="70"/>
      <c r="F24" s="71"/>
      <c r="G24" s="71"/>
      <c r="H24" s="71"/>
      <c r="I24" s="71"/>
      <c r="J24" s="71"/>
      <c r="K24" s="824" t="s">
        <v>1181</v>
      </c>
      <c r="L24" s="824"/>
      <c r="M24" s="824"/>
      <c r="N24" s="71"/>
    </row>
    <row r="25" spans="1:14" ht="14.45" customHeight="1">
      <c r="A25" s="172" t="s">
        <v>0</v>
      </c>
      <c r="B25" s="172" t="s">
        <v>7</v>
      </c>
      <c r="C25" s="172" t="s">
        <v>13</v>
      </c>
      <c r="D25" s="172" t="s">
        <v>14</v>
      </c>
      <c r="E25" s="172" t="s">
        <v>8</v>
      </c>
      <c r="F25" s="172" t="s">
        <v>1</v>
      </c>
      <c r="G25" s="172" t="s">
        <v>2</v>
      </c>
      <c r="H25" s="172" t="s">
        <v>15</v>
      </c>
      <c r="I25" s="172" t="s">
        <v>3</v>
      </c>
      <c r="J25" s="172" t="s">
        <v>4</v>
      </c>
      <c r="K25" s="172" t="s">
        <v>5</v>
      </c>
      <c r="L25" s="172" t="s">
        <v>12</v>
      </c>
      <c r="M25" s="172" t="s">
        <v>6</v>
      </c>
      <c r="N25" s="71"/>
    </row>
    <row r="26" spans="1:14" ht="14.45" customHeight="1">
      <c r="A26" s="85">
        <v>1</v>
      </c>
      <c r="B26" s="120" t="s">
        <v>451</v>
      </c>
      <c r="C26" s="120" t="s">
        <v>121</v>
      </c>
      <c r="D26" s="120" t="s">
        <v>290</v>
      </c>
      <c r="E26" s="262"/>
      <c r="F26" s="87"/>
      <c r="G26" s="120" t="s">
        <v>24</v>
      </c>
      <c r="H26" s="79"/>
      <c r="I26" s="80"/>
      <c r="J26" s="81">
        <v>74</v>
      </c>
      <c r="K26" s="81">
        <f t="shared" ref="K26:K27" si="5">I26*J26</f>
        <v>0</v>
      </c>
      <c r="L26" s="102"/>
      <c r="M26" s="124"/>
      <c r="N26" s="71"/>
    </row>
    <row r="27" spans="1:14" ht="14.45" customHeight="1">
      <c r="A27" s="85"/>
      <c r="B27" s="120"/>
      <c r="C27" s="120"/>
      <c r="D27" s="120"/>
      <c r="E27" s="85"/>
      <c r="F27" s="98"/>
      <c r="G27" s="84" t="s">
        <v>10</v>
      </c>
      <c r="H27" s="79"/>
      <c r="I27" s="80"/>
      <c r="J27" s="81">
        <v>120</v>
      </c>
      <c r="K27" s="81">
        <f t="shared" si="5"/>
        <v>0</v>
      </c>
      <c r="L27" s="102"/>
      <c r="M27" s="102"/>
      <c r="N27" s="71"/>
    </row>
    <row r="28" spans="1:14" ht="14.45" customHeight="1">
      <c r="A28" s="85"/>
      <c r="B28" s="120"/>
      <c r="C28" s="120"/>
      <c r="D28" s="120"/>
      <c r="E28" s="172" t="s">
        <v>9</v>
      </c>
      <c r="F28" s="110">
        <f>SUM(F24:F27)</f>
        <v>0</v>
      </c>
      <c r="G28" s="172"/>
      <c r="H28" s="172"/>
      <c r="I28" s="125"/>
      <c r="J28" s="97"/>
      <c r="K28" s="111">
        <f>SUM(K26:K27)</f>
        <v>0</v>
      </c>
      <c r="L28" s="111" t="e">
        <f>K28/F28</f>
        <v>#DIV/0!</v>
      </c>
      <c r="M28" s="102"/>
      <c r="N28" s="71"/>
    </row>
    <row r="29" spans="1:14" ht="14.45" customHeight="1">
      <c r="A29" s="71"/>
      <c r="B29" s="71"/>
      <c r="C29" s="71"/>
      <c r="D29" s="126" t="s">
        <v>30</v>
      </c>
      <c r="E29" s="126"/>
      <c r="F29" s="127">
        <f>F28</f>
        <v>0</v>
      </c>
      <c r="G29" s="128"/>
      <c r="H29" s="128"/>
      <c r="I29" s="128"/>
      <c r="J29" s="128"/>
      <c r="K29" s="127">
        <f>K28</f>
        <v>0</v>
      </c>
      <c r="L29" s="129" t="e">
        <f>K29/F29</f>
        <v>#DIV/0!</v>
      </c>
      <c r="M29" s="71"/>
      <c r="N29" s="71"/>
    </row>
    <row r="30" spans="1:14" s="28" customFormat="1" ht="14.45" customHeight="1">
      <c r="A30" s="70" t="s">
        <v>16</v>
      </c>
      <c r="B30" s="70"/>
      <c r="C30" s="70"/>
      <c r="D30" s="70"/>
      <c r="E30" s="70"/>
      <c r="F30" s="71"/>
      <c r="G30" s="71"/>
      <c r="H30" s="71"/>
      <c r="I30" s="71"/>
      <c r="J30" s="71"/>
      <c r="K30" s="824" t="s">
        <v>1181</v>
      </c>
      <c r="L30" s="824"/>
      <c r="M30" s="824"/>
      <c r="N30" s="71"/>
    </row>
    <row r="31" spans="1:14" s="28" customFormat="1" ht="14.45" customHeight="1">
      <c r="A31" s="172" t="s">
        <v>0</v>
      </c>
      <c r="B31" s="172" t="s">
        <v>7</v>
      </c>
      <c r="C31" s="172" t="s">
        <v>13</v>
      </c>
      <c r="D31" s="172" t="s">
        <v>14</v>
      </c>
      <c r="E31" s="172" t="s">
        <v>8</v>
      </c>
      <c r="F31" s="172" t="s">
        <v>1</v>
      </c>
      <c r="G31" s="172" t="s">
        <v>2</v>
      </c>
      <c r="H31" s="172" t="s">
        <v>15</v>
      </c>
      <c r="I31" s="172" t="s">
        <v>3</v>
      </c>
      <c r="J31" s="172" t="s">
        <v>4</v>
      </c>
      <c r="K31" s="172" t="s">
        <v>5</v>
      </c>
      <c r="L31" s="172" t="s">
        <v>12</v>
      </c>
      <c r="M31" s="172" t="s">
        <v>6</v>
      </c>
      <c r="N31" s="71"/>
    </row>
    <row r="32" spans="1:14" s="28" customFormat="1" ht="14.45" customHeight="1">
      <c r="A32" s="85">
        <v>8147</v>
      </c>
      <c r="B32" s="583" t="s">
        <v>892</v>
      </c>
      <c r="C32" s="89" t="s">
        <v>766</v>
      </c>
      <c r="D32" s="89" t="s">
        <v>465</v>
      </c>
      <c r="E32" s="583" t="s">
        <v>310</v>
      </c>
      <c r="F32" s="87">
        <f>400*1.0936</f>
        <v>437.43999999999994</v>
      </c>
      <c r="G32" s="95" t="s">
        <v>832</v>
      </c>
      <c r="H32" s="79"/>
      <c r="I32" s="81">
        <v>1.5</v>
      </c>
      <c r="J32" s="81">
        <v>790</v>
      </c>
      <c r="K32" s="81">
        <f t="shared" ref="K32" si="6">I32*J32</f>
        <v>1185</v>
      </c>
      <c r="L32" s="102"/>
      <c r="M32" s="139"/>
      <c r="N32" s="71"/>
    </row>
    <row r="33" spans="1:14" s="28" customFormat="1" ht="14.45" customHeight="1">
      <c r="A33" s="85"/>
      <c r="B33" s="85"/>
      <c r="C33" s="85"/>
      <c r="D33" s="85"/>
      <c r="E33" s="85"/>
      <c r="F33" s="98"/>
      <c r="G33" s="120"/>
      <c r="H33" s="79"/>
      <c r="I33" s="80"/>
      <c r="J33" s="81"/>
      <c r="K33" s="81">
        <f t="shared" ref="K33" si="7">I33*J33</f>
        <v>0</v>
      </c>
      <c r="L33" s="102"/>
      <c r="M33" s="102"/>
      <c r="N33" s="71"/>
    </row>
    <row r="34" spans="1:14" s="28" customFormat="1" ht="14.45" customHeight="1">
      <c r="A34" s="85"/>
      <c r="B34" s="85"/>
      <c r="C34" s="85"/>
      <c r="D34" s="85"/>
      <c r="E34" s="172" t="s">
        <v>9</v>
      </c>
      <c r="F34" s="110">
        <f>SUM(F32:F33)</f>
        <v>437.43999999999994</v>
      </c>
      <c r="G34" s="172"/>
      <c r="H34" s="172"/>
      <c r="I34" s="125"/>
      <c r="J34" s="97"/>
      <c r="K34" s="111">
        <f>SUM(K32:K33)</f>
        <v>1185</v>
      </c>
      <c r="L34" s="111">
        <f>K34/F34</f>
        <v>2.70894294074616</v>
      </c>
      <c r="M34" s="102"/>
      <c r="N34" s="71"/>
    </row>
    <row r="35" spans="1:14" s="28" customFormat="1" ht="14.45" customHeight="1">
      <c r="A35" s="191"/>
      <c r="B35" s="191"/>
      <c r="C35" s="191"/>
      <c r="D35" s="126" t="s">
        <v>30</v>
      </c>
      <c r="E35" s="126"/>
      <c r="F35" s="127">
        <f>F34</f>
        <v>437.43999999999994</v>
      </c>
      <c r="G35" s="128"/>
      <c r="H35" s="128"/>
      <c r="I35" s="128"/>
      <c r="J35" s="128"/>
      <c r="K35" s="127">
        <f>K34</f>
        <v>1185</v>
      </c>
      <c r="L35" s="129">
        <f>K35/F35</f>
        <v>2.70894294074616</v>
      </c>
      <c r="M35" s="131"/>
      <c r="N35" s="71"/>
    </row>
    <row r="36" spans="1:14" s="28" customFormat="1" ht="14.45" customHeight="1">
      <c r="A36" s="70" t="s">
        <v>72</v>
      </c>
      <c r="B36" s="70"/>
      <c r="C36" s="70"/>
      <c r="D36" s="70"/>
      <c r="E36" s="70"/>
      <c r="F36" s="71"/>
      <c r="G36" s="71"/>
      <c r="H36" s="71"/>
      <c r="I36" s="140"/>
      <c r="J36" s="71"/>
      <c r="K36" s="824" t="s">
        <v>1181</v>
      </c>
      <c r="L36" s="824"/>
      <c r="M36" s="824"/>
      <c r="N36" s="71"/>
    </row>
    <row r="37" spans="1:14" s="28" customFormat="1" ht="14.45" customHeight="1">
      <c r="A37" s="172" t="s">
        <v>0</v>
      </c>
      <c r="B37" s="172" t="s">
        <v>7</v>
      </c>
      <c r="C37" s="172" t="s">
        <v>13</v>
      </c>
      <c r="D37" s="172" t="s">
        <v>14</v>
      </c>
      <c r="E37" s="172" t="s">
        <v>8</v>
      </c>
      <c r="F37" s="172" t="s">
        <v>1</v>
      </c>
      <c r="G37" s="172" t="s">
        <v>2</v>
      </c>
      <c r="H37" s="172" t="s">
        <v>15</v>
      </c>
      <c r="I37" s="141" t="s">
        <v>3</v>
      </c>
      <c r="J37" s="172" t="s">
        <v>4</v>
      </c>
      <c r="K37" s="172" t="s">
        <v>5</v>
      </c>
      <c r="L37" s="172" t="s">
        <v>12</v>
      </c>
      <c r="M37" s="172" t="s">
        <v>6</v>
      </c>
      <c r="N37" s="123"/>
    </row>
    <row r="38" spans="1:14" s="28" customFormat="1" ht="14.45" customHeight="1">
      <c r="A38" s="85">
        <v>10392</v>
      </c>
      <c r="B38" s="583" t="s">
        <v>892</v>
      </c>
      <c r="C38" s="89" t="s">
        <v>766</v>
      </c>
      <c r="D38" s="89" t="s">
        <v>465</v>
      </c>
      <c r="E38" s="583" t="s">
        <v>635</v>
      </c>
      <c r="F38" s="87">
        <f>6750*1.0936</f>
        <v>7381.7999999999993</v>
      </c>
      <c r="G38" s="91" t="s">
        <v>196</v>
      </c>
      <c r="H38" s="79"/>
      <c r="I38" s="80">
        <f>4.278+3.625</f>
        <v>7.9029999999999996</v>
      </c>
      <c r="J38" s="81">
        <v>888</v>
      </c>
      <c r="K38" s="81">
        <f t="shared" ref="K38:K44" si="8">I38*J38</f>
        <v>7017.8639999999996</v>
      </c>
      <c r="L38" s="102"/>
      <c r="M38" s="102"/>
      <c r="N38" s="71"/>
    </row>
    <row r="39" spans="1:14" s="28" customFormat="1" ht="14.45" customHeight="1">
      <c r="A39" s="85"/>
      <c r="B39" s="85"/>
      <c r="C39" s="85"/>
      <c r="D39" s="85"/>
      <c r="E39" s="85"/>
      <c r="F39" s="98"/>
      <c r="G39" s="91" t="s">
        <v>195</v>
      </c>
      <c r="H39" s="79"/>
      <c r="I39" s="80">
        <f>1.87+1.585</f>
        <v>3.4550000000000001</v>
      </c>
      <c r="J39" s="81">
        <v>645</v>
      </c>
      <c r="K39" s="81">
        <f t="shared" si="8"/>
        <v>2228.4749999999999</v>
      </c>
      <c r="L39" s="102"/>
      <c r="M39" s="102"/>
      <c r="N39" s="71"/>
    </row>
    <row r="40" spans="1:14" s="28" customFormat="1" ht="14.45" customHeight="1">
      <c r="A40" s="85"/>
      <c r="B40" s="85"/>
      <c r="C40" s="85"/>
      <c r="D40" s="85"/>
      <c r="E40" s="85"/>
      <c r="F40" s="98"/>
      <c r="G40" s="91" t="s">
        <v>191</v>
      </c>
      <c r="H40" s="79"/>
      <c r="I40" s="80">
        <f>5.092+4.315</f>
        <v>9.407</v>
      </c>
      <c r="J40" s="81">
        <v>1628</v>
      </c>
      <c r="K40" s="81">
        <f t="shared" si="8"/>
        <v>15314.596</v>
      </c>
      <c r="L40" s="79"/>
      <c r="M40" s="102"/>
      <c r="N40" s="71"/>
    </row>
    <row r="41" spans="1:14" s="28" customFormat="1" ht="14.45" customHeight="1">
      <c r="A41" s="599"/>
      <c r="B41" s="599"/>
      <c r="C41" s="599"/>
      <c r="D41" s="599"/>
      <c r="E41" s="599"/>
      <c r="F41" s="98"/>
      <c r="G41" s="93" t="s">
        <v>190</v>
      </c>
      <c r="H41" s="79"/>
      <c r="I41" s="80">
        <v>0.12</v>
      </c>
      <c r="J41" s="81">
        <v>644</v>
      </c>
      <c r="K41" s="81">
        <f t="shared" si="8"/>
        <v>77.28</v>
      </c>
      <c r="L41" s="79"/>
      <c r="M41" s="102"/>
      <c r="N41" s="71"/>
    </row>
    <row r="42" spans="1:14" s="28" customFormat="1" ht="14.45" customHeight="1">
      <c r="A42" s="599"/>
      <c r="B42" s="599"/>
      <c r="C42" s="599"/>
      <c r="D42" s="599"/>
      <c r="E42" s="599"/>
      <c r="F42" s="98"/>
      <c r="G42" s="602" t="s">
        <v>192</v>
      </c>
      <c r="H42" s="79"/>
      <c r="I42" s="80">
        <f>0.09+0.55</f>
        <v>0.64</v>
      </c>
      <c r="J42" s="81">
        <v>1126</v>
      </c>
      <c r="K42" s="81">
        <f t="shared" si="8"/>
        <v>720.64</v>
      </c>
      <c r="L42" s="79"/>
      <c r="M42" s="102"/>
      <c r="N42" s="71"/>
    </row>
    <row r="43" spans="1:14" s="28" customFormat="1" ht="14.45" customHeight="1">
      <c r="A43" s="85"/>
      <c r="B43" s="85"/>
      <c r="C43" s="85"/>
      <c r="D43" s="85"/>
      <c r="E43" s="85"/>
      <c r="F43" s="98"/>
      <c r="G43" s="583" t="s">
        <v>184</v>
      </c>
      <c r="H43" s="583"/>
      <c r="I43" s="80">
        <f>6+5</f>
        <v>11</v>
      </c>
      <c r="J43" s="81">
        <v>336</v>
      </c>
      <c r="K43" s="94">
        <f t="shared" si="8"/>
        <v>3696</v>
      </c>
      <c r="L43" s="102"/>
      <c r="M43" s="102"/>
      <c r="N43" s="71"/>
    </row>
    <row r="44" spans="1:14" s="28" customFormat="1" ht="14.45" customHeight="1">
      <c r="A44" s="85"/>
      <c r="B44" s="85"/>
      <c r="C44" s="85"/>
      <c r="D44" s="85"/>
      <c r="E44" s="85"/>
      <c r="F44" s="98"/>
      <c r="G44" s="95" t="s">
        <v>185</v>
      </c>
      <c r="H44" s="79"/>
      <c r="I44" s="96">
        <f>1.2+1</f>
        <v>2.2000000000000002</v>
      </c>
      <c r="J44" s="81">
        <v>490</v>
      </c>
      <c r="K44" s="81">
        <f t="shared" si="8"/>
        <v>1078</v>
      </c>
      <c r="L44" s="102"/>
      <c r="M44" s="102"/>
      <c r="N44" s="71"/>
    </row>
    <row r="45" spans="1:14" s="28" customFormat="1" ht="14.45" customHeight="1">
      <c r="A45" s="85"/>
      <c r="B45" s="85"/>
      <c r="C45" s="85"/>
      <c r="D45" s="85"/>
      <c r="E45" s="172" t="s">
        <v>9</v>
      </c>
      <c r="F45" s="110">
        <f>SUM(F38:F44)</f>
        <v>7381.7999999999993</v>
      </c>
      <c r="G45" s="95"/>
      <c r="H45" s="79"/>
      <c r="I45" s="80"/>
      <c r="J45" s="81"/>
      <c r="K45" s="111">
        <f>SUM(K38:K44)</f>
        <v>30132.854999999996</v>
      </c>
      <c r="L45" s="111">
        <f>K45/F45</f>
        <v>4.0820470616922702</v>
      </c>
      <c r="M45" s="102"/>
      <c r="N45" s="71"/>
    </row>
    <row r="46" spans="1:14" s="28" customFormat="1" ht="14.45" customHeight="1">
      <c r="A46" s="85">
        <v>10387</v>
      </c>
      <c r="B46" s="583" t="s">
        <v>1030</v>
      </c>
      <c r="C46" s="583" t="s">
        <v>494</v>
      </c>
      <c r="D46" s="583" t="s">
        <v>1169</v>
      </c>
      <c r="E46" s="583" t="s">
        <v>1188</v>
      </c>
      <c r="F46" s="222">
        <f>1250*1.0936</f>
        <v>1366.9999999999998</v>
      </c>
      <c r="G46" s="584" t="s">
        <v>314</v>
      </c>
      <c r="H46" s="79"/>
      <c r="I46" s="80">
        <v>3.7109999999999999</v>
      </c>
      <c r="J46" s="81">
        <v>1695</v>
      </c>
      <c r="K46" s="81">
        <f t="shared" ref="K46:K50" si="9">I46*J46</f>
        <v>6290.1449999999995</v>
      </c>
      <c r="L46" s="2"/>
      <c r="M46" s="102"/>
      <c r="N46" s="71"/>
    </row>
    <row r="47" spans="1:14" s="28" customFormat="1" ht="14.45" customHeight="1">
      <c r="A47" s="85"/>
      <c r="B47" s="583"/>
      <c r="C47" s="583"/>
      <c r="D47" s="583"/>
      <c r="E47" s="583"/>
      <c r="F47" s="583"/>
      <c r="G47" s="91" t="s">
        <v>192</v>
      </c>
      <c r="H47" s="79"/>
      <c r="I47" s="80">
        <v>2.0459999999999998</v>
      </c>
      <c r="J47" s="81">
        <v>1126</v>
      </c>
      <c r="K47" s="81">
        <f t="shared" si="9"/>
        <v>2303.7959999999998</v>
      </c>
      <c r="L47" s="2"/>
      <c r="M47" s="102"/>
      <c r="N47" s="71"/>
    </row>
    <row r="48" spans="1:14" s="28" customFormat="1" ht="14.45" customHeight="1">
      <c r="A48" s="85"/>
      <c r="B48" s="583"/>
      <c r="C48" s="583"/>
      <c r="D48" s="583"/>
      <c r="E48" s="583"/>
      <c r="F48" s="87"/>
      <c r="G48" s="91" t="s">
        <v>193</v>
      </c>
      <c r="H48" s="79"/>
      <c r="I48" s="80">
        <f>3.945+0.26</f>
        <v>4.2050000000000001</v>
      </c>
      <c r="J48" s="81">
        <v>1150</v>
      </c>
      <c r="K48" s="81">
        <f t="shared" si="9"/>
        <v>4835.75</v>
      </c>
      <c r="L48" s="2"/>
      <c r="M48" s="102"/>
      <c r="N48" s="71"/>
    </row>
    <row r="49" spans="1:14" s="28" customFormat="1" ht="14.45" customHeight="1">
      <c r="A49" s="85"/>
      <c r="B49" s="583"/>
      <c r="C49" s="583"/>
      <c r="D49" s="583"/>
      <c r="E49" s="583"/>
      <c r="F49" s="87"/>
      <c r="G49" s="583" t="s">
        <v>184</v>
      </c>
      <c r="H49" s="583"/>
      <c r="I49" s="80">
        <v>3</v>
      </c>
      <c r="J49" s="81">
        <v>336</v>
      </c>
      <c r="K49" s="94">
        <f t="shared" si="9"/>
        <v>1008</v>
      </c>
      <c r="L49" s="79"/>
      <c r="M49" s="102"/>
      <c r="N49" s="71"/>
    </row>
    <row r="50" spans="1:14" s="28" customFormat="1" ht="14.45" customHeight="1">
      <c r="A50" s="85"/>
      <c r="B50" s="583"/>
      <c r="C50" s="583"/>
      <c r="D50" s="583"/>
      <c r="E50" s="583"/>
      <c r="F50" s="87"/>
      <c r="G50" s="95" t="s">
        <v>185</v>
      </c>
      <c r="H50" s="79"/>
      <c r="I50" s="96">
        <v>0.6</v>
      </c>
      <c r="J50" s="81">
        <v>490</v>
      </c>
      <c r="K50" s="81">
        <f t="shared" si="9"/>
        <v>294</v>
      </c>
      <c r="L50" s="79"/>
      <c r="M50" s="102"/>
      <c r="N50" s="71"/>
    </row>
    <row r="51" spans="1:14" s="28" customFormat="1" ht="14.45" customHeight="1">
      <c r="A51" s="85"/>
      <c r="B51" s="120"/>
      <c r="C51" s="120"/>
      <c r="D51" s="120"/>
      <c r="E51" s="172" t="s">
        <v>9</v>
      </c>
      <c r="F51" s="110">
        <f>SUM(F46:F50)</f>
        <v>1366.9999999999998</v>
      </c>
      <c r="G51" s="95"/>
      <c r="H51" s="79"/>
      <c r="I51" s="80"/>
      <c r="J51" s="81"/>
      <c r="K51" s="111">
        <f>SUM(K46:K50)</f>
        <v>14731.690999999999</v>
      </c>
      <c r="L51" s="111">
        <f>K51/F51</f>
        <v>10.776657644476957</v>
      </c>
      <c r="M51" s="102"/>
      <c r="N51" s="71"/>
    </row>
    <row r="52" spans="1:14" s="28" customFormat="1" ht="14.45" customHeight="1">
      <c r="A52" s="120">
        <v>10396</v>
      </c>
      <c r="B52" s="583" t="s">
        <v>954</v>
      </c>
      <c r="C52" s="583" t="s">
        <v>494</v>
      </c>
      <c r="D52" s="583" t="s">
        <v>1169</v>
      </c>
      <c r="E52" s="583" t="s">
        <v>1171</v>
      </c>
      <c r="F52" s="222">
        <f>2200*1.0936</f>
        <v>2405.9199999999996</v>
      </c>
      <c r="G52" s="584" t="s">
        <v>405</v>
      </c>
      <c r="H52" s="79"/>
      <c r="I52" s="80">
        <f>3.84+0.794+0.448+0.22</f>
        <v>5.3020000000000005</v>
      </c>
      <c r="J52" s="81">
        <v>1708</v>
      </c>
      <c r="K52" s="81">
        <f t="shared" ref="K52:K56" si="10">I52*J52</f>
        <v>9055.8160000000007</v>
      </c>
      <c r="L52" s="102"/>
      <c r="M52" s="102"/>
      <c r="N52" s="71"/>
    </row>
    <row r="53" spans="1:14" s="28" customFormat="1" ht="14.45" customHeight="1">
      <c r="A53" s="85"/>
      <c r="B53" s="583"/>
      <c r="C53" s="583"/>
      <c r="D53" s="583"/>
      <c r="E53" s="583"/>
      <c r="F53" s="583"/>
      <c r="G53" s="91" t="s">
        <v>281</v>
      </c>
      <c r="H53" s="79"/>
      <c r="I53" s="80">
        <f>1.725+0.395+0.2+0.082</f>
        <v>2.4020000000000001</v>
      </c>
      <c r="J53" s="81">
        <v>1035</v>
      </c>
      <c r="K53" s="81">
        <f t="shared" si="10"/>
        <v>2486.0700000000002</v>
      </c>
      <c r="L53" s="102"/>
      <c r="M53" s="102"/>
      <c r="N53" s="71"/>
    </row>
    <row r="54" spans="1:14" s="28" customFormat="1" ht="14.45" customHeight="1">
      <c r="A54" s="85"/>
      <c r="B54" s="85"/>
      <c r="C54" s="85"/>
      <c r="D54" s="85"/>
      <c r="E54" s="85"/>
      <c r="F54" s="98"/>
      <c r="G54" s="91" t="s">
        <v>194</v>
      </c>
      <c r="H54" s="79"/>
      <c r="I54" s="80">
        <f>7.2+1.656+0.86+0.424</f>
        <v>10.139999999999999</v>
      </c>
      <c r="J54" s="81">
        <v>879</v>
      </c>
      <c r="K54" s="81">
        <f t="shared" si="10"/>
        <v>8913.06</v>
      </c>
      <c r="L54" s="102"/>
      <c r="M54" s="102"/>
      <c r="N54" s="71"/>
    </row>
    <row r="55" spans="1:14" s="28" customFormat="1" ht="14.45" customHeight="1">
      <c r="A55" s="85"/>
      <c r="B55" s="85"/>
      <c r="C55" s="85"/>
      <c r="D55" s="85"/>
      <c r="E55" s="85"/>
      <c r="F55" s="98"/>
      <c r="G55" s="583" t="s">
        <v>184</v>
      </c>
      <c r="H55" s="583"/>
      <c r="I55" s="80">
        <f>5+2.5</f>
        <v>7.5</v>
      </c>
      <c r="J55" s="81">
        <v>336</v>
      </c>
      <c r="K55" s="94">
        <f t="shared" si="10"/>
        <v>2520</v>
      </c>
      <c r="L55" s="102"/>
      <c r="M55" s="102"/>
      <c r="N55" s="71"/>
    </row>
    <row r="56" spans="1:14" s="28" customFormat="1" ht="14.45" customHeight="1">
      <c r="A56" s="85"/>
      <c r="B56" s="85"/>
      <c r="C56" s="85"/>
      <c r="D56" s="85"/>
      <c r="E56" s="85"/>
      <c r="F56" s="98"/>
      <c r="G56" s="95" t="s">
        <v>185</v>
      </c>
      <c r="H56" s="79"/>
      <c r="I56" s="96">
        <f>1+0.5</f>
        <v>1.5</v>
      </c>
      <c r="J56" s="81">
        <v>490</v>
      </c>
      <c r="K56" s="81">
        <f t="shared" si="10"/>
        <v>735</v>
      </c>
      <c r="L56" s="102"/>
      <c r="M56" s="102"/>
      <c r="N56" s="71"/>
    </row>
    <row r="57" spans="1:14" s="28" customFormat="1" ht="14.45" customHeight="1">
      <c r="A57" s="85"/>
      <c r="B57" s="85"/>
      <c r="C57" s="85"/>
      <c r="D57" s="85"/>
      <c r="E57" s="172" t="s">
        <v>9</v>
      </c>
      <c r="F57" s="110">
        <f>SUM(F52:F56)</f>
        <v>2405.9199999999996</v>
      </c>
      <c r="G57" s="95"/>
      <c r="H57" s="79"/>
      <c r="I57" s="80"/>
      <c r="J57" s="81"/>
      <c r="K57" s="111">
        <f>SUM(K52:K56)</f>
        <v>23709.946</v>
      </c>
      <c r="L57" s="111">
        <f>K57/F57</f>
        <v>9.8548355722551051</v>
      </c>
      <c r="M57" s="102"/>
      <c r="N57" s="71"/>
    </row>
    <row r="58" spans="1:14" s="28" customFormat="1" ht="14.45" customHeight="1">
      <c r="A58" s="120">
        <v>10395</v>
      </c>
      <c r="B58" s="583" t="s">
        <v>954</v>
      </c>
      <c r="C58" s="583" t="s">
        <v>494</v>
      </c>
      <c r="D58" s="583" t="s">
        <v>1169</v>
      </c>
      <c r="E58" s="583" t="s">
        <v>102</v>
      </c>
      <c r="F58" s="222">
        <f>1300*1.0936</f>
        <v>1421.6799999999998</v>
      </c>
      <c r="G58" s="584" t="s">
        <v>405</v>
      </c>
      <c r="H58" s="79"/>
      <c r="I58" s="80">
        <f>2.64+1.018</f>
        <v>3.6580000000000004</v>
      </c>
      <c r="J58" s="81">
        <v>1708</v>
      </c>
      <c r="K58" s="81">
        <f t="shared" ref="K58:K62" si="11">I58*J58</f>
        <v>6247.8640000000005</v>
      </c>
      <c r="L58" s="102"/>
      <c r="M58" s="102"/>
      <c r="N58" s="71"/>
    </row>
    <row r="59" spans="1:14" s="28" customFormat="1" ht="14.45" customHeight="1">
      <c r="A59" s="85"/>
      <c r="B59" s="583"/>
      <c r="C59" s="583"/>
      <c r="D59" s="583"/>
      <c r="E59" s="583"/>
      <c r="F59" s="583"/>
      <c r="G59" s="91" t="s">
        <v>281</v>
      </c>
      <c r="H59" s="79"/>
      <c r="I59" s="80">
        <f>1.215+0.56</f>
        <v>1.7750000000000001</v>
      </c>
      <c r="J59" s="81">
        <v>1035</v>
      </c>
      <c r="K59" s="81">
        <f t="shared" si="11"/>
        <v>1837.1250000000002</v>
      </c>
      <c r="L59" s="102"/>
      <c r="M59" s="102"/>
      <c r="N59" s="71"/>
    </row>
    <row r="60" spans="1:14" s="28" customFormat="1" ht="14.45" customHeight="1">
      <c r="A60" s="85"/>
      <c r="B60" s="85"/>
      <c r="C60" s="85"/>
      <c r="D60" s="85"/>
      <c r="E60" s="85"/>
      <c r="F60" s="98"/>
      <c r="G60" s="91" t="s">
        <v>194</v>
      </c>
      <c r="H60" s="79"/>
      <c r="I60" s="80">
        <f>8.65+3.629</f>
        <v>12.279</v>
      </c>
      <c r="J60" s="81">
        <v>879</v>
      </c>
      <c r="K60" s="81">
        <f t="shared" si="11"/>
        <v>10793.241</v>
      </c>
      <c r="L60" s="102"/>
      <c r="M60" s="102"/>
      <c r="N60" s="71"/>
    </row>
    <row r="61" spans="1:14" s="28" customFormat="1" ht="14.45" customHeight="1">
      <c r="A61" s="85"/>
      <c r="B61" s="85"/>
      <c r="C61" s="85"/>
      <c r="D61" s="85"/>
      <c r="E61" s="85"/>
      <c r="F61" s="98"/>
      <c r="G61" s="583" t="s">
        <v>184</v>
      </c>
      <c r="H61" s="583"/>
      <c r="I61" s="80">
        <f>5+2</f>
        <v>7</v>
      </c>
      <c r="J61" s="81">
        <v>336</v>
      </c>
      <c r="K61" s="94">
        <f t="shared" si="11"/>
        <v>2352</v>
      </c>
      <c r="L61" s="102"/>
      <c r="M61" s="102"/>
      <c r="N61" s="71"/>
    </row>
    <row r="62" spans="1:14" s="28" customFormat="1" ht="14.45" customHeight="1">
      <c r="A62" s="85"/>
      <c r="B62" s="85"/>
      <c r="C62" s="85"/>
      <c r="D62" s="85"/>
      <c r="E62" s="85"/>
      <c r="F62" s="98"/>
      <c r="G62" s="95" t="s">
        <v>185</v>
      </c>
      <c r="H62" s="79"/>
      <c r="I62" s="96">
        <f>1+0.4</f>
        <v>1.4</v>
      </c>
      <c r="J62" s="81">
        <v>490</v>
      </c>
      <c r="K62" s="81">
        <f t="shared" si="11"/>
        <v>686</v>
      </c>
      <c r="L62" s="102"/>
      <c r="M62" s="102"/>
      <c r="N62" s="71"/>
    </row>
    <row r="63" spans="1:14" s="28" customFormat="1" ht="14.45" customHeight="1">
      <c r="A63" s="85"/>
      <c r="B63" s="85"/>
      <c r="C63" s="85"/>
      <c r="D63" s="85"/>
      <c r="E63" s="172" t="s">
        <v>9</v>
      </c>
      <c r="F63" s="110">
        <f>SUM(F58:F62)</f>
        <v>1421.6799999999998</v>
      </c>
      <c r="G63" s="95"/>
      <c r="H63" s="79"/>
      <c r="I63" s="80"/>
      <c r="J63" s="81"/>
      <c r="K63" s="111">
        <f>SUM(K58:K62)</f>
        <v>21916.23</v>
      </c>
      <c r="L63" s="111">
        <f>K63/F63</f>
        <v>15.415726464464578</v>
      </c>
      <c r="M63" s="102"/>
      <c r="N63" s="71"/>
    </row>
    <row r="64" spans="1:14" s="28" customFormat="1" ht="14.45" customHeight="1">
      <c r="A64" s="120">
        <v>10388</v>
      </c>
      <c r="B64" s="583" t="s">
        <v>1189</v>
      </c>
      <c r="C64" s="583" t="s">
        <v>516</v>
      </c>
      <c r="D64" s="583" t="s">
        <v>1174</v>
      </c>
      <c r="E64" s="583" t="s">
        <v>127</v>
      </c>
      <c r="F64" s="222">
        <f>420*1.0936</f>
        <v>459.31199999999995</v>
      </c>
      <c r="G64" s="584" t="s">
        <v>405</v>
      </c>
      <c r="H64" s="79"/>
      <c r="I64" s="80">
        <v>0.49</v>
      </c>
      <c r="J64" s="81">
        <v>1708</v>
      </c>
      <c r="K64" s="81">
        <f t="shared" ref="K64:K68" si="12">I64*J64</f>
        <v>836.92</v>
      </c>
      <c r="L64" s="102"/>
      <c r="M64" s="102"/>
      <c r="N64" s="71"/>
    </row>
    <row r="65" spans="1:14" s="28" customFormat="1" ht="14.45" customHeight="1">
      <c r="A65" s="85"/>
      <c r="B65" s="85"/>
      <c r="C65" s="85"/>
      <c r="D65" s="85"/>
      <c r="E65" s="85"/>
      <c r="F65" s="98"/>
      <c r="G65" s="584" t="s">
        <v>183</v>
      </c>
      <c r="H65" s="79"/>
      <c r="I65" s="80">
        <v>0.11799999999999999</v>
      </c>
      <c r="J65" s="81">
        <v>1600</v>
      </c>
      <c r="K65" s="81">
        <f t="shared" si="12"/>
        <v>188.79999999999998</v>
      </c>
      <c r="L65" s="102"/>
      <c r="M65" s="102"/>
      <c r="N65" s="71"/>
    </row>
    <row r="66" spans="1:14" s="28" customFormat="1" ht="14.45" customHeight="1">
      <c r="A66" s="85"/>
      <c r="B66" s="85"/>
      <c r="C66" s="85"/>
      <c r="D66" s="85"/>
      <c r="E66" s="85"/>
      <c r="F66" s="98"/>
      <c r="G66" s="93" t="s">
        <v>315</v>
      </c>
      <c r="H66" s="79"/>
      <c r="I66" s="80">
        <f>0.572+0.038</f>
        <v>0.61</v>
      </c>
      <c r="J66" s="81">
        <v>2184</v>
      </c>
      <c r="K66" s="81">
        <f t="shared" si="12"/>
        <v>1332.24</v>
      </c>
      <c r="L66" s="102"/>
      <c r="M66" s="102"/>
      <c r="N66" s="71"/>
    </row>
    <row r="67" spans="1:14" s="28" customFormat="1" ht="14.45" customHeight="1">
      <c r="A67" s="85"/>
      <c r="B67" s="85"/>
      <c r="C67" s="85"/>
      <c r="D67" s="85"/>
      <c r="E67" s="85"/>
      <c r="F67" s="98"/>
      <c r="G67" s="583" t="s">
        <v>184</v>
      </c>
      <c r="H67" s="583"/>
      <c r="I67" s="80">
        <v>0.5</v>
      </c>
      <c r="J67" s="81">
        <v>336</v>
      </c>
      <c r="K67" s="94">
        <f t="shared" si="12"/>
        <v>168</v>
      </c>
      <c r="L67" s="102"/>
      <c r="M67" s="102"/>
      <c r="N67" s="71"/>
    </row>
    <row r="68" spans="1:14" s="28" customFormat="1" ht="14.45" customHeight="1">
      <c r="A68" s="85"/>
      <c r="B68" s="85"/>
      <c r="C68" s="85"/>
      <c r="D68" s="85"/>
      <c r="E68" s="85"/>
      <c r="F68" s="98"/>
      <c r="G68" s="95" t="s">
        <v>185</v>
      </c>
      <c r="H68" s="79"/>
      <c r="I68" s="96">
        <v>0.1</v>
      </c>
      <c r="J68" s="81">
        <v>490</v>
      </c>
      <c r="K68" s="81">
        <f t="shared" si="12"/>
        <v>49</v>
      </c>
      <c r="L68" s="102"/>
      <c r="M68" s="102"/>
      <c r="N68" s="71"/>
    </row>
    <row r="69" spans="1:14" s="28" customFormat="1" ht="14.45" customHeight="1">
      <c r="A69" s="85"/>
      <c r="B69" s="85"/>
      <c r="C69" s="85"/>
      <c r="D69" s="85"/>
      <c r="E69" s="172" t="s">
        <v>9</v>
      </c>
      <c r="F69" s="110">
        <f>SUM(F64:F68)</f>
        <v>459.31199999999995</v>
      </c>
      <c r="G69" s="95"/>
      <c r="H69" s="79"/>
      <c r="I69" s="80"/>
      <c r="J69" s="81"/>
      <c r="K69" s="111">
        <f>SUM(K64:K68)</f>
        <v>2574.96</v>
      </c>
      <c r="L69" s="111">
        <f>K69/F69</f>
        <v>5.6061239418957056</v>
      </c>
      <c r="M69" s="102"/>
      <c r="N69" s="71"/>
    </row>
    <row r="70" spans="1:14" s="28" customFormat="1" ht="14.45" customHeight="1">
      <c r="A70" s="120">
        <v>10394</v>
      </c>
      <c r="B70" s="583" t="s">
        <v>1190</v>
      </c>
      <c r="C70" s="89" t="s">
        <v>1026</v>
      </c>
      <c r="D70" s="89" t="s">
        <v>1176</v>
      </c>
      <c r="E70" s="583" t="s">
        <v>127</v>
      </c>
      <c r="F70" s="222">
        <f>1000*1.0936</f>
        <v>1093.5999999999999</v>
      </c>
      <c r="G70" s="91" t="s">
        <v>196</v>
      </c>
      <c r="H70" s="79"/>
      <c r="I70" s="80">
        <f>0.513+0.023</f>
        <v>0.53600000000000003</v>
      </c>
      <c r="J70" s="81">
        <v>888</v>
      </c>
      <c r="K70" s="81">
        <f t="shared" ref="K70:K74" si="13">I70*J70</f>
        <v>475.96800000000002</v>
      </c>
      <c r="L70" s="102"/>
      <c r="M70" s="102"/>
      <c r="N70" s="71"/>
    </row>
    <row r="71" spans="1:14" s="28" customFormat="1" ht="14.45" customHeight="1">
      <c r="A71" s="85"/>
      <c r="B71" s="120"/>
      <c r="C71" s="120"/>
      <c r="D71" s="120"/>
      <c r="E71" s="85"/>
      <c r="F71" s="98"/>
      <c r="G71" s="91" t="s">
        <v>195</v>
      </c>
      <c r="H71" s="79"/>
      <c r="I71" s="80">
        <v>0.191</v>
      </c>
      <c r="J71" s="81">
        <v>645</v>
      </c>
      <c r="K71" s="81">
        <f t="shared" si="13"/>
        <v>123.19500000000001</v>
      </c>
      <c r="L71" s="102"/>
      <c r="M71" s="102"/>
      <c r="N71" s="71"/>
    </row>
    <row r="72" spans="1:14" s="28" customFormat="1" ht="14.45" customHeight="1">
      <c r="A72" s="85"/>
      <c r="B72" s="85"/>
      <c r="C72" s="85"/>
      <c r="D72" s="85"/>
      <c r="E72" s="85"/>
      <c r="F72" s="98"/>
      <c r="G72" s="91" t="s">
        <v>191</v>
      </c>
      <c r="H72" s="79"/>
      <c r="I72" s="80">
        <f>0.68+0.028</f>
        <v>0.70800000000000007</v>
      </c>
      <c r="J72" s="81">
        <v>1628</v>
      </c>
      <c r="K72" s="81">
        <f t="shared" si="13"/>
        <v>1152.624</v>
      </c>
      <c r="L72" s="79"/>
      <c r="M72" s="102"/>
      <c r="N72" s="71"/>
    </row>
    <row r="73" spans="1:14" s="28" customFormat="1" ht="14.45" customHeight="1">
      <c r="A73" s="85"/>
      <c r="B73" s="85"/>
      <c r="C73" s="85"/>
      <c r="D73" s="85"/>
      <c r="E73" s="85"/>
      <c r="F73" s="98"/>
      <c r="G73" s="583" t="s">
        <v>184</v>
      </c>
      <c r="H73" s="583"/>
      <c r="I73" s="80">
        <v>2.5</v>
      </c>
      <c r="J73" s="81">
        <v>336</v>
      </c>
      <c r="K73" s="94">
        <f t="shared" si="13"/>
        <v>840</v>
      </c>
      <c r="L73" s="102"/>
      <c r="M73" s="102"/>
      <c r="N73" s="71"/>
    </row>
    <row r="74" spans="1:14" s="28" customFormat="1" ht="14.45" customHeight="1">
      <c r="A74" s="85"/>
      <c r="B74" s="85"/>
      <c r="C74" s="85"/>
      <c r="D74" s="85"/>
      <c r="E74" s="85"/>
      <c r="F74" s="98"/>
      <c r="G74" s="95" t="s">
        <v>185</v>
      </c>
      <c r="H74" s="79"/>
      <c r="I74" s="96">
        <v>0.5</v>
      </c>
      <c r="J74" s="81">
        <v>490</v>
      </c>
      <c r="K74" s="81">
        <f t="shared" si="13"/>
        <v>245</v>
      </c>
      <c r="L74" s="102"/>
      <c r="M74" s="102"/>
      <c r="N74" s="71"/>
    </row>
    <row r="75" spans="1:14" s="28" customFormat="1" ht="14.45" customHeight="1">
      <c r="A75" s="85"/>
      <c r="B75" s="85"/>
      <c r="C75" s="85"/>
      <c r="D75" s="85"/>
      <c r="E75" s="172" t="s">
        <v>9</v>
      </c>
      <c r="F75" s="110">
        <f>SUM(F70:F74)</f>
        <v>1093.5999999999999</v>
      </c>
      <c r="G75" s="95"/>
      <c r="H75" s="79"/>
      <c r="I75" s="80"/>
      <c r="J75" s="81"/>
      <c r="K75" s="111">
        <f>SUM(K70:K74)</f>
        <v>2836.7870000000003</v>
      </c>
      <c r="L75" s="155">
        <f>K75/F75</f>
        <v>2.5939895757132412</v>
      </c>
      <c r="M75" s="102"/>
      <c r="N75" s="71"/>
    </row>
    <row r="76" spans="1:14" s="28" customFormat="1" ht="14.45" customHeight="1">
      <c r="A76" s="120">
        <v>10393</v>
      </c>
      <c r="B76" s="583" t="s">
        <v>891</v>
      </c>
      <c r="C76" s="583" t="s">
        <v>121</v>
      </c>
      <c r="D76" s="583" t="s">
        <v>369</v>
      </c>
      <c r="E76" s="583" t="s">
        <v>811</v>
      </c>
      <c r="F76" s="222">
        <f>50*1.0936</f>
        <v>54.679999999999993</v>
      </c>
      <c r="G76" s="93" t="s">
        <v>190</v>
      </c>
      <c r="H76" s="79"/>
      <c r="I76" s="80">
        <f>0.36+0.04</f>
        <v>0.39999999999999997</v>
      </c>
      <c r="J76" s="81">
        <v>644</v>
      </c>
      <c r="K76" s="81">
        <f t="shared" ref="K76:K80" si="14">I76*J76</f>
        <v>257.59999999999997</v>
      </c>
      <c r="L76" s="102"/>
      <c r="M76" s="102"/>
      <c r="N76" s="71"/>
    </row>
    <row r="77" spans="1:14" s="28" customFormat="1" ht="14.45" customHeight="1">
      <c r="A77" s="85"/>
      <c r="B77" s="85"/>
      <c r="C77" s="85"/>
      <c r="D77" s="85"/>
      <c r="E77" s="120"/>
      <c r="F77" s="98"/>
      <c r="G77" s="91" t="s">
        <v>192</v>
      </c>
      <c r="H77" s="79"/>
      <c r="I77" s="80">
        <f>0.204+0.013</f>
        <v>0.217</v>
      </c>
      <c r="J77" s="81">
        <v>1126</v>
      </c>
      <c r="K77" s="81">
        <f t="shared" si="14"/>
        <v>244.34199999999998</v>
      </c>
      <c r="L77" s="102"/>
      <c r="M77" s="102"/>
      <c r="N77" s="71"/>
    </row>
    <row r="78" spans="1:14" s="28" customFormat="1" ht="14.45" customHeight="1">
      <c r="A78" s="85"/>
      <c r="B78" s="85"/>
      <c r="C78" s="85"/>
      <c r="D78" s="85"/>
      <c r="E78" s="85"/>
      <c r="F78" s="98"/>
      <c r="G78" s="91" t="s">
        <v>193</v>
      </c>
      <c r="H78" s="79"/>
      <c r="I78" s="80">
        <f>1.368+0.115</f>
        <v>1.4830000000000001</v>
      </c>
      <c r="J78" s="81">
        <v>1150</v>
      </c>
      <c r="K78" s="81">
        <f t="shared" si="14"/>
        <v>1705.45</v>
      </c>
      <c r="L78" s="102"/>
      <c r="M78" s="102"/>
      <c r="N78" s="71"/>
    </row>
    <row r="79" spans="1:14" s="28" customFormat="1" ht="14.45" customHeight="1">
      <c r="A79" s="85"/>
      <c r="B79" s="85"/>
      <c r="C79" s="85"/>
      <c r="D79" s="85"/>
      <c r="E79" s="85"/>
      <c r="F79" s="98"/>
      <c r="G79" s="583" t="s">
        <v>184</v>
      </c>
      <c r="H79" s="583"/>
      <c r="I79" s="80">
        <v>0.6</v>
      </c>
      <c r="J79" s="81">
        <v>336</v>
      </c>
      <c r="K79" s="94">
        <f t="shared" si="14"/>
        <v>201.6</v>
      </c>
      <c r="L79" s="102"/>
      <c r="M79" s="102"/>
      <c r="N79" s="71"/>
    </row>
    <row r="80" spans="1:14" s="28" customFormat="1" ht="14.45" customHeight="1">
      <c r="A80" s="85"/>
      <c r="B80" s="85"/>
      <c r="C80" s="85"/>
      <c r="D80" s="85"/>
      <c r="E80" s="85"/>
      <c r="F80" s="98"/>
      <c r="G80" s="95" t="s">
        <v>185</v>
      </c>
      <c r="H80" s="79"/>
      <c r="I80" s="96">
        <v>0.12</v>
      </c>
      <c r="J80" s="81">
        <v>490</v>
      </c>
      <c r="K80" s="81">
        <f t="shared" si="14"/>
        <v>58.8</v>
      </c>
      <c r="L80" s="102"/>
      <c r="M80" s="102"/>
      <c r="N80" s="71"/>
    </row>
    <row r="81" spans="1:14" s="28" customFormat="1" ht="14.45" customHeight="1">
      <c r="A81" s="85"/>
      <c r="B81" s="85"/>
      <c r="C81" s="85"/>
      <c r="D81" s="85"/>
      <c r="E81" s="172" t="s">
        <v>9</v>
      </c>
      <c r="F81" s="110">
        <f>SUM(F76:F80)</f>
        <v>54.679999999999993</v>
      </c>
      <c r="G81" s="95"/>
      <c r="H81" s="79"/>
      <c r="I81" s="80"/>
      <c r="J81" s="81"/>
      <c r="K81" s="111">
        <f>SUM(K76:K80)</f>
        <v>2467.7919999999999</v>
      </c>
      <c r="L81" s="111">
        <f>K81/F81</f>
        <v>45.131528895391369</v>
      </c>
      <c r="M81" s="102"/>
      <c r="N81" s="71"/>
    </row>
    <row r="82" spans="1:14" s="28" customFormat="1" ht="14.45" customHeight="1">
      <c r="A82" s="85">
        <v>10391</v>
      </c>
      <c r="B82" s="583" t="s">
        <v>1172</v>
      </c>
      <c r="C82" s="583" t="s">
        <v>494</v>
      </c>
      <c r="D82" s="583" t="s">
        <v>1169</v>
      </c>
      <c r="E82" s="583" t="s">
        <v>127</v>
      </c>
      <c r="F82" s="222">
        <f>2842*1.0936</f>
        <v>3108.0111999999999</v>
      </c>
      <c r="G82" s="584" t="s">
        <v>405</v>
      </c>
      <c r="H82" s="79"/>
      <c r="I82" s="80">
        <f>7.432+0.19</f>
        <v>7.6220000000000008</v>
      </c>
      <c r="J82" s="81">
        <v>1708</v>
      </c>
      <c r="K82" s="81">
        <f t="shared" ref="K82:K86" si="15">I82*J82</f>
        <v>13018.376000000002</v>
      </c>
      <c r="L82" s="102"/>
      <c r="M82" s="102"/>
      <c r="N82" s="71"/>
    </row>
    <row r="83" spans="1:14" s="28" customFormat="1" ht="14.45" customHeight="1">
      <c r="A83" s="85"/>
      <c r="B83" s="120"/>
      <c r="C83" s="120"/>
      <c r="D83" s="120"/>
      <c r="E83" s="85"/>
      <c r="F83" s="98"/>
      <c r="G83" s="584" t="s">
        <v>183</v>
      </c>
      <c r="H83" s="79"/>
      <c r="I83" s="80">
        <f>1.9+0.105</f>
        <v>2.0049999999999999</v>
      </c>
      <c r="J83" s="81">
        <v>1600</v>
      </c>
      <c r="K83" s="81">
        <f t="shared" si="15"/>
        <v>3208</v>
      </c>
      <c r="L83" s="102"/>
      <c r="M83" s="102"/>
      <c r="N83" s="71"/>
    </row>
    <row r="84" spans="1:14" s="28" customFormat="1" ht="14.45" customHeight="1">
      <c r="A84" s="85"/>
      <c r="B84" s="85"/>
      <c r="C84" s="85"/>
      <c r="D84" s="85"/>
      <c r="E84" s="85"/>
      <c r="F84" s="98"/>
      <c r="G84" s="93" t="s">
        <v>315</v>
      </c>
      <c r="H84" s="79"/>
      <c r="I84" s="80">
        <v>9.61</v>
      </c>
      <c r="J84" s="81">
        <v>2184</v>
      </c>
      <c r="K84" s="81">
        <f t="shared" si="15"/>
        <v>20988.239999999998</v>
      </c>
      <c r="L84" s="102"/>
      <c r="M84" s="102"/>
      <c r="N84" s="71"/>
    </row>
    <row r="85" spans="1:14" s="28" customFormat="1" ht="14.45" customHeight="1">
      <c r="A85" s="85"/>
      <c r="B85" s="85"/>
      <c r="C85" s="85"/>
      <c r="D85" s="85"/>
      <c r="E85" s="85"/>
      <c r="F85" s="98"/>
      <c r="G85" s="583" t="s">
        <v>184</v>
      </c>
      <c r="H85" s="583"/>
      <c r="I85" s="80">
        <v>8</v>
      </c>
      <c r="J85" s="81">
        <v>336</v>
      </c>
      <c r="K85" s="94">
        <f t="shared" si="15"/>
        <v>2688</v>
      </c>
      <c r="L85" s="102"/>
      <c r="M85" s="102"/>
      <c r="N85" s="71"/>
    </row>
    <row r="86" spans="1:14" s="28" customFormat="1" ht="14.45" customHeight="1">
      <c r="A86" s="85"/>
      <c r="B86" s="85"/>
      <c r="C86" s="85"/>
      <c r="D86" s="85"/>
      <c r="E86" s="85"/>
      <c r="F86" s="98"/>
      <c r="G86" s="95" t="s">
        <v>185</v>
      </c>
      <c r="H86" s="79"/>
      <c r="I86" s="96">
        <v>1.6</v>
      </c>
      <c r="J86" s="81">
        <v>490</v>
      </c>
      <c r="K86" s="81">
        <f t="shared" si="15"/>
        <v>784</v>
      </c>
      <c r="L86" s="102"/>
      <c r="M86" s="102"/>
      <c r="N86" s="71"/>
    </row>
    <row r="87" spans="1:14" s="28" customFormat="1" ht="14.45" customHeight="1">
      <c r="A87" s="85"/>
      <c r="B87" s="85"/>
      <c r="C87" s="85"/>
      <c r="D87" s="85"/>
      <c r="E87" s="261" t="s">
        <v>9</v>
      </c>
      <c r="F87" s="110">
        <f>SUM(F82:F86)</f>
        <v>3108.0111999999999</v>
      </c>
      <c r="G87" s="95"/>
      <c r="H87" s="79"/>
      <c r="I87" s="80"/>
      <c r="J87" s="81"/>
      <c r="K87" s="111">
        <f>SUM(K82:K86)</f>
        <v>40686.616000000002</v>
      </c>
      <c r="L87" s="111">
        <f>K87/F87</f>
        <v>13.090884614572818</v>
      </c>
      <c r="M87" s="102"/>
      <c r="N87" s="71"/>
    </row>
    <row r="88" spans="1:14" s="28" customFormat="1" ht="14.45" customHeight="1">
      <c r="A88" s="85">
        <v>10399</v>
      </c>
      <c r="B88" s="583" t="s">
        <v>1167</v>
      </c>
      <c r="C88" s="120" t="s">
        <v>121</v>
      </c>
      <c r="D88" s="583" t="s">
        <v>369</v>
      </c>
      <c r="E88" s="583" t="s">
        <v>323</v>
      </c>
      <c r="F88" s="222">
        <f>13200*1.0936</f>
        <v>14435.519999999999</v>
      </c>
      <c r="G88" s="93" t="s">
        <v>190</v>
      </c>
      <c r="H88" s="79"/>
      <c r="I88" s="80">
        <f>4.842+7.25+0.611</f>
        <v>12.702999999999999</v>
      </c>
      <c r="J88" s="81">
        <v>644</v>
      </c>
      <c r="K88" s="81">
        <f t="shared" ref="K88:K92" si="16">I88*J88</f>
        <v>8180.732</v>
      </c>
      <c r="L88" s="102"/>
      <c r="M88" s="102"/>
      <c r="N88" s="71"/>
    </row>
    <row r="89" spans="1:14" s="28" customFormat="1" ht="14.45" customHeight="1">
      <c r="A89" s="85"/>
      <c r="B89" s="120"/>
      <c r="C89" s="120"/>
      <c r="D89" s="120"/>
      <c r="E89" s="120"/>
      <c r="F89" s="98"/>
      <c r="G89" s="91" t="s">
        <v>192</v>
      </c>
      <c r="H89" s="79"/>
      <c r="I89" s="80">
        <f>4.246+6.43+0.36</f>
        <v>11.036</v>
      </c>
      <c r="J89" s="81">
        <v>1126</v>
      </c>
      <c r="K89" s="81">
        <f t="shared" si="16"/>
        <v>12426.536</v>
      </c>
      <c r="L89" s="102"/>
      <c r="M89" s="102"/>
      <c r="N89" s="71"/>
    </row>
    <row r="90" spans="1:14" s="28" customFormat="1" ht="14.45" customHeight="1">
      <c r="A90" s="85"/>
      <c r="B90" s="85"/>
      <c r="C90" s="85"/>
      <c r="D90" s="85"/>
      <c r="E90" s="85"/>
      <c r="F90" s="98"/>
      <c r="G90" s="91" t="s">
        <v>193</v>
      </c>
      <c r="H90" s="79"/>
      <c r="I90" s="80">
        <f>18.207+27.58+1.66</f>
        <v>47.446999999999996</v>
      </c>
      <c r="J90" s="81">
        <v>1150</v>
      </c>
      <c r="K90" s="81">
        <f t="shared" si="16"/>
        <v>54564.049999999996</v>
      </c>
      <c r="L90" s="102"/>
      <c r="M90" s="102"/>
      <c r="N90" s="71"/>
    </row>
    <row r="91" spans="1:14" s="28" customFormat="1" ht="14.45" customHeight="1">
      <c r="A91" s="85"/>
      <c r="B91" s="85"/>
      <c r="C91" s="85"/>
      <c r="D91" s="85"/>
      <c r="E91" s="85"/>
      <c r="F91" s="98"/>
      <c r="G91" s="583" t="s">
        <v>184</v>
      </c>
      <c r="H91" s="583"/>
      <c r="I91" s="80">
        <f>6.5+10</f>
        <v>16.5</v>
      </c>
      <c r="J91" s="81">
        <v>336</v>
      </c>
      <c r="K91" s="94">
        <f t="shared" si="16"/>
        <v>5544</v>
      </c>
      <c r="L91" s="102"/>
      <c r="M91" s="102"/>
      <c r="N91" s="71"/>
    </row>
    <row r="92" spans="1:14" s="28" customFormat="1" ht="14.45" customHeight="1">
      <c r="A92" s="85"/>
      <c r="B92" s="85"/>
      <c r="C92" s="85"/>
      <c r="D92" s="85"/>
      <c r="E92" s="85"/>
      <c r="F92" s="98"/>
      <c r="G92" s="95" t="s">
        <v>185</v>
      </c>
      <c r="H92" s="79"/>
      <c r="I92" s="96">
        <f>1.3+2</f>
        <v>3.3</v>
      </c>
      <c r="J92" s="81">
        <v>490</v>
      </c>
      <c r="K92" s="81">
        <f t="shared" si="16"/>
        <v>1617</v>
      </c>
      <c r="L92" s="102"/>
      <c r="M92" s="102"/>
      <c r="N92" s="71"/>
    </row>
    <row r="93" spans="1:14" s="28" customFormat="1" ht="14.45" customHeight="1">
      <c r="A93" s="85"/>
      <c r="B93" s="85"/>
      <c r="C93" s="85"/>
      <c r="D93" s="85"/>
      <c r="E93" s="261" t="s">
        <v>9</v>
      </c>
      <c r="F93" s="110">
        <f>SUM(F88:F92)</f>
        <v>14435.519999999999</v>
      </c>
      <c r="G93" s="95"/>
      <c r="H93" s="79"/>
      <c r="I93" s="80"/>
      <c r="J93" s="81"/>
      <c r="K93" s="111">
        <f>SUM(K88:K92)</f>
        <v>82332.317999999999</v>
      </c>
      <c r="L93" s="111">
        <f>K93/F93</f>
        <v>5.7034535645407995</v>
      </c>
      <c r="M93" s="102"/>
      <c r="N93" s="71"/>
    </row>
    <row r="94" spans="1:14" s="28" customFormat="1" ht="14.45" customHeight="1">
      <c r="A94" s="85">
        <v>9885</v>
      </c>
      <c r="B94" s="583" t="s">
        <v>875</v>
      </c>
      <c r="C94" s="583" t="s">
        <v>233</v>
      </c>
      <c r="D94" s="583" t="s">
        <v>1169</v>
      </c>
      <c r="E94" s="583" t="s">
        <v>876</v>
      </c>
      <c r="F94" s="222">
        <f>1850*1.0936</f>
        <v>2023.1599999999999</v>
      </c>
      <c r="G94" s="584" t="s">
        <v>405</v>
      </c>
      <c r="H94" s="79"/>
      <c r="I94" s="80">
        <f>0.92+0.24</f>
        <v>1.1600000000000001</v>
      </c>
      <c r="J94" s="81">
        <v>1708</v>
      </c>
      <c r="K94" s="81">
        <f t="shared" ref="K94:K98" si="17">I94*J94</f>
        <v>1981.2800000000002</v>
      </c>
      <c r="L94" s="102"/>
      <c r="M94" s="102"/>
      <c r="N94" s="71"/>
    </row>
    <row r="95" spans="1:14" s="28" customFormat="1" ht="14.45" customHeight="1">
      <c r="A95" s="85"/>
      <c r="B95" s="120"/>
      <c r="C95" s="120"/>
      <c r="D95" s="120"/>
      <c r="E95" s="120"/>
      <c r="F95" s="98"/>
      <c r="G95" s="584" t="s">
        <v>183</v>
      </c>
      <c r="H95" s="79"/>
      <c r="I95" s="80">
        <f>0.44+0.09+0.247</f>
        <v>0.77700000000000002</v>
      </c>
      <c r="J95" s="81">
        <v>1600</v>
      </c>
      <c r="K95" s="81">
        <f t="shared" si="17"/>
        <v>1243.2</v>
      </c>
      <c r="L95" s="102"/>
      <c r="M95" s="102"/>
      <c r="N95" s="71"/>
    </row>
    <row r="96" spans="1:14" s="28" customFormat="1" ht="14.45" customHeight="1">
      <c r="A96" s="85"/>
      <c r="B96" s="85"/>
      <c r="C96" s="85"/>
      <c r="D96" s="85"/>
      <c r="E96" s="85"/>
      <c r="F96" s="98"/>
      <c r="G96" s="93" t="s">
        <v>315</v>
      </c>
      <c r="H96" s="79"/>
      <c r="I96" s="80">
        <f>2.4+0.54</f>
        <v>2.94</v>
      </c>
      <c r="J96" s="81">
        <v>2184</v>
      </c>
      <c r="K96" s="81">
        <f t="shared" si="17"/>
        <v>6420.96</v>
      </c>
      <c r="L96" s="102"/>
      <c r="M96" s="102"/>
      <c r="N96" s="71"/>
    </row>
    <row r="97" spans="1:14" s="28" customFormat="1" ht="14.45" customHeight="1">
      <c r="A97" s="85"/>
      <c r="B97" s="85"/>
      <c r="C97" s="85"/>
      <c r="D97" s="85"/>
      <c r="E97" s="85"/>
      <c r="F97" s="98"/>
      <c r="G97" s="583" t="s">
        <v>184</v>
      </c>
      <c r="H97" s="583"/>
      <c r="I97" s="80">
        <v>4</v>
      </c>
      <c r="J97" s="81">
        <v>336</v>
      </c>
      <c r="K97" s="94">
        <f t="shared" si="17"/>
        <v>1344</v>
      </c>
      <c r="L97" s="102"/>
      <c r="M97" s="102"/>
      <c r="N97" s="71"/>
    </row>
    <row r="98" spans="1:14" s="28" customFormat="1" ht="14.45" customHeight="1">
      <c r="A98" s="85"/>
      <c r="B98" s="85"/>
      <c r="C98" s="85"/>
      <c r="D98" s="85"/>
      <c r="E98" s="85"/>
      <c r="F98" s="98"/>
      <c r="G98" s="95" t="s">
        <v>185</v>
      </c>
      <c r="H98" s="79"/>
      <c r="I98" s="96">
        <v>0.8</v>
      </c>
      <c r="J98" s="81">
        <v>490</v>
      </c>
      <c r="K98" s="81">
        <f t="shared" si="17"/>
        <v>392</v>
      </c>
      <c r="L98" s="102"/>
      <c r="M98" s="102"/>
      <c r="N98" s="71"/>
    </row>
    <row r="99" spans="1:14" s="28" customFormat="1" ht="14.45" customHeight="1">
      <c r="A99" s="85"/>
      <c r="B99" s="85"/>
      <c r="C99" s="85"/>
      <c r="D99" s="85"/>
      <c r="E99" s="261" t="s">
        <v>9</v>
      </c>
      <c r="F99" s="110">
        <f>SUM(F94:F98)</f>
        <v>2023.1599999999999</v>
      </c>
      <c r="G99" s="95"/>
      <c r="H99" s="79"/>
      <c r="I99" s="80"/>
      <c r="J99" s="81"/>
      <c r="K99" s="111">
        <f>SUM(K94:K98)</f>
        <v>11381.44</v>
      </c>
      <c r="L99" s="111">
        <f>K99/F99</f>
        <v>5.6255758318669811</v>
      </c>
      <c r="M99" s="102"/>
      <c r="N99" s="71"/>
    </row>
    <row r="100" spans="1:14" s="28" customFormat="1" ht="14.45" customHeight="1">
      <c r="A100" s="801"/>
      <c r="B100" s="801"/>
      <c r="C100" s="801"/>
      <c r="D100" s="818"/>
      <c r="E100" s="808"/>
      <c r="F100" s="110"/>
      <c r="G100" s="819"/>
      <c r="H100" s="820"/>
      <c r="I100" s="821"/>
      <c r="J100" s="822"/>
      <c r="K100" s="111"/>
      <c r="L100" s="111"/>
      <c r="M100" s="131"/>
      <c r="N100" s="71"/>
    </row>
    <row r="101" spans="1:14" s="28" customFormat="1" ht="14.45" customHeight="1">
      <c r="A101" s="191"/>
      <c r="B101" s="191"/>
      <c r="C101" s="191"/>
      <c r="D101" s="126" t="s">
        <v>30</v>
      </c>
      <c r="E101" s="126"/>
      <c r="F101" s="127">
        <f>F45+F51+F57+F63+F69+F75+F81+F87+F93+F99</f>
        <v>33750.683199999999</v>
      </c>
      <c r="G101" s="128"/>
      <c r="H101" s="128"/>
      <c r="I101" s="128"/>
      <c r="J101" s="128"/>
      <c r="K101" s="127">
        <f>K45+K51+K57+K63+K69+K75+K81+K87+K93+K99</f>
        <v>232770.63500000001</v>
      </c>
      <c r="L101" s="129">
        <f>K101/F101</f>
        <v>6.89676809268264</v>
      </c>
      <c r="M101" s="131"/>
      <c r="N101" s="71"/>
    </row>
    <row r="102" spans="1:14" s="28" customFormat="1" ht="14.45" customHeight="1">
      <c r="A102" s="70" t="s">
        <v>40</v>
      </c>
      <c r="B102" s="70"/>
      <c r="C102" s="70"/>
      <c r="D102" s="70"/>
      <c r="E102" s="70"/>
      <c r="F102" s="71"/>
      <c r="G102" s="71"/>
      <c r="H102" s="71"/>
      <c r="I102" s="140"/>
      <c r="J102" s="71"/>
      <c r="K102" s="824" t="s">
        <v>1181</v>
      </c>
      <c r="L102" s="824"/>
      <c r="M102" s="824"/>
      <c r="N102" s="71"/>
    </row>
    <row r="103" spans="1:14" s="28" customFormat="1" ht="14.45" customHeight="1">
      <c r="A103" s="172" t="s">
        <v>0</v>
      </c>
      <c r="B103" s="172" t="s">
        <v>7</v>
      </c>
      <c r="C103" s="172" t="s">
        <v>13</v>
      </c>
      <c r="D103" s="172" t="s">
        <v>14</v>
      </c>
      <c r="E103" s="172" t="s">
        <v>8</v>
      </c>
      <c r="F103" s="172" t="s">
        <v>1</v>
      </c>
      <c r="G103" s="172" t="s">
        <v>2</v>
      </c>
      <c r="H103" s="172" t="s">
        <v>15</v>
      </c>
      <c r="I103" s="141" t="s">
        <v>3</v>
      </c>
      <c r="J103" s="172" t="s">
        <v>4</v>
      </c>
      <c r="K103" s="172" t="s">
        <v>5</v>
      </c>
      <c r="L103" s="172" t="s">
        <v>12</v>
      </c>
      <c r="M103" s="172" t="s">
        <v>6</v>
      </c>
      <c r="N103" s="123"/>
    </row>
    <row r="104" spans="1:14" s="30" customFormat="1" ht="14.45" customHeight="1">
      <c r="A104" s="85">
        <v>10330</v>
      </c>
      <c r="B104" s="583" t="s">
        <v>892</v>
      </c>
      <c r="C104" s="89" t="s">
        <v>766</v>
      </c>
      <c r="D104" s="89" t="s">
        <v>465</v>
      </c>
      <c r="E104" s="583" t="s">
        <v>635</v>
      </c>
      <c r="F104" s="87">
        <f>6750*1.0936</f>
        <v>7381.7999999999993</v>
      </c>
      <c r="G104" s="120" t="s">
        <v>27</v>
      </c>
      <c r="H104" s="79"/>
      <c r="I104" s="80">
        <v>35</v>
      </c>
      <c r="J104" s="81">
        <v>22</v>
      </c>
      <c r="K104" s="81">
        <f t="shared" ref="K104:K106" si="18">I104*J104</f>
        <v>770</v>
      </c>
      <c r="L104" s="85"/>
      <c r="M104" s="85"/>
      <c r="N104" s="190"/>
    </row>
    <row r="105" spans="1:14" s="28" customFormat="1" ht="14.45" customHeight="1">
      <c r="A105" s="85"/>
      <c r="B105" s="85"/>
      <c r="C105" s="85"/>
      <c r="D105" s="85"/>
      <c r="E105" s="85"/>
      <c r="F105" s="85"/>
      <c r="G105" s="83" t="s">
        <v>49</v>
      </c>
      <c r="H105" s="79"/>
      <c r="I105" s="80">
        <v>25</v>
      </c>
      <c r="J105" s="81">
        <v>34</v>
      </c>
      <c r="K105" s="81">
        <f t="shared" si="18"/>
        <v>850</v>
      </c>
      <c r="L105" s="85"/>
      <c r="M105" s="85"/>
      <c r="N105" s="190"/>
    </row>
    <row r="106" spans="1:14" s="28" customFormat="1" ht="14.45" customHeight="1">
      <c r="A106" s="85"/>
      <c r="B106" s="85"/>
      <c r="C106" s="85"/>
      <c r="D106" s="85"/>
      <c r="E106" s="85"/>
      <c r="F106" s="85"/>
      <c r="G106" s="120" t="s">
        <v>19</v>
      </c>
      <c r="H106" s="79"/>
      <c r="I106" s="80">
        <v>7.5</v>
      </c>
      <c r="J106" s="81">
        <v>80</v>
      </c>
      <c r="K106" s="81">
        <f t="shared" si="18"/>
        <v>600</v>
      </c>
      <c r="L106" s="85"/>
      <c r="M106" s="85"/>
      <c r="N106" s="190"/>
    </row>
    <row r="107" spans="1:14" s="28" customFormat="1" ht="14.45" customHeight="1">
      <c r="A107" s="85"/>
      <c r="B107" s="85"/>
      <c r="C107" s="85"/>
      <c r="D107" s="85"/>
      <c r="E107" s="172" t="s">
        <v>9</v>
      </c>
      <c r="F107" s="110">
        <f>SUM(F104:F106)</f>
        <v>7381.7999999999993</v>
      </c>
      <c r="G107" s="172"/>
      <c r="H107" s="172"/>
      <c r="I107" s="125"/>
      <c r="J107" s="97"/>
      <c r="K107" s="111">
        <f>SUM(K104:K106)</f>
        <v>2220</v>
      </c>
      <c r="L107" s="111">
        <f>K107/F107</f>
        <v>0.30073965699422905</v>
      </c>
      <c r="M107" s="102"/>
      <c r="N107" s="71"/>
    </row>
    <row r="108" spans="1:14" s="28" customFormat="1" ht="14.45" customHeight="1">
      <c r="A108" s="85">
        <v>10307</v>
      </c>
      <c r="B108" s="583" t="s">
        <v>1120</v>
      </c>
      <c r="C108" s="583" t="s">
        <v>121</v>
      </c>
      <c r="D108" s="583" t="s">
        <v>369</v>
      </c>
      <c r="E108" s="583" t="s">
        <v>1133</v>
      </c>
      <c r="F108" s="222">
        <f>1000*1.0936</f>
        <v>1093.5999999999999</v>
      </c>
      <c r="G108" s="120" t="s">
        <v>27</v>
      </c>
      <c r="H108" s="79"/>
      <c r="I108" s="80">
        <f>50+10</f>
        <v>60</v>
      </c>
      <c r="J108" s="81">
        <v>22</v>
      </c>
      <c r="K108" s="81">
        <f t="shared" ref="K108:K111" si="19">I108*J108</f>
        <v>1320</v>
      </c>
      <c r="L108" s="85"/>
      <c r="M108" s="85"/>
      <c r="N108" s="190"/>
    </row>
    <row r="109" spans="1:14" s="28" customFormat="1" ht="14.45" customHeight="1">
      <c r="A109" s="85"/>
      <c r="B109" s="120"/>
      <c r="C109" s="120"/>
      <c r="D109" s="120"/>
      <c r="E109" s="85"/>
      <c r="F109" s="98"/>
      <c r="G109" s="83" t="s">
        <v>49</v>
      </c>
      <c r="H109" s="79"/>
      <c r="I109" s="80">
        <f>4+10</f>
        <v>14</v>
      </c>
      <c r="J109" s="81">
        <v>34</v>
      </c>
      <c r="K109" s="81">
        <f t="shared" si="19"/>
        <v>476</v>
      </c>
      <c r="L109" s="85"/>
      <c r="M109" s="85"/>
      <c r="N109" s="190"/>
    </row>
    <row r="110" spans="1:14" s="28" customFormat="1" ht="14.45" customHeight="1">
      <c r="A110" s="85"/>
      <c r="B110" s="85"/>
      <c r="C110" s="85"/>
      <c r="D110" s="85"/>
      <c r="E110" s="85"/>
      <c r="F110" s="85"/>
      <c r="G110" s="120" t="s">
        <v>19</v>
      </c>
      <c r="H110" s="79"/>
      <c r="I110" s="80">
        <f>0.8+1.2</f>
        <v>2</v>
      </c>
      <c r="J110" s="81">
        <v>80</v>
      </c>
      <c r="K110" s="81">
        <f t="shared" si="19"/>
        <v>160</v>
      </c>
      <c r="L110" s="85"/>
      <c r="M110" s="85"/>
      <c r="N110" s="190"/>
    </row>
    <row r="111" spans="1:14" s="28" customFormat="1" ht="14.45" customHeight="1">
      <c r="A111" s="582"/>
      <c r="B111" s="582"/>
      <c r="C111" s="582"/>
      <c r="D111" s="582"/>
      <c r="E111" s="582"/>
      <c r="F111" s="582"/>
      <c r="G111" s="95" t="s">
        <v>185</v>
      </c>
      <c r="H111" s="79"/>
      <c r="I111" s="96">
        <v>0.5</v>
      </c>
      <c r="J111" s="81">
        <v>490</v>
      </c>
      <c r="K111" s="81">
        <f t="shared" si="19"/>
        <v>245</v>
      </c>
      <c r="L111" s="582"/>
      <c r="M111" s="582"/>
      <c r="N111" s="580"/>
    </row>
    <row r="112" spans="1:14" s="28" customFormat="1" ht="14.45" customHeight="1">
      <c r="A112" s="85"/>
      <c r="B112" s="85"/>
      <c r="C112" s="85"/>
      <c r="D112" s="85"/>
      <c r="E112" s="172" t="s">
        <v>9</v>
      </c>
      <c r="F112" s="110">
        <f>SUM(F108:F110)</f>
        <v>1093.5999999999999</v>
      </c>
      <c r="G112" s="172"/>
      <c r="H112" s="172"/>
      <c r="I112" s="125"/>
      <c r="J112" s="97"/>
      <c r="K112" s="111">
        <f>SUM(K108:K110)</f>
        <v>1956</v>
      </c>
      <c r="L112" s="111">
        <f>K112/F112</f>
        <v>1.7885881492318949</v>
      </c>
      <c r="M112" s="102"/>
      <c r="N112" s="71"/>
    </row>
    <row r="113" spans="1:14" s="28" customFormat="1" ht="14.45" customHeight="1">
      <c r="A113" s="85">
        <v>10336</v>
      </c>
      <c r="B113" s="583" t="s">
        <v>1141</v>
      </c>
      <c r="C113" s="89" t="s">
        <v>700</v>
      </c>
      <c r="D113" s="89" t="s">
        <v>297</v>
      </c>
      <c r="E113" s="583" t="s">
        <v>982</v>
      </c>
      <c r="F113" s="90">
        <f>6270*1.0936</f>
        <v>6856.8719999999994</v>
      </c>
      <c r="G113" s="120" t="s">
        <v>27</v>
      </c>
      <c r="H113" s="79"/>
      <c r="I113" s="80">
        <v>150</v>
      </c>
      <c r="J113" s="81">
        <v>22</v>
      </c>
      <c r="K113" s="81">
        <f t="shared" ref="K113:K115" si="20">I113*J113</f>
        <v>3300</v>
      </c>
      <c r="L113" s="85"/>
      <c r="M113" s="85"/>
      <c r="N113" s="190"/>
    </row>
    <row r="114" spans="1:14" s="28" customFormat="1" ht="14.45" customHeight="1">
      <c r="A114" s="85"/>
      <c r="B114" s="120"/>
      <c r="C114" s="120"/>
      <c r="D114" s="120"/>
      <c r="E114" s="85"/>
      <c r="F114" s="120"/>
      <c r="G114" s="83" t="s">
        <v>49</v>
      </c>
      <c r="H114" s="79"/>
      <c r="I114" s="80">
        <v>12</v>
      </c>
      <c r="J114" s="81">
        <v>34</v>
      </c>
      <c r="K114" s="81">
        <f t="shared" si="20"/>
        <v>408</v>
      </c>
      <c r="L114" s="85"/>
      <c r="M114" s="85"/>
      <c r="N114" s="190"/>
    </row>
    <row r="115" spans="1:14" s="28" customFormat="1" ht="14.45" customHeight="1">
      <c r="A115" s="85"/>
      <c r="B115" s="85"/>
      <c r="C115" s="85"/>
      <c r="D115" s="85"/>
      <c r="E115" s="85"/>
      <c r="F115" s="85"/>
      <c r="G115" s="120" t="s">
        <v>19</v>
      </c>
      <c r="H115" s="79"/>
      <c r="I115" s="80">
        <v>3.6</v>
      </c>
      <c r="J115" s="81">
        <v>80</v>
      </c>
      <c r="K115" s="81">
        <f t="shared" si="20"/>
        <v>288</v>
      </c>
      <c r="L115" s="85"/>
      <c r="M115" s="85"/>
      <c r="N115" s="190"/>
    </row>
    <row r="116" spans="1:14" s="28" customFormat="1" ht="14.45" customHeight="1">
      <c r="A116" s="85"/>
      <c r="B116" s="85"/>
      <c r="C116" s="85"/>
      <c r="D116" s="85"/>
      <c r="E116" s="172" t="s">
        <v>9</v>
      </c>
      <c r="F116" s="110">
        <f>SUM(F113:F115)</f>
        <v>6856.8719999999994</v>
      </c>
      <c r="G116" s="172"/>
      <c r="H116" s="172"/>
      <c r="I116" s="125"/>
      <c r="J116" s="97"/>
      <c r="K116" s="111">
        <f>SUM(K113:K115)</f>
        <v>3996</v>
      </c>
      <c r="L116" s="111">
        <f>K116/F116</f>
        <v>0.58277301953427163</v>
      </c>
      <c r="M116" s="85"/>
      <c r="N116" s="190"/>
    </row>
    <row r="117" spans="1:14" s="28" customFormat="1" ht="14.45" customHeight="1">
      <c r="A117" s="85">
        <v>10326</v>
      </c>
      <c r="B117" s="583" t="s">
        <v>1167</v>
      </c>
      <c r="C117" s="583" t="s">
        <v>121</v>
      </c>
      <c r="D117" s="583" t="s">
        <v>369</v>
      </c>
      <c r="E117" s="583" t="s">
        <v>323</v>
      </c>
      <c r="F117" s="222">
        <f>13200*1.0936</f>
        <v>14435.519999999999</v>
      </c>
      <c r="G117" s="120" t="s">
        <v>27</v>
      </c>
      <c r="H117" s="79"/>
      <c r="I117" s="80">
        <f>375+250</f>
        <v>625</v>
      </c>
      <c r="J117" s="81">
        <v>22</v>
      </c>
      <c r="K117" s="81">
        <f t="shared" ref="K117:K119" si="21">I117*J117</f>
        <v>13750</v>
      </c>
      <c r="L117" s="85"/>
      <c r="M117" s="85"/>
      <c r="N117" s="190"/>
    </row>
    <row r="118" spans="1:14" s="28" customFormat="1" ht="14.45" customHeight="1">
      <c r="A118" s="85"/>
      <c r="B118" s="120"/>
      <c r="C118" s="120"/>
      <c r="D118" s="120"/>
      <c r="E118" s="120"/>
      <c r="F118" s="98"/>
      <c r="G118" s="83" t="s">
        <v>49</v>
      </c>
      <c r="H118" s="79"/>
      <c r="I118" s="80">
        <f>30+20</f>
        <v>50</v>
      </c>
      <c r="J118" s="81">
        <v>34</v>
      </c>
      <c r="K118" s="81">
        <f t="shared" si="21"/>
        <v>1700</v>
      </c>
      <c r="L118" s="85"/>
      <c r="M118" s="85"/>
      <c r="N118" s="190"/>
    </row>
    <row r="119" spans="1:14" s="28" customFormat="1" ht="14.45" customHeight="1">
      <c r="A119" s="85"/>
      <c r="B119" s="120"/>
      <c r="C119" s="120"/>
      <c r="D119" s="120"/>
      <c r="E119" s="120"/>
      <c r="F119" s="90"/>
      <c r="G119" s="120" t="s">
        <v>19</v>
      </c>
      <c r="H119" s="79"/>
      <c r="I119" s="80">
        <f>9+6</f>
        <v>15</v>
      </c>
      <c r="J119" s="81">
        <v>80</v>
      </c>
      <c r="K119" s="81">
        <f t="shared" si="21"/>
        <v>1200</v>
      </c>
      <c r="L119" s="85"/>
      <c r="M119" s="85"/>
      <c r="N119" s="190"/>
    </row>
    <row r="120" spans="1:14" s="28" customFormat="1" ht="14.45" customHeight="1">
      <c r="A120" s="85"/>
      <c r="B120" s="85"/>
      <c r="C120" s="85"/>
      <c r="D120" s="85"/>
      <c r="E120" s="172" t="s">
        <v>9</v>
      </c>
      <c r="F120" s="110">
        <f>SUM(F117:F119)</f>
        <v>14435.519999999999</v>
      </c>
      <c r="G120" s="172"/>
      <c r="H120" s="172"/>
      <c r="I120" s="125"/>
      <c r="J120" s="97"/>
      <c r="K120" s="111">
        <f>SUM(K117:K119)</f>
        <v>16650</v>
      </c>
      <c r="L120" s="111">
        <f>K120/F120</f>
        <v>1.1534049344949127</v>
      </c>
      <c r="M120" s="85"/>
      <c r="N120" s="190"/>
    </row>
    <row r="121" spans="1:14" s="28" customFormat="1" ht="14.45" customHeight="1">
      <c r="A121" s="85">
        <v>10317</v>
      </c>
      <c r="B121" s="583" t="s">
        <v>1089</v>
      </c>
      <c r="C121" s="583" t="s">
        <v>1040</v>
      </c>
      <c r="D121" s="583" t="s">
        <v>869</v>
      </c>
      <c r="E121" s="583" t="s">
        <v>102</v>
      </c>
      <c r="F121" s="90">
        <f>5550*1.0936</f>
        <v>6069.48</v>
      </c>
      <c r="G121" s="120" t="s">
        <v>27</v>
      </c>
      <c r="H121" s="79"/>
      <c r="I121" s="80">
        <v>300</v>
      </c>
      <c r="J121" s="81">
        <v>22</v>
      </c>
      <c r="K121" s="81">
        <f t="shared" ref="K121:K123" si="22">I121*J121</f>
        <v>6600</v>
      </c>
      <c r="L121" s="85"/>
      <c r="M121" s="85"/>
      <c r="N121" s="190"/>
    </row>
    <row r="122" spans="1:14" s="28" customFormat="1" ht="14.45" customHeight="1">
      <c r="A122" s="85"/>
      <c r="B122" s="85"/>
      <c r="C122" s="85"/>
      <c r="D122" s="85"/>
      <c r="E122" s="85"/>
      <c r="F122" s="85"/>
      <c r="G122" s="83" t="s">
        <v>49</v>
      </c>
      <c r="H122" s="79"/>
      <c r="I122" s="80">
        <v>24</v>
      </c>
      <c r="J122" s="81">
        <v>34</v>
      </c>
      <c r="K122" s="81">
        <f t="shared" si="22"/>
        <v>816</v>
      </c>
      <c r="L122" s="85"/>
      <c r="M122" s="85"/>
      <c r="N122" s="190"/>
    </row>
    <row r="123" spans="1:14" s="28" customFormat="1" ht="14.45" customHeight="1">
      <c r="A123" s="85"/>
      <c r="B123" s="85"/>
      <c r="C123" s="85"/>
      <c r="D123" s="85"/>
      <c r="E123" s="85"/>
      <c r="F123" s="85"/>
      <c r="G123" s="120" t="s">
        <v>19</v>
      </c>
      <c r="H123" s="79"/>
      <c r="I123" s="80">
        <v>7.2</v>
      </c>
      <c r="J123" s="81">
        <v>80</v>
      </c>
      <c r="K123" s="81">
        <f t="shared" si="22"/>
        <v>576</v>
      </c>
      <c r="L123" s="85"/>
      <c r="M123" s="85"/>
      <c r="N123" s="190"/>
    </row>
    <row r="124" spans="1:14" s="28" customFormat="1" ht="14.45" customHeight="1">
      <c r="A124" s="582"/>
      <c r="B124" s="582"/>
      <c r="C124" s="582"/>
      <c r="D124" s="582"/>
      <c r="E124" s="581" t="s">
        <v>9</v>
      </c>
      <c r="F124" s="110">
        <f>SUM(F121:F123)</f>
        <v>6069.48</v>
      </c>
      <c r="G124" s="581"/>
      <c r="H124" s="581"/>
      <c r="I124" s="125"/>
      <c r="J124" s="97"/>
      <c r="K124" s="111">
        <f>SUM(K121:K123)</f>
        <v>7992</v>
      </c>
      <c r="L124" s="111">
        <f>K124/F124</f>
        <v>1.3167520117044624</v>
      </c>
      <c r="M124" s="582"/>
      <c r="N124" s="580"/>
    </row>
    <row r="125" spans="1:14" s="28" customFormat="1" ht="14.45" customHeight="1">
      <c r="A125" s="582">
        <v>10348</v>
      </c>
      <c r="B125" s="583" t="s">
        <v>1170</v>
      </c>
      <c r="C125" s="583" t="s">
        <v>494</v>
      </c>
      <c r="D125" s="583" t="s">
        <v>1169</v>
      </c>
      <c r="E125" s="583" t="s">
        <v>262</v>
      </c>
      <c r="F125" s="222">
        <f>1800*1.0936</f>
        <v>1968.4799999999998</v>
      </c>
      <c r="G125" s="583" t="s">
        <v>27</v>
      </c>
      <c r="H125" s="79"/>
      <c r="I125" s="80">
        <v>82</v>
      </c>
      <c r="J125" s="81">
        <v>22</v>
      </c>
      <c r="K125" s="81">
        <f t="shared" ref="K125:K127" si="23">I125*J125</f>
        <v>1804</v>
      </c>
      <c r="L125" s="582"/>
      <c r="M125" s="582"/>
      <c r="N125" s="580"/>
    </row>
    <row r="126" spans="1:14" s="28" customFormat="1" ht="14.45" customHeight="1">
      <c r="A126" s="582"/>
      <c r="B126" s="582"/>
      <c r="C126" s="582"/>
      <c r="D126" s="582"/>
      <c r="E126" s="582"/>
      <c r="F126" s="582"/>
      <c r="G126" s="584" t="s">
        <v>49</v>
      </c>
      <c r="H126" s="79"/>
      <c r="I126" s="80">
        <v>11</v>
      </c>
      <c r="J126" s="81">
        <v>34</v>
      </c>
      <c r="K126" s="81">
        <f t="shared" si="23"/>
        <v>374</v>
      </c>
      <c r="L126" s="582"/>
      <c r="M126" s="582"/>
      <c r="N126" s="580"/>
    </row>
    <row r="127" spans="1:14" s="28" customFormat="1" ht="14.45" customHeight="1">
      <c r="A127" s="582"/>
      <c r="B127" s="582"/>
      <c r="C127" s="582"/>
      <c r="D127" s="582"/>
      <c r="E127" s="582"/>
      <c r="F127" s="582"/>
      <c r="G127" s="583" t="s">
        <v>19</v>
      </c>
      <c r="H127" s="79"/>
      <c r="I127" s="80">
        <v>3.6</v>
      </c>
      <c r="J127" s="81">
        <v>80</v>
      </c>
      <c r="K127" s="81">
        <f t="shared" si="23"/>
        <v>288</v>
      </c>
      <c r="L127" s="582"/>
      <c r="M127" s="582"/>
      <c r="N127" s="580"/>
    </row>
    <row r="128" spans="1:14" s="28" customFormat="1" ht="14.45" customHeight="1">
      <c r="A128" s="582"/>
      <c r="B128" s="582"/>
      <c r="C128" s="582"/>
      <c r="D128" s="582"/>
      <c r="E128" s="581" t="s">
        <v>9</v>
      </c>
      <c r="F128" s="110">
        <f>SUM(F125:F127)</f>
        <v>1968.4799999999998</v>
      </c>
      <c r="G128" s="581"/>
      <c r="H128" s="581"/>
      <c r="I128" s="125"/>
      <c r="J128" s="97"/>
      <c r="K128" s="111">
        <f>SUM(K125:K127)</f>
        <v>2466</v>
      </c>
      <c r="L128" s="111">
        <f>K128/F128</f>
        <v>1.2527432333577178</v>
      </c>
      <c r="M128" s="582"/>
      <c r="N128" s="580"/>
    </row>
    <row r="129" spans="1:14" s="28" customFormat="1" ht="14.45" customHeight="1">
      <c r="A129" s="582">
        <v>10350</v>
      </c>
      <c r="B129" s="583" t="s">
        <v>954</v>
      </c>
      <c r="C129" s="583" t="s">
        <v>494</v>
      </c>
      <c r="D129" s="583" t="s">
        <v>1169</v>
      </c>
      <c r="E129" s="583" t="s">
        <v>1171</v>
      </c>
      <c r="F129" s="222">
        <f>1600*1.0936</f>
        <v>1749.7599999999998</v>
      </c>
      <c r="G129" s="583" t="s">
        <v>27</v>
      </c>
      <c r="H129" s="79"/>
      <c r="I129" s="80">
        <v>30</v>
      </c>
      <c r="J129" s="81">
        <v>22</v>
      </c>
      <c r="K129" s="81">
        <f t="shared" ref="K129:K131" si="24">I129*J129</f>
        <v>660</v>
      </c>
      <c r="L129" s="582"/>
      <c r="M129" s="582"/>
      <c r="N129" s="580"/>
    </row>
    <row r="130" spans="1:14" s="28" customFormat="1" ht="14.45" customHeight="1">
      <c r="A130" s="582"/>
      <c r="B130" s="582"/>
      <c r="C130" s="582"/>
      <c r="D130" s="582"/>
      <c r="E130" s="582"/>
      <c r="F130" s="582"/>
      <c r="G130" s="584" t="s">
        <v>49</v>
      </c>
      <c r="H130" s="79"/>
      <c r="I130" s="80">
        <v>6</v>
      </c>
      <c r="J130" s="81">
        <v>34</v>
      </c>
      <c r="K130" s="81">
        <f t="shared" si="24"/>
        <v>204</v>
      </c>
      <c r="L130" s="582"/>
      <c r="M130" s="582"/>
      <c r="N130" s="580"/>
    </row>
    <row r="131" spans="1:14" s="28" customFormat="1" ht="14.45" customHeight="1">
      <c r="A131" s="582"/>
      <c r="B131" s="582"/>
      <c r="C131" s="582"/>
      <c r="D131" s="582"/>
      <c r="E131" s="582"/>
      <c r="F131" s="582"/>
      <c r="G131" s="583" t="s">
        <v>19</v>
      </c>
      <c r="H131" s="79"/>
      <c r="I131" s="80">
        <v>1.8</v>
      </c>
      <c r="J131" s="81">
        <v>80</v>
      </c>
      <c r="K131" s="81">
        <f t="shared" si="24"/>
        <v>144</v>
      </c>
      <c r="L131" s="582"/>
      <c r="M131" s="582"/>
      <c r="N131" s="580"/>
    </row>
    <row r="132" spans="1:14" s="28" customFormat="1" ht="14.45" customHeight="1">
      <c r="A132" s="582"/>
      <c r="B132" s="582"/>
      <c r="C132" s="582"/>
      <c r="D132" s="582"/>
      <c r="E132" s="581" t="s">
        <v>9</v>
      </c>
      <c r="F132" s="110">
        <f>SUM(F129:F131)</f>
        <v>1749.7599999999998</v>
      </c>
      <c r="G132" s="581"/>
      <c r="H132" s="581"/>
      <c r="I132" s="125"/>
      <c r="J132" s="97"/>
      <c r="K132" s="111">
        <f>SUM(K129:K131)</f>
        <v>1008</v>
      </c>
      <c r="L132" s="111">
        <f>K132/F132</f>
        <v>0.57607900512070231</v>
      </c>
      <c r="M132" s="582"/>
      <c r="N132" s="580"/>
    </row>
    <row r="133" spans="1:14" s="28" customFormat="1" ht="14.45" customHeight="1">
      <c r="A133" s="191"/>
      <c r="B133" s="191"/>
      <c r="C133" s="191"/>
      <c r="D133" s="126" t="s">
        <v>30</v>
      </c>
      <c r="E133" s="142"/>
      <c r="F133" s="127">
        <f>F107+F112+F116+F120+F124+F128+F132</f>
        <v>39555.512000000002</v>
      </c>
      <c r="G133" s="128"/>
      <c r="H133" s="128"/>
      <c r="I133" s="128"/>
      <c r="J133" s="128"/>
      <c r="K133" s="127">
        <f>K107+K112+K116+K120+K124+K128+K132</f>
        <v>36288</v>
      </c>
      <c r="L133" s="129">
        <f>K133/F133</f>
        <v>0.9173942685914418</v>
      </c>
      <c r="M133" s="131"/>
      <c r="N133" s="71"/>
    </row>
    <row r="134" spans="1:14" ht="14.45" customHeight="1">
      <c r="A134" s="70" t="s">
        <v>11</v>
      </c>
      <c r="B134" s="70"/>
      <c r="C134" s="70"/>
      <c r="D134" s="70"/>
      <c r="E134" s="70"/>
      <c r="F134" s="71"/>
      <c r="G134" s="71"/>
      <c r="H134" s="71"/>
      <c r="I134" s="71"/>
      <c r="J134" s="71"/>
      <c r="K134" s="824" t="s">
        <v>1181</v>
      </c>
      <c r="L134" s="824"/>
      <c r="M134" s="824"/>
      <c r="N134" s="71"/>
    </row>
    <row r="135" spans="1:14" ht="14.45" customHeight="1">
      <c r="A135" s="172" t="s">
        <v>0</v>
      </c>
      <c r="B135" s="172" t="s">
        <v>7</v>
      </c>
      <c r="C135" s="172" t="s">
        <v>13</v>
      </c>
      <c r="D135" s="172" t="s">
        <v>14</v>
      </c>
      <c r="E135" s="172" t="s">
        <v>8</v>
      </c>
      <c r="F135" s="172" t="s">
        <v>1</v>
      </c>
      <c r="G135" s="172" t="s">
        <v>2</v>
      </c>
      <c r="H135" s="172" t="s">
        <v>15</v>
      </c>
      <c r="I135" s="172" t="s">
        <v>3</v>
      </c>
      <c r="J135" s="172" t="s">
        <v>4</v>
      </c>
      <c r="K135" s="172" t="s">
        <v>5</v>
      </c>
      <c r="L135" s="172" t="s">
        <v>12</v>
      </c>
      <c r="M135" s="172" t="s">
        <v>6</v>
      </c>
      <c r="N135" s="123"/>
    </row>
    <row r="136" spans="1:14" ht="14.45" customHeight="1">
      <c r="A136" s="85">
        <v>9992</v>
      </c>
      <c r="B136" s="583" t="s">
        <v>998</v>
      </c>
      <c r="C136" s="583" t="s">
        <v>792</v>
      </c>
      <c r="D136" s="583" t="s">
        <v>1016</v>
      </c>
      <c r="E136" s="583" t="s">
        <v>93</v>
      </c>
      <c r="F136" s="90">
        <f>10750*1.0936</f>
        <v>11756.199999999999</v>
      </c>
      <c r="G136" s="173" t="s">
        <v>298</v>
      </c>
      <c r="H136" s="79"/>
      <c r="I136" s="80">
        <v>10</v>
      </c>
      <c r="J136" s="81">
        <v>435</v>
      </c>
      <c r="K136" s="94">
        <f t="shared" ref="K136:K137" si="25">I136*J136</f>
        <v>4350</v>
      </c>
      <c r="L136" s="102"/>
      <c r="M136" s="102"/>
      <c r="N136" s="71"/>
    </row>
    <row r="137" spans="1:14" ht="14.45" customHeight="1">
      <c r="A137" s="85"/>
      <c r="B137" s="120"/>
      <c r="C137" s="120"/>
      <c r="D137" s="120"/>
      <c r="E137" s="120"/>
      <c r="F137" s="99"/>
      <c r="G137" s="584" t="s">
        <v>1164</v>
      </c>
      <c r="H137" s="104"/>
      <c r="I137" s="189">
        <v>60</v>
      </c>
      <c r="J137" s="81">
        <v>480</v>
      </c>
      <c r="K137" s="81">
        <f t="shared" si="25"/>
        <v>28800</v>
      </c>
      <c r="L137" s="102"/>
      <c r="M137" s="102"/>
      <c r="N137" s="71"/>
    </row>
    <row r="138" spans="1:14" ht="14.45" customHeight="1">
      <c r="A138" s="582"/>
      <c r="B138" s="583"/>
      <c r="C138" s="583"/>
      <c r="D138" s="583"/>
      <c r="E138" s="583"/>
      <c r="F138" s="99"/>
      <c r="G138" s="584" t="s">
        <v>798</v>
      </c>
      <c r="H138" s="79"/>
      <c r="I138" s="81">
        <v>10</v>
      </c>
      <c r="J138" s="81">
        <v>248</v>
      </c>
      <c r="K138" s="81">
        <f>I138*J138</f>
        <v>2480</v>
      </c>
      <c r="L138" s="102"/>
      <c r="M138" s="102"/>
      <c r="N138" s="71"/>
    </row>
    <row r="139" spans="1:14" ht="14.45" customHeight="1">
      <c r="A139" s="85"/>
      <c r="B139" s="85"/>
      <c r="C139" s="85"/>
      <c r="D139" s="85"/>
      <c r="E139" s="172" t="s">
        <v>9</v>
      </c>
      <c r="F139" s="110">
        <f>SUM(F136:F138)</f>
        <v>11756.199999999999</v>
      </c>
      <c r="G139" s="172"/>
      <c r="H139" s="172"/>
      <c r="I139" s="97"/>
      <c r="J139" s="97"/>
      <c r="K139" s="111">
        <f>SUM(K136:K138)</f>
        <v>35630</v>
      </c>
      <c r="L139" s="111">
        <f>K139/F139</f>
        <v>3.0307412259063304</v>
      </c>
      <c r="M139" s="102"/>
      <c r="N139" s="71"/>
    </row>
    <row r="140" spans="1:14" ht="14.45" customHeight="1">
      <c r="A140" s="120">
        <v>9987</v>
      </c>
      <c r="B140" s="583" t="s">
        <v>1041</v>
      </c>
      <c r="C140" s="89" t="s">
        <v>766</v>
      </c>
      <c r="D140" s="89" t="s">
        <v>465</v>
      </c>
      <c r="E140" s="583" t="s">
        <v>1191</v>
      </c>
      <c r="F140" s="87">
        <f>6000*1.0936</f>
        <v>6561.5999999999995</v>
      </c>
      <c r="G140" s="173" t="s">
        <v>799</v>
      </c>
      <c r="H140" s="79"/>
      <c r="I140" s="188">
        <v>20</v>
      </c>
      <c r="J140" s="81">
        <v>350</v>
      </c>
      <c r="K140" s="94">
        <f t="shared" ref="K140" si="26">I140*J140</f>
        <v>7000</v>
      </c>
      <c r="L140" s="79"/>
      <c r="M140" s="102"/>
      <c r="N140" s="71"/>
    </row>
    <row r="141" spans="1:14" ht="14.45" customHeight="1">
      <c r="A141" s="85"/>
      <c r="B141" s="120"/>
      <c r="C141" s="120"/>
      <c r="D141" s="120"/>
      <c r="E141" s="85"/>
      <c r="F141" s="120"/>
      <c r="G141" s="83" t="s">
        <v>206</v>
      </c>
      <c r="H141" s="79"/>
      <c r="I141" s="81"/>
      <c r="J141" s="81">
        <v>375</v>
      </c>
      <c r="K141" s="81">
        <f t="shared" ref="K141" si="27">I141*J141</f>
        <v>0</v>
      </c>
      <c r="L141" s="79"/>
      <c r="M141" s="102"/>
      <c r="N141" s="71"/>
    </row>
    <row r="142" spans="1:14" ht="14.45" customHeight="1">
      <c r="A142" s="85"/>
      <c r="B142" s="120"/>
      <c r="C142" s="120"/>
      <c r="D142" s="120"/>
      <c r="E142" s="261" t="s">
        <v>9</v>
      </c>
      <c r="F142" s="110">
        <f>SUM(F140:F141)</f>
        <v>6561.5999999999995</v>
      </c>
      <c r="G142" s="261"/>
      <c r="H142" s="261"/>
      <c r="I142" s="97"/>
      <c r="J142" s="97"/>
      <c r="K142" s="111">
        <f>SUM(K140:K141)</f>
        <v>7000</v>
      </c>
      <c r="L142" s="111">
        <f>K142/F142</f>
        <v>1.0668129724457451</v>
      </c>
      <c r="M142" s="102"/>
      <c r="N142" s="71"/>
    </row>
    <row r="143" spans="1:14" ht="14.45" customHeight="1">
      <c r="A143" s="120">
        <v>9990</v>
      </c>
      <c r="B143" s="583" t="s">
        <v>875</v>
      </c>
      <c r="C143" s="583" t="s">
        <v>233</v>
      </c>
      <c r="D143" s="583" t="s">
        <v>1169</v>
      </c>
      <c r="E143" s="583" t="s">
        <v>876</v>
      </c>
      <c r="F143" s="222">
        <f>4600*1.0936</f>
        <v>5030.5599999999995</v>
      </c>
      <c r="G143" s="584" t="s">
        <v>1192</v>
      </c>
      <c r="H143" s="79"/>
      <c r="I143" s="80">
        <v>15</v>
      </c>
      <c r="J143" s="81">
        <v>342</v>
      </c>
      <c r="K143" s="94">
        <f t="shared" ref="K143:K144" si="28">I143*J143</f>
        <v>5130</v>
      </c>
      <c r="L143" s="102"/>
      <c r="M143" s="102"/>
      <c r="N143" s="71"/>
    </row>
    <row r="144" spans="1:14" ht="14.45" customHeight="1">
      <c r="A144" s="85"/>
      <c r="B144" s="120"/>
      <c r="C144" s="120"/>
      <c r="D144" s="120"/>
      <c r="E144" s="85"/>
      <c r="F144" s="120"/>
      <c r="G144" s="584" t="s">
        <v>206</v>
      </c>
      <c r="H144" s="79"/>
      <c r="I144" s="81">
        <v>20</v>
      </c>
      <c r="J144" s="81">
        <v>375</v>
      </c>
      <c r="K144" s="81">
        <f t="shared" si="28"/>
        <v>7500</v>
      </c>
      <c r="L144" s="102"/>
      <c r="M144" s="102"/>
      <c r="N144" s="71"/>
    </row>
    <row r="145" spans="1:14" ht="14.45" customHeight="1">
      <c r="A145" s="85"/>
      <c r="B145" s="120"/>
      <c r="C145" s="120"/>
      <c r="D145" s="120"/>
      <c r="E145" s="85"/>
      <c r="F145" s="120"/>
      <c r="G145" s="584" t="s">
        <v>798</v>
      </c>
      <c r="H145" s="79"/>
      <c r="I145" s="81">
        <v>3</v>
      </c>
      <c r="J145" s="81">
        <v>248</v>
      </c>
      <c r="K145" s="81">
        <f>I145*J145</f>
        <v>744</v>
      </c>
      <c r="L145" s="102"/>
      <c r="M145" s="102"/>
      <c r="N145" s="71"/>
    </row>
    <row r="146" spans="1:14" ht="14.45" customHeight="1">
      <c r="A146" s="85"/>
      <c r="B146" s="120"/>
      <c r="C146" s="120"/>
      <c r="D146" s="120"/>
      <c r="E146" s="261" t="s">
        <v>9</v>
      </c>
      <c r="F146" s="110">
        <f>SUM(F143:F145)</f>
        <v>5030.5599999999995</v>
      </c>
      <c r="G146" s="261"/>
      <c r="H146" s="261"/>
      <c r="I146" s="97"/>
      <c r="J146" s="97"/>
      <c r="K146" s="111">
        <f>SUM(K143:K145)</f>
        <v>13374</v>
      </c>
      <c r="L146" s="111">
        <f>K146/F146</f>
        <v>2.6585509366750424</v>
      </c>
      <c r="M146" s="102"/>
      <c r="N146" s="71"/>
    </row>
    <row r="147" spans="1:14" ht="14.45" customHeight="1">
      <c r="A147" s="85">
        <v>9991</v>
      </c>
      <c r="B147" s="583" t="s">
        <v>904</v>
      </c>
      <c r="C147" s="583" t="s">
        <v>233</v>
      </c>
      <c r="D147" s="583" t="s">
        <v>1169</v>
      </c>
      <c r="E147" s="583" t="s">
        <v>102</v>
      </c>
      <c r="F147" s="222">
        <f>4600*1.0936</f>
        <v>5030.5599999999995</v>
      </c>
      <c r="G147" s="584" t="s">
        <v>206</v>
      </c>
      <c r="H147" s="79"/>
      <c r="I147" s="81">
        <v>3</v>
      </c>
      <c r="J147" s="81">
        <v>375</v>
      </c>
      <c r="K147" s="81">
        <f t="shared" ref="K147" si="29">I147*J147</f>
        <v>1125</v>
      </c>
      <c r="L147" s="79"/>
      <c r="M147" s="102"/>
      <c r="N147" s="71"/>
    </row>
    <row r="148" spans="1:14" ht="14.45" customHeight="1">
      <c r="A148" s="85"/>
      <c r="B148" s="120"/>
      <c r="C148" s="120"/>
      <c r="D148" s="120"/>
      <c r="E148" s="85"/>
      <c r="F148" s="120"/>
      <c r="G148" s="584" t="s">
        <v>798</v>
      </c>
      <c r="H148" s="79"/>
      <c r="I148" s="81">
        <v>3</v>
      </c>
      <c r="J148" s="81">
        <v>248</v>
      </c>
      <c r="K148" s="81">
        <f>I148*J148</f>
        <v>744</v>
      </c>
      <c r="L148" s="79"/>
      <c r="M148" s="102"/>
      <c r="N148" s="71"/>
    </row>
    <row r="149" spans="1:14" ht="14.45" customHeight="1">
      <c r="A149" s="582"/>
      <c r="B149" s="583"/>
      <c r="C149" s="583"/>
      <c r="D149" s="583"/>
      <c r="E149" s="582"/>
      <c r="F149" s="583"/>
      <c r="G149" s="583" t="s">
        <v>202</v>
      </c>
      <c r="H149" s="79"/>
      <c r="I149" s="188">
        <v>3</v>
      </c>
      <c r="J149" s="81">
        <v>386</v>
      </c>
      <c r="K149" s="81">
        <f t="shared" ref="K149" si="30">I149*J149</f>
        <v>1158</v>
      </c>
      <c r="L149" s="79"/>
      <c r="M149" s="102"/>
      <c r="N149" s="71"/>
    </row>
    <row r="150" spans="1:14" ht="14.45" customHeight="1">
      <c r="A150" s="582"/>
      <c r="B150" s="583"/>
      <c r="C150" s="583"/>
      <c r="D150" s="583"/>
      <c r="E150" s="581" t="s">
        <v>9</v>
      </c>
      <c r="F150" s="110">
        <f>SUM(F147:F149)</f>
        <v>5030.5599999999995</v>
      </c>
      <c r="G150" s="581"/>
      <c r="H150" s="581"/>
      <c r="I150" s="97"/>
      <c r="J150" s="97"/>
      <c r="K150" s="111">
        <f>SUM(K147:K149)</f>
        <v>3027</v>
      </c>
      <c r="L150" s="111">
        <f>K150/F150</f>
        <v>0.60172227346458451</v>
      </c>
      <c r="M150" s="102"/>
      <c r="N150" s="71"/>
    </row>
    <row r="151" spans="1:14" ht="14.45" customHeight="1">
      <c r="A151" s="582">
        <v>9974</v>
      </c>
      <c r="B151" s="583" t="s">
        <v>1193</v>
      </c>
      <c r="C151" s="583" t="s">
        <v>1075</v>
      </c>
      <c r="D151" s="583" t="s">
        <v>364</v>
      </c>
      <c r="E151" s="583" t="s">
        <v>257</v>
      </c>
      <c r="F151" s="222">
        <f>3400*1.0936</f>
        <v>3718.24</v>
      </c>
      <c r="G151" s="173" t="s">
        <v>298</v>
      </c>
      <c r="H151" s="79"/>
      <c r="I151" s="80">
        <v>3</v>
      </c>
      <c r="J151" s="81">
        <v>435</v>
      </c>
      <c r="K151" s="94">
        <f t="shared" ref="K151" si="31">I151*J151</f>
        <v>1305</v>
      </c>
      <c r="L151" s="79"/>
      <c r="M151" s="102"/>
      <c r="N151" s="71"/>
    </row>
    <row r="152" spans="1:14" ht="14.45" customHeight="1">
      <c r="A152" s="582"/>
      <c r="B152" s="583"/>
      <c r="C152" s="583"/>
      <c r="D152" s="583"/>
      <c r="E152" s="582"/>
      <c r="F152" s="583"/>
      <c r="G152" s="584" t="s">
        <v>206</v>
      </c>
      <c r="H152" s="79"/>
      <c r="I152" s="81">
        <v>2</v>
      </c>
      <c r="J152" s="81">
        <v>375</v>
      </c>
      <c r="K152" s="81">
        <f t="shared" ref="K152" si="32">I152*J152</f>
        <v>750</v>
      </c>
      <c r="L152" s="79"/>
      <c r="M152" s="102"/>
      <c r="N152" s="71"/>
    </row>
    <row r="153" spans="1:14" ht="14.45" customHeight="1">
      <c r="A153" s="582"/>
      <c r="B153" s="583"/>
      <c r="C153" s="583"/>
      <c r="D153" s="583"/>
      <c r="E153" s="581" t="s">
        <v>9</v>
      </c>
      <c r="F153" s="110">
        <f>SUM(F151:F152)</f>
        <v>3718.24</v>
      </c>
      <c r="G153" s="581"/>
      <c r="H153" s="581"/>
      <c r="I153" s="97"/>
      <c r="J153" s="97"/>
      <c r="K153" s="111">
        <f>SUM(K151:K152)</f>
        <v>2055</v>
      </c>
      <c r="L153" s="111">
        <f>K153/F153</f>
        <v>0.55268083824605196</v>
      </c>
      <c r="M153" s="102"/>
      <c r="N153" s="71"/>
    </row>
    <row r="154" spans="1:14" ht="14.45" customHeight="1">
      <c r="A154" s="582">
        <v>9989</v>
      </c>
      <c r="B154" s="583" t="s">
        <v>881</v>
      </c>
      <c r="C154" s="583" t="s">
        <v>233</v>
      </c>
      <c r="D154" s="583" t="s">
        <v>1194</v>
      </c>
      <c r="E154" s="583" t="s">
        <v>879</v>
      </c>
      <c r="F154" s="222">
        <f>80*1.0936</f>
        <v>87.488</v>
      </c>
      <c r="G154" s="584" t="s">
        <v>1195</v>
      </c>
      <c r="H154" s="79"/>
      <c r="I154" s="80">
        <v>0.5</v>
      </c>
      <c r="J154" s="81">
        <v>380</v>
      </c>
      <c r="K154" s="94">
        <f t="shared" ref="K154" si="33">I154*J154</f>
        <v>190</v>
      </c>
      <c r="L154" s="79"/>
      <c r="M154" s="102"/>
      <c r="N154" s="71"/>
    </row>
    <row r="155" spans="1:14" ht="14.45" customHeight="1">
      <c r="A155" s="582"/>
      <c r="B155" s="583"/>
      <c r="C155" s="583"/>
      <c r="D155" s="583"/>
      <c r="E155" s="582"/>
      <c r="F155" s="583"/>
      <c r="G155" s="101" t="s">
        <v>1196</v>
      </c>
      <c r="H155" s="79"/>
      <c r="I155" s="80">
        <v>1</v>
      </c>
      <c r="J155" s="81">
        <v>228</v>
      </c>
      <c r="K155" s="94">
        <f>I154*J154</f>
        <v>190</v>
      </c>
      <c r="L155" s="79"/>
      <c r="M155" s="102"/>
      <c r="N155" s="71"/>
    </row>
    <row r="156" spans="1:14" ht="14.45" customHeight="1">
      <c r="A156" s="582"/>
      <c r="B156" s="583"/>
      <c r="C156" s="583"/>
      <c r="D156" s="583"/>
      <c r="E156" s="581" t="s">
        <v>9</v>
      </c>
      <c r="F156" s="110">
        <f>SUM(F154:F155)</f>
        <v>87.488</v>
      </c>
      <c r="G156" s="581"/>
      <c r="H156" s="581"/>
      <c r="I156" s="97"/>
      <c r="J156" s="97"/>
      <c r="K156" s="111">
        <f>SUM(K155:K155)</f>
        <v>190</v>
      </c>
      <c r="L156" s="111">
        <f>K156/F156</f>
        <v>2.1717264081931238</v>
      </c>
      <c r="M156" s="102"/>
      <c r="N156" s="71"/>
    </row>
    <row r="157" spans="1:14" ht="14.45" customHeight="1">
      <c r="A157" s="582">
        <v>9988</v>
      </c>
      <c r="B157" s="583" t="s">
        <v>1197</v>
      </c>
      <c r="C157" s="89" t="s">
        <v>700</v>
      </c>
      <c r="D157" s="89" t="s">
        <v>297</v>
      </c>
      <c r="E157" s="583" t="s">
        <v>1198</v>
      </c>
      <c r="F157" s="222">
        <f>4400*1.0936</f>
        <v>4811.8399999999992</v>
      </c>
      <c r="G157" s="584" t="s">
        <v>1192</v>
      </c>
      <c r="H157" s="79"/>
      <c r="I157" s="80">
        <v>10</v>
      </c>
      <c r="J157" s="81">
        <v>342</v>
      </c>
      <c r="K157" s="94">
        <f t="shared" ref="K157:K158" si="34">I157*J157</f>
        <v>3420</v>
      </c>
      <c r="L157" s="79"/>
      <c r="M157" s="102"/>
      <c r="N157" s="71"/>
    </row>
    <row r="158" spans="1:14" ht="14.45" customHeight="1">
      <c r="A158" s="582"/>
      <c r="B158" s="583"/>
      <c r="C158" s="583"/>
      <c r="D158" s="583"/>
      <c r="E158" s="582"/>
      <c r="F158" s="583"/>
      <c r="G158" s="584" t="s">
        <v>206</v>
      </c>
      <c r="H158" s="79"/>
      <c r="I158" s="81">
        <v>3</v>
      </c>
      <c r="J158" s="81">
        <v>375</v>
      </c>
      <c r="K158" s="81">
        <f t="shared" si="34"/>
        <v>1125</v>
      </c>
      <c r="L158" s="79"/>
      <c r="M158" s="102"/>
      <c r="N158" s="71"/>
    </row>
    <row r="159" spans="1:14" ht="14.45" customHeight="1">
      <c r="A159" s="582"/>
      <c r="B159" s="583"/>
      <c r="C159" s="583"/>
      <c r="D159" s="583"/>
      <c r="E159" s="581" t="s">
        <v>9</v>
      </c>
      <c r="F159" s="110">
        <f>SUM(F157:F158)</f>
        <v>4811.8399999999992</v>
      </c>
      <c r="G159" s="581"/>
      <c r="H159" s="581"/>
      <c r="I159" s="97"/>
      <c r="J159" s="97"/>
      <c r="K159" s="111">
        <f>SUM(K157:K158)</f>
        <v>4545</v>
      </c>
      <c r="L159" s="111">
        <f>K159/F159</f>
        <v>0.94454512203232044</v>
      </c>
      <c r="M159" s="102"/>
      <c r="N159" s="71"/>
    </row>
    <row r="160" spans="1:14" ht="14.45" customHeight="1">
      <c r="A160" s="71"/>
      <c r="B160" s="71"/>
      <c r="C160" s="71"/>
      <c r="D160" s="126" t="s">
        <v>30</v>
      </c>
      <c r="E160" s="126"/>
      <c r="F160" s="127">
        <f>F139+F142+F146+F150+F153+F156+F159</f>
        <v>36996.487999999998</v>
      </c>
      <c r="G160" s="128"/>
      <c r="H160" s="128"/>
      <c r="I160" s="128"/>
      <c r="J160" s="128"/>
      <c r="K160" s="127">
        <f>K139+K142+K146+K150+K153+K159</f>
        <v>65631</v>
      </c>
      <c r="L160" s="129">
        <f>K160/F160</f>
        <v>1.7739791949981849</v>
      </c>
      <c r="M160" s="71"/>
      <c r="N160" s="71"/>
    </row>
    <row r="161" spans="1:14" ht="14.45" customHeight="1">
      <c r="A161" s="70" t="s">
        <v>42</v>
      </c>
      <c r="B161" s="70"/>
      <c r="C161" s="70"/>
      <c r="D161" s="70"/>
      <c r="E161" s="70"/>
      <c r="F161" s="71"/>
      <c r="G161" s="71"/>
      <c r="H161" s="71"/>
      <c r="I161" s="71"/>
      <c r="J161" s="71"/>
      <c r="K161" s="824" t="s">
        <v>1181</v>
      </c>
      <c r="L161" s="824"/>
      <c r="M161" s="824"/>
      <c r="N161" s="71"/>
    </row>
    <row r="162" spans="1:14" ht="14.45" customHeight="1">
      <c r="A162" s="172" t="s">
        <v>0</v>
      </c>
      <c r="B162" s="172" t="s">
        <v>7</v>
      </c>
      <c r="C162" s="172" t="s">
        <v>13</v>
      </c>
      <c r="D162" s="172" t="s">
        <v>14</v>
      </c>
      <c r="E162" s="172" t="s">
        <v>8</v>
      </c>
      <c r="F162" s="172" t="s">
        <v>1</v>
      </c>
      <c r="G162" s="172" t="s">
        <v>2</v>
      </c>
      <c r="H162" s="172" t="s">
        <v>15</v>
      </c>
      <c r="I162" s="172" t="s">
        <v>3</v>
      </c>
      <c r="J162" s="172" t="s">
        <v>4</v>
      </c>
      <c r="K162" s="172" t="s">
        <v>5</v>
      </c>
      <c r="L162" s="172" t="s">
        <v>12</v>
      </c>
      <c r="M162" s="172" t="s">
        <v>6</v>
      </c>
      <c r="N162" s="123"/>
    </row>
    <row r="163" spans="1:14" ht="14.45" customHeight="1">
      <c r="A163" s="581">
        <v>7782</v>
      </c>
      <c r="B163" s="583" t="s">
        <v>277</v>
      </c>
      <c r="C163" s="583" t="s">
        <v>217</v>
      </c>
      <c r="D163" s="583" t="s">
        <v>540</v>
      </c>
      <c r="E163" s="273" t="s">
        <v>93</v>
      </c>
      <c r="F163" s="99">
        <f>150*1.0936</f>
        <v>164.04</v>
      </c>
      <c r="G163" s="91" t="s">
        <v>209</v>
      </c>
      <c r="H163" s="79"/>
      <c r="I163" s="80">
        <f>0.47</f>
        <v>0.47</v>
      </c>
      <c r="J163" s="81">
        <v>350</v>
      </c>
      <c r="K163" s="81">
        <f t="shared" ref="K163:K166" si="35">I163*J163</f>
        <v>164.5</v>
      </c>
      <c r="L163" s="102"/>
      <c r="M163" s="581"/>
      <c r="N163" s="123"/>
    </row>
    <row r="164" spans="1:14" ht="14.45" customHeight="1">
      <c r="A164" s="581"/>
      <c r="B164" s="583"/>
      <c r="C164" s="583"/>
      <c r="D164" s="583"/>
      <c r="E164" s="273"/>
      <c r="F164" s="108"/>
      <c r="G164" s="91" t="s">
        <v>888</v>
      </c>
      <c r="H164" s="109"/>
      <c r="I164" s="80">
        <v>0.06</v>
      </c>
      <c r="J164" s="81">
        <v>690</v>
      </c>
      <c r="K164" s="81">
        <f t="shared" si="35"/>
        <v>41.4</v>
      </c>
      <c r="L164" s="102"/>
      <c r="M164" s="581"/>
      <c r="N164" s="123"/>
    </row>
    <row r="165" spans="1:14" ht="14.45" customHeight="1">
      <c r="A165" s="581"/>
      <c r="B165" s="583"/>
      <c r="C165" s="583"/>
      <c r="D165" s="583"/>
      <c r="E165" s="273"/>
      <c r="F165" s="108"/>
      <c r="G165" s="91" t="s">
        <v>221</v>
      </c>
      <c r="H165" s="112"/>
      <c r="I165" s="113">
        <v>0.15</v>
      </c>
      <c r="J165" s="81">
        <v>980</v>
      </c>
      <c r="K165" s="81">
        <f t="shared" si="35"/>
        <v>147</v>
      </c>
      <c r="L165" s="79"/>
      <c r="M165" s="581"/>
      <c r="N165" s="123"/>
    </row>
    <row r="166" spans="1:14" ht="14.45" customHeight="1">
      <c r="A166" s="581"/>
      <c r="B166" s="583"/>
      <c r="C166" s="583"/>
      <c r="D166" s="583"/>
      <c r="E166" s="273"/>
      <c r="F166" s="108"/>
      <c r="G166" s="91" t="s">
        <v>123</v>
      </c>
      <c r="H166" s="583"/>
      <c r="I166" s="96">
        <v>0.255</v>
      </c>
      <c r="J166" s="81">
        <v>750</v>
      </c>
      <c r="K166" s="94">
        <f t="shared" si="35"/>
        <v>191.25</v>
      </c>
      <c r="L166" s="79"/>
      <c r="M166" s="581"/>
      <c r="N166" s="123"/>
    </row>
    <row r="167" spans="1:14" ht="14.45" customHeight="1">
      <c r="A167" s="581"/>
      <c r="B167" s="583"/>
      <c r="C167" s="583"/>
      <c r="D167" s="583"/>
      <c r="E167" s="273"/>
      <c r="F167" s="108"/>
      <c r="G167" s="584" t="s">
        <v>211</v>
      </c>
      <c r="H167" s="79"/>
      <c r="I167" s="80">
        <v>9</v>
      </c>
      <c r="J167" s="81">
        <v>120</v>
      </c>
      <c r="K167" s="81">
        <f>I167*J167</f>
        <v>1080</v>
      </c>
      <c r="L167" s="102"/>
      <c r="M167" s="581"/>
      <c r="N167" s="123"/>
    </row>
    <row r="168" spans="1:14" ht="14.45" customHeight="1">
      <c r="A168" s="581"/>
      <c r="B168" s="583"/>
      <c r="C168" s="583"/>
      <c r="D168" s="583"/>
      <c r="E168" s="273"/>
      <c r="F168" s="108"/>
      <c r="G168" s="584" t="s">
        <v>45</v>
      </c>
      <c r="H168" s="79"/>
      <c r="I168" s="80">
        <v>1</v>
      </c>
      <c r="J168" s="81">
        <v>45</v>
      </c>
      <c r="K168" s="81">
        <f t="shared" ref="K168:K169" si="36">I168*J168</f>
        <v>45</v>
      </c>
      <c r="L168" s="102"/>
      <c r="M168" s="581"/>
      <c r="N168" s="123"/>
    </row>
    <row r="169" spans="1:14" ht="14.45" customHeight="1">
      <c r="A169" s="581"/>
      <c r="B169" s="583"/>
      <c r="C169" s="583"/>
      <c r="D169" s="583"/>
      <c r="E169" s="273"/>
      <c r="F169" s="108"/>
      <c r="G169" s="584" t="s">
        <v>213</v>
      </c>
      <c r="H169" s="79"/>
      <c r="I169" s="80">
        <v>1</v>
      </c>
      <c r="J169" s="81">
        <v>348</v>
      </c>
      <c r="K169" s="81">
        <f t="shared" si="36"/>
        <v>348</v>
      </c>
      <c r="L169" s="102"/>
      <c r="M169" s="581"/>
      <c r="N169" s="123"/>
    </row>
    <row r="170" spans="1:14" ht="14.45" customHeight="1">
      <c r="A170" s="581"/>
      <c r="B170" s="581"/>
      <c r="C170" s="581"/>
      <c r="D170" s="581"/>
      <c r="E170" s="581" t="s">
        <v>9</v>
      </c>
      <c r="F170" s="110">
        <f>SUM(F163:F169)</f>
        <v>164.04</v>
      </c>
      <c r="G170" s="581"/>
      <c r="H170" s="581"/>
      <c r="I170" s="97"/>
      <c r="J170" s="97"/>
      <c r="K170" s="111">
        <f>SUM(K163:K169)</f>
        <v>2017.15</v>
      </c>
      <c r="L170" s="111">
        <f>K170/F170</f>
        <v>12.296695927822483</v>
      </c>
      <c r="M170" s="581"/>
      <c r="N170" s="123"/>
    </row>
    <row r="171" spans="1:14" ht="14.45" customHeight="1">
      <c r="A171" s="85">
        <v>7783</v>
      </c>
      <c r="B171" s="583" t="s">
        <v>1182</v>
      </c>
      <c r="C171" s="583" t="s">
        <v>1183</v>
      </c>
      <c r="D171" s="583" t="s">
        <v>1184</v>
      </c>
      <c r="E171" s="85" t="s">
        <v>93</v>
      </c>
      <c r="F171" s="98">
        <f>90*1.0936</f>
        <v>98.423999999999992</v>
      </c>
      <c r="G171" s="91" t="s">
        <v>209</v>
      </c>
      <c r="H171" s="79"/>
      <c r="I171" s="80">
        <v>0.12</v>
      </c>
      <c r="J171" s="81">
        <v>350</v>
      </c>
      <c r="K171" s="81">
        <f t="shared" ref="K171:K174" si="37">I171*J171</f>
        <v>42</v>
      </c>
      <c r="L171" s="102"/>
      <c r="M171" s="102"/>
      <c r="N171" s="71"/>
    </row>
    <row r="172" spans="1:14" ht="14.45" customHeight="1">
      <c r="A172" s="85"/>
      <c r="B172" s="120"/>
      <c r="C172" s="85"/>
      <c r="D172" s="85"/>
      <c r="E172" s="85"/>
      <c r="F172" s="98"/>
      <c r="G172" s="91" t="s">
        <v>888</v>
      </c>
      <c r="H172" s="109"/>
      <c r="I172" s="80">
        <v>0.3</v>
      </c>
      <c r="J172" s="81">
        <v>690</v>
      </c>
      <c r="K172" s="81">
        <f t="shared" si="37"/>
        <v>207</v>
      </c>
      <c r="L172" s="102"/>
      <c r="M172" s="102"/>
      <c r="N172" s="71"/>
    </row>
    <row r="173" spans="1:14" ht="14.45" customHeight="1">
      <c r="A173" s="85"/>
      <c r="B173" s="85"/>
      <c r="C173" s="85"/>
      <c r="D173" s="85"/>
      <c r="E173" s="85"/>
      <c r="F173" s="98"/>
      <c r="G173" s="91" t="s">
        <v>221</v>
      </c>
      <c r="H173" s="112"/>
      <c r="I173" s="113">
        <v>0.5</v>
      </c>
      <c r="J173" s="81">
        <v>980</v>
      </c>
      <c r="K173" s="81">
        <f t="shared" si="37"/>
        <v>490</v>
      </c>
      <c r="L173" s="79"/>
      <c r="M173" s="102"/>
      <c r="N173" s="71"/>
    </row>
    <row r="174" spans="1:14" ht="14.45" customHeight="1">
      <c r="A174" s="582"/>
      <c r="B174" s="582"/>
      <c r="C174" s="582"/>
      <c r="D174" s="582"/>
      <c r="E174" s="582"/>
      <c r="F174" s="98"/>
      <c r="G174" s="91" t="s">
        <v>123</v>
      </c>
      <c r="H174" s="583"/>
      <c r="I174" s="113">
        <v>0.3</v>
      </c>
      <c r="J174" s="81">
        <v>750</v>
      </c>
      <c r="K174" s="94">
        <f t="shared" si="37"/>
        <v>225</v>
      </c>
      <c r="L174" s="79"/>
      <c r="M174" s="102"/>
      <c r="N174" s="71"/>
    </row>
    <row r="175" spans="1:14" ht="14.45" customHeight="1">
      <c r="A175" s="85"/>
      <c r="B175" s="85"/>
      <c r="C175" s="85"/>
      <c r="D175" s="85"/>
      <c r="E175" s="85"/>
      <c r="F175" s="98"/>
      <c r="G175" s="584" t="s">
        <v>211</v>
      </c>
      <c r="H175" s="79"/>
      <c r="I175" s="80">
        <v>14</v>
      </c>
      <c r="J175" s="81">
        <v>120</v>
      </c>
      <c r="K175" s="81">
        <f>I175*J175</f>
        <v>1680</v>
      </c>
      <c r="L175" s="102"/>
      <c r="M175" s="102"/>
      <c r="N175" s="71"/>
    </row>
    <row r="176" spans="1:14" ht="14.45" customHeight="1">
      <c r="A176" s="582"/>
      <c r="B176" s="582"/>
      <c r="C176" s="582"/>
      <c r="D176" s="582"/>
      <c r="E176" s="582"/>
      <c r="F176" s="98"/>
      <c r="G176" s="584" t="s">
        <v>45</v>
      </c>
      <c r="H176" s="79"/>
      <c r="I176" s="80">
        <v>2</v>
      </c>
      <c r="J176" s="81">
        <v>45</v>
      </c>
      <c r="K176" s="81">
        <f t="shared" ref="K176:K177" si="38">I176*J176</f>
        <v>90</v>
      </c>
      <c r="L176" s="102"/>
      <c r="M176" s="102"/>
      <c r="N176" s="71"/>
    </row>
    <row r="177" spans="1:14" ht="14.45" customHeight="1">
      <c r="A177" s="582"/>
      <c r="B177" s="582"/>
      <c r="C177" s="582"/>
      <c r="D177" s="582"/>
      <c r="E177" s="582"/>
      <c r="F177" s="98"/>
      <c r="G177" s="584" t="s">
        <v>213</v>
      </c>
      <c r="H177" s="79"/>
      <c r="I177" s="80">
        <v>3</v>
      </c>
      <c r="J177" s="81">
        <v>348</v>
      </c>
      <c r="K177" s="81">
        <f t="shared" si="38"/>
        <v>1044</v>
      </c>
      <c r="L177" s="102"/>
      <c r="M177" s="102"/>
      <c r="N177" s="71"/>
    </row>
    <row r="178" spans="1:14" ht="14.45" customHeight="1">
      <c r="A178" s="85"/>
      <c r="B178" s="85"/>
      <c r="C178" s="85"/>
      <c r="D178" s="85"/>
      <c r="E178" s="172" t="s">
        <v>9</v>
      </c>
      <c r="F178" s="110">
        <f>SUM(F171:F177)</f>
        <v>98.423999999999992</v>
      </c>
      <c r="G178" s="172"/>
      <c r="H178" s="172"/>
      <c r="I178" s="97"/>
      <c r="J178" s="97"/>
      <c r="K178" s="111">
        <f>SUM(K171:K177)</f>
        <v>3778</v>
      </c>
      <c r="L178" s="111">
        <f>K178/F178</f>
        <v>38.384946760952616</v>
      </c>
      <c r="M178" s="102"/>
      <c r="N178" s="71"/>
    </row>
    <row r="179" spans="1:14" ht="14.45" customHeight="1">
      <c r="A179" s="85">
        <v>7784</v>
      </c>
      <c r="B179" s="583" t="s">
        <v>1185</v>
      </c>
      <c r="C179" s="89" t="s">
        <v>1026</v>
      </c>
      <c r="D179" s="89" t="s">
        <v>1186</v>
      </c>
      <c r="E179" s="582" t="s">
        <v>93</v>
      </c>
      <c r="F179" s="98">
        <f>100*1.0936</f>
        <v>109.35999999999999</v>
      </c>
      <c r="G179" s="91" t="s">
        <v>209</v>
      </c>
      <c r="H179" s="79"/>
      <c r="I179" s="80">
        <v>0.05</v>
      </c>
      <c r="J179" s="81">
        <v>350</v>
      </c>
      <c r="K179" s="81">
        <f t="shared" ref="K179:K182" si="39">I179*J179</f>
        <v>17.5</v>
      </c>
      <c r="L179" s="154"/>
      <c r="M179" s="102"/>
      <c r="N179" s="71"/>
    </row>
    <row r="180" spans="1:14" ht="14.45" customHeight="1">
      <c r="A180" s="85"/>
      <c r="B180" s="120"/>
      <c r="C180" s="120"/>
      <c r="D180" s="120"/>
      <c r="E180" s="120"/>
      <c r="F180" s="120"/>
      <c r="G180" s="91" t="s">
        <v>123</v>
      </c>
      <c r="H180" s="120"/>
      <c r="I180" s="96">
        <v>0.24</v>
      </c>
      <c r="J180" s="81">
        <v>750</v>
      </c>
      <c r="K180" s="94">
        <f t="shared" si="39"/>
        <v>180</v>
      </c>
      <c r="L180" s="102"/>
      <c r="M180" s="102"/>
      <c r="N180" s="71"/>
    </row>
    <row r="181" spans="1:14" ht="14.45" customHeight="1">
      <c r="A181" s="85"/>
      <c r="B181" s="85"/>
      <c r="C181" s="85"/>
      <c r="D181" s="85"/>
      <c r="E181" s="85"/>
      <c r="F181" s="98"/>
      <c r="G181" s="91" t="s">
        <v>210</v>
      </c>
      <c r="H181" s="109"/>
      <c r="I181" s="80">
        <v>0.36</v>
      </c>
      <c r="J181" s="81">
        <v>690</v>
      </c>
      <c r="K181" s="81">
        <f t="shared" si="39"/>
        <v>248.39999999999998</v>
      </c>
      <c r="L181" s="102"/>
      <c r="M181" s="102"/>
      <c r="N181" s="71"/>
    </row>
    <row r="182" spans="1:14" ht="14.45" customHeight="1">
      <c r="A182" s="582"/>
      <c r="B182" s="582"/>
      <c r="C182" s="582"/>
      <c r="D182" s="582"/>
      <c r="E182" s="582"/>
      <c r="F182" s="98"/>
      <c r="G182" s="91" t="s">
        <v>221</v>
      </c>
      <c r="H182" s="112"/>
      <c r="I182" s="113">
        <v>0.06</v>
      </c>
      <c r="J182" s="81">
        <v>980</v>
      </c>
      <c r="K182" s="81">
        <f t="shared" si="39"/>
        <v>58.8</v>
      </c>
      <c r="L182" s="102"/>
      <c r="M182" s="102"/>
      <c r="N182" s="71"/>
    </row>
    <row r="183" spans="1:14" ht="14.45" customHeight="1">
      <c r="A183" s="85"/>
      <c r="B183" s="85"/>
      <c r="C183" s="85"/>
      <c r="D183" s="85"/>
      <c r="E183" s="85"/>
      <c r="F183" s="98"/>
      <c r="G183" s="83" t="s">
        <v>211</v>
      </c>
      <c r="H183" s="79"/>
      <c r="I183" s="80">
        <v>3</v>
      </c>
      <c r="J183" s="81">
        <v>120</v>
      </c>
      <c r="K183" s="81">
        <f>I183*J183</f>
        <v>360</v>
      </c>
      <c r="L183" s="102"/>
      <c r="M183" s="102"/>
      <c r="N183" s="71"/>
    </row>
    <row r="184" spans="1:14" ht="14.45" customHeight="1">
      <c r="A184" s="85"/>
      <c r="B184" s="85"/>
      <c r="C184" s="85"/>
      <c r="D184" s="85"/>
      <c r="E184" s="85"/>
      <c r="F184" s="98"/>
      <c r="G184" s="83" t="s">
        <v>212</v>
      </c>
      <c r="H184" s="79"/>
      <c r="I184" s="80">
        <v>0.2</v>
      </c>
      <c r="J184" s="81">
        <v>527</v>
      </c>
      <c r="K184" s="81">
        <f t="shared" ref="K184:K185" si="40">I184*J184</f>
        <v>105.4</v>
      </c>
      <c r="L184" s="102"/>
      <c r="M184" s="102"/>
      <c r="N184" s="71"/>
    </row>
    <row r="185" spans="1:14" ht="14.45" customHeight="1">
      <c r="A185" s="85"/>
      <c r="B185" s="85"/>
      <c r="C185" s="85"/>
      <c r="D185" s="85"/>
      <c r="E185" s="85"/>
      <c r="F185" s="98"/>
      <c r="G185" s="83" t="s">
        <v>45</v>
      </c>
      <c r="H185" s="79"/>
      <c r="I185" s="80">
        <v>0.3</v>
      </c>
      <c r="J185" s="81">
        <v>45</v>
      </c>
      <c r="K185" s="81">
        <f t="shared" si="40"/>
        <v>13.5</v>
      </c>
      <c r="L185" s="102"/>
      <c r="M185" s="102"/>
      <c r="N185" s="71"/>
    </row>
    <row r="186" spans="1:14" ht="14.45" customHeight="1">
      <c r="A186" s="582"/>
      <c r="B186" s="582"/>
      <c r="C186" s="582"/>
      <c r="D186" s="582"/>
      <c r="E186" s="581" t="s">
        <v>9</v>
      </c>
      <c r="F186" s="110">
        <f>SUM(F179:F185)</f>
        <v>109.35999999999999</v>
      </c>
      <c r="G186" s="581"/>
      <c r="H186" s="581"/>
      <c r="I186" s="97"/>
      <c r="J186" s="97"/>
      <c r="K186" s="111">
        <f>SUM(K179:K185)</f>
        <v>983.6</v>
      </c>
      <c r="L186" s="111">
        <f>K186/F186</f>
        <v>8.9941477688368696</v>
      </c>
      <c r="M186" s="143"/>
      <c r="N186" s="71"/>
    </row>
    <row r="187" spans="1:14" ht="14.45" customHeight="1">
      <c r="A187" s="582">
        <v>7785</v>
      </c>
      <c r="B187" s="583" t="s">
        <v>1187</v>
      </c>
      <c r="C187" s="89" t="s">
        <v>1026</v>
      </c>
      <c r="D187" s="89" t="s">
        <v>1186</v>
      </c>
      <c r="E187" s="582" t="s">
        <v>93</v>
      </c>
      <c r="F187" s="98">
        <f>910*1.0936</f>
        <v>995.17599999999993</v>
      </c>
      <c r="G187" s="91" t="s">
        <v>209</v>
      </c>
      <c r="H187" s="79"/>
      <c r="I187" s="80">
        <v>0.08</v>
      </c>
      <c r="J187" s="81">
        <v>350</v>
      </c>
      <c r="K187" s="81">
        <f t="shared" ref="K187:K188" si="41">I187*J187</f>
        <v>28</v>
      </c>
      <c r="L187" s="154"/>
      <c r="M187" s="143"/>
      <c r="N187" s="71"/>
    </row>
    <row r="188" spans="1:14" ht="14.45" customHeight="1">
      <c r="A188" s="582"/>
      <c r="B188" s="582"/>
      <c r="C188" s="582"/>
      <c r="D188" s="582"/>
      <c r="E188" s="582"/>
      <c r="F188" s="98"/>
      <c r="G188" s="91" t="s">
        <v>123</v>
      </c>
      <c r="H188" s="583"/>
      <c r="I188" s="96">
        <v>0.04</v>
      </c>
      <c r="J188" s="81">
        <v>750</v>
      </c>
      <c r="K188" s="94">
        <f t="shared" si="41"/>
        <v>30</v>
      </c>
      <c r="L188" s="102"/>
      <c r="M188" s="143"/>
      <c r="N188" s="71"/>
    </row>
    <row r="189" spans="1:14" ht="14.45" customHeight="1">
      <c r="A189" s="582"/>
      <c r="B189" s="582"/>
      <c r="C189" s="582"/>
      <c r="D189" s="582"/>
      <c r="E189" s="582"/>
      <c r="F189" s="98"/>
      <c r="G189" s="584" t="s">
        <v>211</v>
      </c>
      <c r="H189" s="79"/>
      <c r="I189" s="80">
        <v>3</v>
      </c>
      <c r="J189" s="81">
        <v>120</v>
      </c>
      <c r="K189" s="81">
        <f>I189*J189</f>
        <v>360</v>
      </c>
      <c r="L189" s="102"/>
      <c r="M189" s="143"/>
      <c r="N189" s="71"/>
    </row>
    <row r="190" spans="1:14" ht="14.45" customHeight="1">
      <c r="A190" s="582"/>
      <c r="B190" s="582"/>
      <c r="C190" s="582"/>
      <c r="D190" s="582"/>
      <c r="E190" s="582"/>
      <c r="F190" s="98"/>
      <c r="G190" s="584" t="s">
        <v>212</v>
      </c>
      <c r="H190" s="79"/>
      <c r="I190" s="80">
        <v>0.2</v>
      </c>
      <c r="J190" s="81">
        <v>527</v>
      </c>
      <c r="K190" s="81">
        <f t="shared" ref="K190:K191" si="42">I190*J190</f>
        <v>105.4</v>
      </c>
      <c r="L190" s="102"/>
      <c r="M190" s="143"/>
      <c r="N190" s="71"/>
    </row>
    <row r="191" spans="1:14" ht="14.45" customHeight="1">
      <c r="A191" s="582"/>
      <c r="B191" s="582"/>
      <c r="C191" s="582"/>
      <c r="D191" s="582"/>
      <c r="E191" s="582"/>
      <c r="F191" s="98"/>
      <c r="G191" s="584" t="s">
        <v>45</v>
      </c>
      <c r="H191" s="79"/>
      <c r="I191" s="80">
        <v>0.3</v>
      </c>
      <c r="J191" s="81">
        <v>45</v>
      </c>
      <c r="K191" s="81">
        <f t="shared" si="42"/>
        <v>13.5</v>
      </c>
      <c r="L191" s="102"/>
      <c r="M191" s="143"/>
      <c r="N191" s="71"/>
    </row>
    <row r="192" spans="1:14" ht="14.45" customHeight="1">
      <c r="A192" s="85"/>
      <c r="B192" s="85"/>
      <c r="C192" s="85"/>
      <c r="D192" s="85"/>
      <c r="E192" s="172" t="s">
        <v>9</v>
      </c>
      <c r="F192" s="110">
        <f>SUM(F187:F191)</f>
        <v>995.17599999999993</v>
      </c>
      <c r="G192" s="172"/>
      <c r="H192" s="172"/>
      <c r="I192" s="97"/>
      <c r="J192" s="97"/>
      <c r="K192" s="111">
        <f>SUM(K187:K191)</f>
        <v>536.9</v>
      </c>
      <c r="L192" s="111">
        <f>K192/F192</f>
        <v>0.53950256035113386</v>
      </c>
      <c r="M192" s="102"/>
      <c r="N192" s="71"/>
    </row>
    <row r="193" spans="1:14" ht="14.45" customHeight="1">
      <c r="A193" s="71"/>
      <c r="B193" s="71"/>
      <c r="C193" s="71"/>
      <c r="D193" s="126" t="s">
        <v>30</v>
      </c>
      <c r="E193" s="126"/>
      <c r="F193" s="127">
        <f>F170+F178+F186+F192</f>
        <v>1367</v>
      </c>
      <c r="G193" s="128"/>
      <c r="H193" s="128"/>
      <c r="I193" s="128"/>
      <c r="J193" s="128"/>
      <c r="K193" s="127">
        <f>K170+K178+K186+K192</f>
        <v>7315.65</v>
      </c>
      <c r="L193" s="129">
        <f>K193/F193</f>
        <v>5.3516093635698612</v>
      </c>
      <c r="M193" s="71"/>
      <c r="N193" s="71"/>
    </row>
    <row r="194" spans="1:14" s="71" customFormat="1" ht="14.45" customHeight="1"/>
    <row r="195" spans="1:14" ht="14.45" customHeight="1"/>
    <row r="196" spans="1:14" ht="14.45" customHeight="1">
      <c r="B196" s="28"/>
      <c r="C196" s="28"/>
      <c r="D196" s="133" t="s">
        <v>1009</v>
      </c>
      <c r="E196" s="405">
        <f>F101+F193</f>
        <v>35117.683199999999</v>
      </c>
      <c r="F196" s="133"/>
      <c r="G196" s="134">
        <f>K14+K23+K29+K35+K101+K133+K160+K193</f>
        <v>343190.28500000003</v>
      </c>
      <c r="H196" s="135"/>
      <c r="I196" s="135"/>
      <c r="J196" s="135"/>
      <c r="K196" s="135"/>
      <c r="L196" s="134">
        <f>G196/E196</f>
        <v>9.772577622660485</v>
      </c>
    </row>
    <row r="197" spans="1:14" ht="14.45" customHeight="1">
      <c r="B197" s="28"/>
      <c r="C197" s="28"/>
      <c r="D197" s="109" t="s">
        <v>855</v>
      </c>
      <c r="E197" s="406"/>
      <c r="F197" s="109"/>
      <c r="G197" s="359">
        <f>K38+K39+K40+K41+K42+K46+K47+K48+K52+K53+K54+K58+K59+K60+K64+K65+K66+K70+K71+K72+K76+K77+K78+K82+K83+K84+K88+K89+K90+K94+K95+K96+K163+K164+K165+K166+K171+K172+K173+K174+K179+K180+K181+K182+K187+K188+K18</f>
        <v>208541.08499999999</v>
      </c>
      <c r="H197" s="370"/>
      <c r="I197" s="359">
        <f>'18'!I227+'19'!G197</f>
        <v>1666604.06</v>
      </c>
      <c r="J197" s="438">
        <f>G197+M223</f>
        <v>209923.8</v>
      </c>
      <c r="K197" s="360"/>
      <c r="L197" s="396"/>
    </row>
    <row r="198" spans="1:14" ht="14.45" customHeight="1">
      <c r="B198" s="28"/>
      <c r="C198" s="28"/>
      <c r="D198" s="323" t="s">
        <v>854</v>
      </c>
      <c r="E198" s="361"/>
      <c r="F198" s="323"/>
      <c r="G198" s="397">
        <f>G196-G197</f>
        <v>134649.20000000004</v>
      </c>
      <c r="H198" s="398"/>
      <c r="I198" s="359">
        <f>'18'!I228+'19'!G198</f>
        <v>3468132.0810000002</v>
      </c>
      <c r="J198" s="400"/>
      <c r="K198" s="400"/>
      <c r="L198" s="401"/>
    </row>
    <row r="199" spans="1:14" ht="14.45" customHeight="1">
      <c r="B199" s="28"/>
      <c r="C199" s="28"/>
      <c r="D199" s="109" t="s">
        <v>853</v>
      </c>
      <c r="E199" s="407"/>
      <c r="F199" s="109"/>
      <c r="G199" s="410">
        <f>SUM(G197:G198)</f>
        <v>343190.28500000003</v>
      </c>
      <c r="H199" s="402"/>
      <c r="I199" s="403">
        <f>'01'!G288+'02'!G335+'03'!G428+'04'!G338</f>
        <v>0</v>
      </c>
      <c r="J199" s="402"/>
      <c r="K199" s="402"/>
      <c r="L199" s="404">
        <f>G199/E196</f>
        <v>9.772577622660485</v>
      </c>
    </row>
    <row r="200" spans="1:14" ht="14.45" customHeight="1">
      <c r="B200" s="28"/>
      <c r="C200" s="28"/>
      <c r="D200" s="395" t="s">
        <v>906</v>
      </c>
      <c r="E200" s="408"/>
      <c r="F200" s="109"/>
      <c r="G200" s="409">
        <f>M210</f>
        <v>0</v>
      </c>
      <c r="H200" s="392"/>
      <c r="I200" s="391"/>
      <c r="J200" s="391"/>
      <c r="K200" s="393"/>
    </row>
    <row r="201" spans="1:14" ht="14.45" customHeight="1">
      <c r="B201" s="28"/>
      <c r="C201" s="28"/>
      <c r="D201" s="29"/>
      <c r="E201" s="29"/>
      <c r="F201" s="29"/>
      <c r="G201" s="29"/>
      <c r="H201" s="30"/>
      <c r="I201" s="29"/>
      <c r="J201" s="29"/>
      <c r="K201" s="29"/>
      <c r="L201" s="29"/>
    </row>
    <row r="202" spans="1:14" ht="14.45" customHeight="1">
      <c r="B202" s="28"/>
      <c r="C202" s="28"/>
      <c r="D202" s="829" t="s">
        <v>852</v>
      </c>
      <c r="E202" s="829"/>
      <c r="F202" s="357">
        <f>G222</f>
        <v>118480</v>
      </c>
      <c r="G202" s="29"/>
      <c r="H202" s="500" t="s">
        <v>908</v>
      </c>
      <c r="I202" s="830" t="s">
        <v>199</v>
      </c>
      <c r="J202" s="831"/>
      <c r="K202" s="80"/>
      <c r="L202" s="81">
        <v>530</v>
      </c>
      <c r="M202" s="81">
        <f t="shared" ref="M202:M207" si="43">K202*L202</f>
        <v>0</v>
      </c>
    </row>
    <row r="203" spans="1:14" ht="14.45" customHeight="1">
      <c r="B203" s="28"/>
      <c r="C203" s="28"/>
      <c r="D203" s="829" t="s">
        <v>835</v>
      </c>
      <c r="E203" s="829"/>
      <c r="F203" s="357">
        <f>G208+G209</f>
        <v>0</v>
      </c>
      <c r="G203" s="29"/>
      <c r="H203" s="500" t="s">
        <v>909</v>
      </c>
      <c r="I203" s="830" t="s">
        <v>196</v>
      </c>
      <c r="J203" s="831"/>
      <c r="K203" s="80">
        <v>0.04</v>
      </c>
      <c r="L203" s="81">
        <v>888</v>
      </c>
      <c r="M203" s="81">
        <f t="shared" si="43"/>
        <v>35.520000000000003</v>
      </c>
    </row>
    <row r="204" spans="1:14" ht="14.45" customHeight="1">
      <c r="B204" s="28"/>
      <c r="C204" s="28"/>
      <c r="D204" s="829" t="s">
        <v>836</v>
      </c>
      <c r="E204" s="829"/>
      <c r="F204" s="357">
        <f>SUM(F202:F203)</f>
        <v>118480</v>
      </c>
      <c r="G204" s="29"/>
      <c r="H204" s="500" t="s">
        <v>910</v>
      </c>
      <c r="I204" s="830" t="s">
        <v>192</v>
      </c>
      <c r="J204" s="831"/>
      <c r="K204" s="80">
        <v>0.42</v>
      </c>
      <c r="L204" s="81">
        <v>1126</v>
      </c>
      <c r="M204" s="81">
        <f t="shared" si="43"/>
        <v>472.91999999999996</v>
      </c>
    </row>
    <row r="205" spans="1:14" ht="14.45" customHeight="1">
      <c r="B205" s="28"/>
      <c r="C205" s="28"/>
      <c r="D205" s="574" t="s">
        <v>847</v>
      </c>
      <c r="E205" s="574"/>
      <c r="F205" s="357">
        <f>F202-G198</f>
        <v>-16169.200000000041</v>
      </c>
      <c r="G205" s="29"/>
      <c r="H205" s="500" t="s">
        <v>908</v>
      </c>
      <c r="I205" s="832" t="s">
        <v>460</v>
      </c>
      <c r="J205" s="833"/>
      <c r="K205" s="80"/>
      <c r="L205" s="81">
        <v>920</v>
      </c>
      <c r="M205" s="81">
        <f t="shared" si="43"/>
        <v>0</v>
      </c>
    </row>
    <row r="206" spans="1:14" ht="14.45" customHeight="1">
      <c r="B206" s="28"/>
      <c r="C206" s="28"/>
      <c r="D206" s="29"/>
      <c r="E206" s="29"/>
      <c r="F206" s="29"/>
      <c r="G206" s="29"/>
      <c r="H206" s="500" t="s">
        <v>912</v>
      </c>
      <c r="I206" s="834" t="s">
        <v>315</v>
      </c>
      <c r="J206" s="835"/>
      <c r="K206" s="80">
        <v>0.16</v>
      </c>
      <c r="L206" s="81">
        <v>2184</v>
      </c>
      <c r="M206" s="81">
        <f t="shared" si="43"/>
        <v>349.44</v>
      </c>
    </row>
    <row r="207" spans="1:14" ht="14.45" customHeight="1">
      <c r="B207" s="836" t="s">
        <v>833</v>
      </c>
      <c r="C207" s="837"/>
      <c r="D207" s="273" t="s">
        <v>844</v>
      </c>
      <c r="E207" s="273" t="s">
        <v>845</v>
      </c>
      <c r="F207" s="273" t="s">
        <v>846</v>
      </c>
      <c r="G207" s="273" t="s">
        <v>5</v>
      </c>
      <c r="H207" s="500" t="s">
        <v>911</v>
      </c>
      <c r="I207" s="830" t="s">
        <v>286</v>
      </c>
      <c r="J207" s="831"/>
      <c r="K207" s="80">
        <v>0.18</v>
      </c>
      <c r="L207" s="81">
        <v>2065</v>
      </c>
      <c r="M207" s="81">
        <f t="shared" si="43"/>
        <v>371.7</v>
      </c>
    </row>
    <row r="208" spans="1:14" ht="14.45" customHeight="1">
      <c r="B208" s="28"/>
      <c r="C208" s="28"/>
      <c r="D208" s="273" t="s">
        <v>837</v>
      </c>
      <c r="E208" s="109">
        <v>15.5</v>
      </c>
      <c r="F208" s="332"/>
      <c r="G208" s="329">
        <f>F208*E208</f>
        <v>0</v>
      </c>
      <c r="H208" s="500" t="s">
        <v>909</v>
      </c>
      <c r="I208" s="834" t="s">
        <v>190</v>
      </c>
      <c r="J208" s="835"/>
      <c r="K208" s="102">
        <v>0.18</v>
      </c>
      <c r="L208" s="188">
        <v>644</v>
      </c>
      <c r="M208" s="388"/>
    </row>
    <row r="209" spans="1:13" ht="14.45" customHeight="1">
      <c r="B209" s="28"/>
      <c r="C209" s="28"/>
      <c r="D209" s="273" t="s">
        <v>1062</v>
      </c>
      <c r="E209" s="109">
        <v>34</v>
      </c>
      <c r="F209" s="332"/>
      <c r="G209" s="329">
        <f t="shared" ref="G209:G220" si="44">F209*E209</f>
        <v>0</v>
      </c>
      <c r="H209" s="500" t="s">
        <v>911</v>
      </c>
      <c r="I209" s="830" t="s">
        <v>193</v>
      </c>
      <c r="J209" s="831"/>
      <c r="K209" s="147"/>
      <c r="L209" s="188">
        <v>1150</v>
      </c>
      <c r="M209" s="102"/>
    </row>
    <row r="210" spans="1:13" ht="14.45" customHeight="1">
      <c r="A210" s="68"/>
      <c r="B210" s="29"/>
      <c r="C210" s="29"/>
      <c r="D210" s="322" t="s">
        <v>843</v>
      </c>
      <c r="E210" s="317"/>
      <c r="F210" s="321">
        <f>SUM(F208:F209)</f>
        <v>0</v>
      </c>
      <c r="G210" s="320">
        <f>SUM(G208:G209)</f>
        <v>0</v>
      </c>
      <c r="H210" s="29"/>
      <c r="I210" s="830" t="s">
        <v>281</v>
      </c>
      <c r="J210" s="831"/>
      <c r="K210" s="80"/>
      <c r="L210" s="81">
        <v>1035</v>
      </c>
      <c r="M210" s="81">
        <f t="shared" ref="M210:M213" si="45">K210*L210</f>
        <v>0</v>
      </c>
    </row>
    <row r="211" spans="1:13" ht="14.45" customHeight="1">
      <c r="B211" s="28"/>
      <c r="C211" s="28"/>
      <c r="D211" s="273" t="s">
        <v>1070</v>
      </c>
      <c r="E211" s="109">
        <v>227</v>
      </c>
      <c r="F211" s="332"/>
      <c r="G211" s="329">
        <f t="shared" si="44"/>
        <v>0</v>
      </c>
      <c r="H211" s="29"/>
      <c r="I211" s="830" t="s">
        <v>282</v>
      </c>
      <c r="J211" s="831"/>
      <c r="K211" s="80"/>
      <c r="L211" s="81">
        <v>840</v>
      </c>
      <c r="M211" s="81">
        <f t="shared" si="45"/>
        <v>0</v>
      </c>
    </row>
    <row r="212" spans="1:13" ht="14.45" customHeight="1">
      <c r="B212" s="28"/>
      <c r="C212" s="28"/>
      <c r="D212" s="273" t="s">
        <v>1065</v>
      </c>
      <c r="E212" s="389">
        <v>165</v>
      </c>
      <c r="F212" s="332"/>
      <c r="G212" s="329">
        <f t="shared" si="44"/>
        <v>0</v>
      </c>
      <c r="H212" s="29"/>
      <c r="I212" s="830" t="s">
        <v>194</v>
      </c>
      <c r="J212" s="831"/>
      <c r="K212" s="80">
        <v>6.5000000000000002E-2</v>
      </c>
      <c r="L212" s="81">
        <v>879</v>
      </c>
      <c r="M212" s="81">
        <f t="shared" si="45"/>
        <v>57.135000000000005</v>
      </c>
    </row>
    <row r="213" spans="1:13" ht="14.45" customHeight="1">
      <c r="B213" s="28"/>
      <c r="C213" s="28"/>
      <c r="D213" s="390" t="s">
        <v>1066</v>
      </c>
      <c r="E213" s="389">
        <v>165</v>
      </c>
      <c r="F213" s="332"/>
      <c r="G213" s="329">
        <f t="shared" si="44"/>
        <v>0</v>
      </c>
      <c r="H213" s="28"/>
      <c r="I213" s="832" t="s">
        <v>183</v>
      </c>
      <c r="J213" s="833"/>
      <c r="K213" s="80">
        <f>0.06</f>
        <v>0.06</v>
      </c>
      <c r="L213" s="81">
        <v>1600</v>
      </c>
      <c r="M213" s="81">
        <f t="shared" si="45"/>
        <v>96</v>
      </c>
    </row>
    <row r="214" spans="1:13" ht="14.45" customHeight="1">
      <c r="B214" s="28"/>
      <c r="C214" s="28"/>
      <c r="D214" s="273" t="s">
        <v>1067</v>
      </c>
      <c r="E214" s="389">
        <v>416</v>
      </c>
      <c r="F214" s="535"/>
      <c r="G214" s="329">
        <f t="shared" si="44"/>
        <v>0</v>
      </c>
      <c r="I214" s="873" t="s">
        <v>405</v>
      </c>
      <c r="J214" s="874"/>
      <c r="K214" s="102">
        <v>0.05</v>
      </c>
      <c r="L214" s="81">
        <v>1708</v>
      </c>
      <c r="M214" s="102"/>
    </row>
    <row r="215" spans="1:13" ht="14.45" customHeight="1">
      <c r="B215" s="28"/>
      <c r="C215" s="28"/>
      <c r="D215" s="273" t="s">
        <v>907</v>
      </c>
      <c r="E215" s="389">
        <v>46</v>
      </c>
      <c r="F215" s="332">
        <v>130</v>
      </c>
      <c r="G215" s="329">
        <f t="shared" si="44"/>
        <v>5980</v>
      </c>
      <c r="I215" s="877" t="s">
        <v>926</v>
      </c>
      <c r="J215" s="877"/>
      <c r="K215" s="102">
        <f>0.04+0.05</f>
        <v>0.09</v>
      </c>
      <c r="L215" s="81">
        <v>2152</v>
      </c>
      <c r="M215" s="102"/>
    </row>
    <row r="216" spans="1:13" ht="14.45" customHeight="1">
      <c r="B216" s="28"/>
      <c r="C216" s="28"/>
      <c r="D216" s="273" t="s">
        <v>27</v>
      </c>
      <c r="E216" s="109">
        <v>22</v>
      </c>
      <c r="F216" s="332">
        <v>1000</v>
      </c>
      <c r="G216" s="329">
        <f t="shared" si="44"/>
        <v>22000</v>
      </c>
      <c r="I216" s="878" t="s">
        <v>195</v>
      </c>
      <c r="J216" s="878"/>
      <c r="K216" s="102">
        <f>0.03+0.06</f>
        <v>0.09</v>
      </c>
      <c r="L216" s="81">
        <v>645</v>
      </c>
      <c r="M216" s="102"/>
    </row>
    <row r="217" spans="1:13" ht="14.45" customHeight="1">
      <c r="B217" s="28"/>
      <c r="C217" s="28"/>
      <c r="D217" s="273" t="s">
        <v>1062</v>
      </c>
      <c r="E217" s="109">
        <v>34</v>
      </c>
      <c r="F217" s="332">
        <f>1500+200</f>
        <v>1700</v>
      </c>
      <c r="G217" s="329">
        <f t="shared" si="44"/>
        <v>57800</v>
      </c>
      <c r="I217" s="879"/>
      <c r="J217" s="879"/>
      <c r="K217" s="102"/>
      <c r="L217" s="102"/>
      <c r="M217" s="102"/>
    </row>
    <row r="218" spans="1:13" ht="14.45" customHeight="1">
      <c r="B218" s="28"/>
      <c r="C218" s="28"/>
      <c r="D218" s="273" t="s">
        <v>24</v>
      </c>
      <c r="E218" s="109">
        <v>74</v>
      </c>
      <c r="F218" s="332">
        <v>150</v>
      </c>
      <c r="G218" s="329">
        <f t="shared" si="44"/>
        <v>11100</v>
      </c>
      <c r="I218" s="838"/>
      <c r="J218" s="839"/>
      <c r="K218" s="102"/>
      <c r="L218" s="102"/>
      <c r="M218" s="102"/>
    </row>
    <row r="219" spans="1:13" ht="14.45" customHeight="1">
      <c r="B219" s="28"/>
      <c r="C219" s="28"/>
      <c r="D219" s="534" t="s">
        <v>185</v>
      </c>
      <c r="E219" s="109">
        <v>490</v>
      </c>
      <c r="F219" s="332"/>
      <c r="G219" s="329">
        <f t="shared" si="44"/>
        <v>0</v>
      </c>
      <c r="I219" s="875"/>
      <c r="J219" s="875"/>
      <c r="K219" s="2"/>
      <c r="L219" s="2"/>
      <c r="M219" s="2"/>
    </row>
    <row r="220" spans="1:13" ht="14.45" customHeight="1">
      <c r="B220" s="28"/>
      <c r="C220" s="28"/>
      <c r="D220" s="273" t="s">
        <v>184</v>
      </c>
      <c r="E220" s="109">
        <v>336</v>
      </c>
      <c r="F220" s="332"/>
      <c r="G220" s="329">
        <f t="shared" si="44"/>
        <v>0</v>
      </c>
      <c r="I220" s="876"/>
      <c r="J220" s="876"/>
      <c r="K220" s="2"/>
      <c r="L220" s="2"/>
      <c r="M220" s="2"/>
    </row>
    <row r="221" spans="1:13" ht="14.45" customHeight="1">
      <c r="B221" s="28"/>
      <c r="C221" s="28"/>
      <c r="D221" s="603" t="s">
        <v>839</v>
      </c>
      <c r="E221" s="109">
        <v>120</v>
      </c>
      <c r="F221" s="332">
        <v>180</v>
      </c>
      <c r="G221" s="329">
        <f t="shared" ref="G221" si="46">F221*E221</f>
        <v>21600</v>
      </c>
      <c r="I221" s="875"/>
      <c r="J221" s="875"/>
      <c r="K221" s="2"/>
      <c r="L221" s="2"/>
      <c r="M221" s="2"/>
    </row>
    <row r="222" spans="1:13" ht="14.45" customHeight="1">
      <c r="B222" s="28"/>
      <c r="C222" s="28"/>
      <c r="D222" s="331" t="s">
        <v>843</v>
      </c>
      <c r="E222" s="109"/>
      <c r="F222" s="332">
        <f>SUM(F215:F221)</f>
        <v>3160</v>
      </c>
      <c r="G222" s="329">
        <f>SUM(G211:G221)</f>
        <v>118480</v>
      </c>
      <c r="I222" s="875"/>
      <c r="J222" s="875"/>
      <c r="K222" s="2"/>
      <c r="L222" s="2"/>
      <c r="M222" s="2"/>
    </row>
    <row r="223" spans="1:13" ht="14.45" customHeight="1">
      <c r="B223" s="28"/>
      <c r="C223" s="28"/>
      <c r="D223" s="322" t="s">
        <v>969</v>
      </c>
      <c r="E223" s="317"/>
      <c r="F223" s="321">
        <f>F210+F222</f>
        <v>3160</v>
      </c>
      <c r="G223" s="320">
        <f>G210+G222</f>
        <v>118480</v>
      </c>
      <c r="I223" s="844" t="s">
        <v>906</v>
      </c>
      <c r="J223" s="845"/>
      <c r="K223" s="490">
        <f>SUM(K203:K222)</f>
        <v>1.3350000000000002</v>
      </c>
      <c r="L223" s="491"/>
      <c r="M223" s="489">
        <f>SUM(M203:M222)</f>
        <v>1382.7149999999999</v>
      </c>
    </row>
    <row r="224" spans="1:13" ht="14.45" customHeight="1">
      <c r="I224" s="29"/>
      <c r="J224" s="29"/>
      <c r="K224" s="29"/>
      <c r="L224" s="29"/>
      <c r="M224" s="263">
        <f>G197+M223</f>
        <v>209923.8</v>
      </c>
    </row>
    <row r="225" spans="1:13" ht="14.45" customHeight="1"/>
    <row r="226" spans="1:13" ht="14.45" customHeight="1"/>
    <row r="227" spans="1:13" ht="14.45" customHeight="1"/>
    <row r="228" spans="1:13" ht="14.45" customHeight="1"/>
    <row r="229" spans="1:13" ht="14.45" customHeight="1"/>
    <row r="230" spans="1:13" ht="14.45" customHeight="1"/>
    <row r="231" spans="1:13" ht="14.45" customHeight="1"/>
    <row r="232" spans="1:13" ht="14.45" customHeight="1"/>
    <row r="233" spans="1:13" ht="14.45" customHeight="1"/>
    <row r="234" spans="1:13" ht="14.45" customHeight="1"/>
    <row r="235" spans="1:13" ht="14.45" customHeight="1"/>
    <row r="236" spans="1:13" ht="14.45" customHeight="1"/>
    <row r="237" spans="1:13" ht="14.45" customHeight="1"/>
    <row r="238" spans="1:13" ht="14.45" customHeight="1"/>
    <row r="239" spans="1:13" ht="14.45" customHeight="1"/>
    <row r="240" spans="1:13" s="64" customFormat="1" ht="14.45" customHeight="1">
      <c r="A240" s="840" t="s">
        <v>240</v>
      </c>
      <c r="B240" s="840"/>
      <c r="C240" s="840" t="s">
        <v>765</v>
      </c>
      <c r="D240" s="840"/>
      <c r="E240" s="840" t="s">
        <v>764</v>
      </c>
      <c r="F240" s="840"/>
      <c r="G240" s="380" t="s">
        <v>66</v>
      </c>
      <c r="H240" s="840" t="s">
        <v>411</v>
      </c>
      <c r="I240" s="840"/>
      <c r="J240" s="840"/>
      <c r="K240" s="840" t="s">
        <v>68</v>
      </c>
      <c r="L240" s="840"/>
      <c r="M240" s="840"/>
    </row>
    <row r="241" ht="14.45" customHeight="1"/>
    <row r="242" ht="14.45" customHeight="1"/>
    <row r="243" ht="14.45" customHeight="1"/>
    <row r="244" ht="14.45" customHeight="1"/>
    <row r="245" ht="14.45" customHeight="1"/>
    <row r="246" ht="14.45" customHeight="1"/>
    <row r="247" ht="14.45" customHeight="1"/>
    <row r="248" ht="14.45" customHeight="1"/>
    <row r="249" ht="14.45" customHeight="1"/>
  </sheetData>
  <mergeCells count="42">
    <mergeCell ref="K240:M240"/>
    <mergeCell ref="I208:J208"/>
    <mergeCell ref="I209:J209"/>
    <mergeCell ref="I210:J210"/>
    <mergeCell ref="A240:B240"/>
    <mergeCell ref="C240:D240"/>
    <mergeCell ref="E240:F240"/>
    <mergeCell ref="H240:J240"/>
    <mergeCell ref="I223:J223"/>
    <mergeCell ref="I211:J211"/>
    <mergeCell ref="I212:J212"/>
    <mergeCell ref="I213:J213"/>
    <mergeCell ref="I214:J214"/>
    <mergeCell ref="I215:J215"/>
    <mergeCell ref="I216:J216"/>
    <mergeCell ref="I217:J217"/>
    <mergeCell ref="D204:E204"/>
    <mergeCell ref="I204:J204"/>
    <mergeCell ref="I205:J205"/>
    <mergeCell ref="I206:J206"/>
    <mergeCell ref="B207:C207"/>
    <mergeCell ref="I207:J207"/>
    <mergeCell ref="K24:M24"/>
    <mergeCell ref="K30:M30"/>
    <mergeCell ref="K36:M36"/>
    <mergeCell ref="K102:M102"/>
    <mergeCell ref="K134:M134"/>
    <mergeCell ref="K4:M4"/>
    <mergeCell ref="K15:M15"/>
    <mergeCell ref="A1:M1"/>
    <mergeCell ref="A2:M2"/>
    <mergeCell ref="A3:M3"/>
    <mergeCell ref="K161:M161"/>
    <mergeCell ref="D202:E202"/>
    <mergeCell ref="D203:E203"/>
    <mergeCell ref="I202:J202"/>
    <mergeCell ref="I203:J203"/>
    <mergeCell ref="I218:J218"/>
    <mergeCell ref="I219:J219"/>
    <mergeCell ref="I220:J220"/>
    <mergeCell ref="I221:J221"/>
    <mergeCell ref="I222:J222"/>
  </mergeCells>
  <pageMargins left="0.45" right="0.45" top="0.5" bottom="0.5" header="0.3" footer="0.3"/>
  <pageSetup scale="8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64"/>
  <sheetViews>
    <sheetView topLeftCell="A46" workbookViewId="0">
      <selection activeCell="O227" sqref="O227"/>
    </sheetView>
  </sheetViews>
  <sheetFormatPr defaultRowHeight="15"/>
  <cols>
    <col min="1" max="1" width="8.7109375" customWidth="1"/>
    <col min="2" max="2" width="11.42578125" customWidth="1"/>
    <col min="3" max="3" width="13.28515625" customWidth="1"/>
    <col min="4" max="4" width="19.42578125" customWidth="1"/>
    <col min="5" max="5" width="13.85546875" bestFit="1" customWidth="1"/>
    <col min="6" max="6" width="10.5703125" bestFit="1" customWidth="1"/>
    <col min="7" max="7" width="23.7109375" customWidth="1"/>
    <col min="8" max="8" width="6.42578125" bestFit="1" customWidth="1"/>
    <col min="9" max="9" width="10.5703125" bestFit="1" customWidth="1"/>
    <col min="10" max="10" width="9.5703125" bestFit="1" customWidth="1"/>
    <col min="11" max="11" width="11.5703125" bestFit="1" customWidth="1"/>
    <col min="12" max="12" width="9.42578125" customWidth="1"/>
    <col min="13" max="13" width="11" customWidth="1"/>
    <col min="14" max="14" width="10.7109375" customWidth="1"/>
  </cols>
  <sheetData>
    <row r="1" spans="1:14" ht="23.25">
      <c r="A1" s="846" t="s">
        <v>146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383"/>
    </row>
    <row r="2" spans="1:14" s="28" customFormat="1" ht="14.1" customHeight="1">
      <c r="A2" s="880" t="s">
        <v>147</v>
      </c>
      <c r="B2" s="880"/>
      <c r="C2" s="880"/>
      <c r="D2" s="880"/>
      <c r="E2" s="880"/>
      <c r="F2" s="880"/>
      <c r="G2" s="880"/>
      <c r="H2" s="880"/>
      <c r="I2" s="880"/>
      <c r="J2" s="880"/>
      <c r="K2" s="880"/>
      <c r="L2" s="880"/>
      <c r="M2" s="880"/>
      <c r="N2" s="325"/>
    </row>
    <row r="3" spans="1:14" s="65" customFormat="1" ht="14.1" customHeight="1">
      <c r="A3" s="866" t="s">
        <v>148</v>
      </c>
      <c r="B3" s="866"/>
      <c r="C3" s="866"/>
      <c r="D3" s="866"/>
      <c r="E3" s="866"/>
      <c r="F3" s="866"/>
      <c r="G3" s="866"/>
      <c r="H3" s="866"/>
      <c r="I3" s="866"/>
      <c r="J3" s="866"/>
      <c r="K3" s="866"/>
      <c r="L3" s="866"/>
      <c r="M3" s="866"/>
      <c r="N3" s="326"/>
    </row>
    <row r="4" spans="1:14" s="28" customFormat="1" ht="14.1" customHeight="1">
      <c r="A4" s="106" t="s">
        <v>21</v>
      </c>
      <c r="B4" s="106"/>
      <c r="C4" s="106"/>
      <c r="D4" s="106"/>
      <c r="E4" s="106"/>
      <c r="F4" s="107"/>
      <c r="G4" s="107"/>
      <c r="H4" s="107"/>
      <c r="I4" s="107"/>
      <c r="J4" s="107"/>
      <c r="K4" s="867" t="s">
        <v>1166</v>
      </c>
      <c r="L4" s="867"/>
      <c r="M4" s="867"/>
      <c r="N4" s="107"/>
    </row>
    <row r="5" spans="1:14" s="28" customFormat="1" ht="14.1" customHeight="1">
      <c r="A5" s="258" t="s">
        <v>0</v>
      </c>
      <c r="B5" s="258" t="s">
        <v>7</v>
      </c>
      <c r="C5" s="258" t="s">
        <v>13</v>
      </c>
      <c r="D5" s="258" t="s">
        <v>14</v>
      </c>
      <c r="E5" s="258" t="s">
        <v>8</v>
      </c>
      <c r="F5" s="258" t="s">
        <v>1</v>
      </c>
      <c r="G5" s="258" t="s">
        <v>2</v>
      </c>
      <c r="H5" s="258" t="s">
        <v>15</v>
      </c>
      <c r="I5" s="258" t="s">
        <v>3</v>
      </c>
      <c r="J5" s="258" t="s">
        <v>4</v>
      </c>
      <c r="K5" s="258" t="s">
        <v>5</v>
      </c>
      <c r="L5" s="258" t="s">
        <v>12</v>
      </c>
      <c r="M5" s="258" t="s">
        <v>6</v>
      </c>
      <c r="N5" s="107"/>
    </row>
    <row r="6" spans="1:14" s="28" customFormat="1" ht="14.1" customHeight="1">
      <c r="A6" s="120">
        <v>1</v>
      </c>
      <c r="B6" s="577" t="s">
        <v>892</v>
      </c>
      <c r="C6" s="577" t="s">
        <v>766</v>
      </c>
      <c r="D6" s="577" t="s">
        <v>465</v>
      </c>
      <c r="E6" s="258"/>
      <c r="F6" s="87">
        <f>5000*1.0936</f>
        <v>5467.9999999999991</v>
      </c>
      <c r="G6" s="120" t="s">
        <v>170</v>
      </c>
      <c r="H6" s="79"/>
      <c r="I6" s="80">
        <v>7.5</v>
      </c>
      <c r="J6" s="81">
        <v>227</v>
      </c>
      <c r="K6" s="81">
        <f t="shared" ref="K6:K7" si="0">I6*J6</f>
        <v>1702.5</v>
      </c>
      <c r="L6" s="79"/>
      <c r="M6" s="156" t="e">
        <f>I6+I10+I14+#REF!+#REF!+#REF!</f>
        <v>#REF!</v>
      </c>
      <c r="N6" s="120" t="s">
        <v>173</v>
      </c>
    </row>
    <row r="7" spans="1:14" s="28" customFormat="1" ht="14.1" customHeight="1">
      <c r="A7" s="120"/>
      <c r="B7" s="120"/>
      <c r="C7" s="120"/>
      <c r="D7" s="120"/>
      <c r="E7" s="258"/>
      <c r="F7" s="108"/>
      <c r="G7" s="120" t="s">
        <v>171</v>
      </c>
      <c r="H7" s="79"/>
      <c r="I7" s="80">
        <v>4.5</v>
      </c>
      <c r="J7" s="81">
        <v>416</v>
      </c>
      <c r="K7" s="81">
        <f t="shared" si="0"/>
        <v>1872</v>
      </c>
      <c r="L7" s="79"/>
      <c r="M7" s="156" t="e">
        <f>I7+I11+I15+#REF!+#REF!+#REF!+I23+I29+#REF!+#REF!</f>
        <v>#REF!</v>
      </c>
      <c r="N7" s="120" t="s">
        <v>174</v>
      </c>
    </row>
    <row r="8" spans="1:14" s="28" customFormat="1" ht="14.1" customHeight="1">
      <c r="A8" s="120"/>
      <c r="B8" s="120"/>
      <c r="C8" s="120"/>
      <c r="D8" s="120"/>
      <c r="E8" s="258"/>
      <c r="F8" s="108"/>
      <c r="G8" s="120" t="s">
        <v>172</v>
      </c>
      <c r="H8" s="79"/>
      <c r="I8" s="80">
        <v>4.5</v>
      </c>
      <c r="J8" s="81">
        <v>165</v>
      </c>
      <c r="K8" s="81">
        <f>I8*J8</f>
        <v>742.5</v>
      </c>
      <c r="L8" s="79"/>
      <c r="M8" s="156" t="e">
        <f>I8+I12+I16+#REF!+#REF!+#REF!+I24+I30+#REF!+#REF!</f>
        <v>#REF!</v>
      </c>
      <c r="N8" s="120" t="s">
        <v>172</v>
      </c>
    </row>
    <row r="9" spans="1:14" s="28" customFormat="1" ht="14.1" customHeight="1">
      <c r="A9" s="120"/>
      <c r="B9" s="120"/>
      <c r="C9" s="120"/>
      <c r="D9" s="120"/>
      <c r="E9" s="258" t="s">
        <v>9</v>
      </c>
      <c r="F9" s="108">
        <f>SUM(F6:F8)</f>
        <v>5467.9999999999991</v>
      </c>
      <c r="G9" s="258"/>
      <c r="H9" s="258"/>
      <c r="I9" s="80"/>
      <c r="J9" s="81"/>
      <c r="K9" s="103">
        <f>SUM(K6:K8)</f>
        <v>4317</v>
      </c>
      <c r="L9" s="103">
        <f>K9/F9</f>
        <v>0.78950256035113398</v>
      </c>
      <c r="M9" s="156" t="e">
        <f>I21+I27+#REF!+#REF!+I36+I39+#REF!</f>
        <v>#REF!</v>
      </c>
      <c r="N9" s="120" t="s">
        <v>24</v>
      </c>
    </row>
    <row r="10" spans="1:14" s="28" customFormat="1" ht="14.1" customHeight="1">
      <c r="A10" s="120">
        <v>2</v>
      </c>
      <c r="B10" s="577" t="s">
        <v>1149</v>
      </c>
      <c r="C10" s="577" t="s">
        <v>217</v>
      </c>
      <c r="D10" s="577" t="s">
        <v>514</v>
      </c>
      <c r="E10" s="577"/>
      <c r="F10" s="90">
        <f>21391*1.0936</f>
        <v>23393.1976</v>
      </c>
      <c r="G10" s="120" t="s">
        <v>170</v>
      </c>
      <c r="H10" s="79"/>
      <c r="I10" s="80">
        <v>17.5</v>
      </c>
      <c r="J10" s="81">
        <v>227</v>
      </c>
      <c r="K10" s="81">
        <f t="shared" ref="K10:K11" si="1">I10*J10</f>
        <v>3972.5</v>
      </c>
      <c r="L10" s="79"/>
      <c r="M10" s="156" t="e">
        <f>I22+I28+#REF!+#REF!</f>
        <v>#REF!</v>
      </c>
      <c r="N10" s="120" t="s">
        <v>175</v>
      </c>
    </row>
    <row r="11" spans="1:14" s="28" customFormat="1" ht="14.1" customHeight="1">
      <c r="A11" s="120"/>
      <c r="B11" s="120"/>
      <c r="C11" s="120"/>
      <c r="D11" s="120"/>
      <c r="E11" s="120"/>
      <c r="F11" s="87"/>
      <c r="G11" s="120" t="s">
        <v>171</v>
      </c>
      <c r="H11" s="79"/>
      <c r="I11" s="80">
        <v>10.5</v>
      </c>
      <c r="J11" s="81">
        <v>416</v>
      </c>
      <c r="K11" s="81">
        <f t="shared" si="1"/>
        <v>4368</v>
      </c>
      <c r="L11" s="79"/>
      <c r="M11" s="156" t="e">
        <f>I25+I31+#REF!+#REF!</f>
        <v>#REF!</v>
      </c>
      <c r="N11" s="83" t="s">
        <v>176</v>
      </c>
    </row>
    <row r="12" spans="1:14" s="28" customFormat="1" ht="14.1" customHeight="1">
      <c r="A12" s="120"/>
      <c r="B12" s="120"/>
      <c r="C12" s="120"/>
      <c r="D12" s="120"/>
      <c r="E12" s="120"/>
      <c r="F12" s="87"/>
      <c r="G12" s="120" t="s">
        <v>172</v>
      </c>
      <c r="H12" s="79"/>
      <c r="I12" s="80">
        <v>10.5</v>
      </c>
      <c r="J12" s="81">
        <v>165</v>
      </c>
      <c r="K12" s="81">
        <f>I12*J12</f>
        <v>1732.5</v>
      </c>
      <c r="L12" s="79"/>
      <c r="M12" s="156" t="e">
        <f>I37+I40+#REF!</f>
        <v>#REF!</v>
      </c>
      <c r="N12" s="84" t="s">
        <v>10</v>
      </c>
    </row>
    <row r="13" spans="1:14" s="28" customFormat="1" ht="14.1" customHeight="1">
      <c r="A13" s="120"/>
      <c r="B13" s="120"/>
      <c r="C13" s="120"/>
      <c r="D13" s="120"/>
      <c r="E13" s="258" t="s">
        <v>9</v>
      </c>
      <c r="F13" s="108">
        <f>SUM(F10:F12)</f>
        <v>23393.1976</v>
      </c>
      <c r="G13" s="258"/>
      <c r="H13" s="258"/>
      <c r="I13" s="80"/>
      <c r="J13" s="81"/>
      <c r="K13" s="103">
        <f>SUM(K10:K12)</f>
        <v>10073</v>
      </c>
      <c r="L13" s="103">
        <f>K13/F13</f>
        <v>0.43059525988016278</v>
      </c>
      <c r="M13" s="79"/>
      <c r="N13" s="107"/>
    </row>
    <row r="14" spans="1:14" s="28" customFormat="1" ht="14.1" customHeight="1">
      <c r="A14" s="120">
        <v>3</v>
      </c>
      <c r="B14" s="577" t="s">
        <v>1149</v>
      </c>
      <c r="C14" s="577" t="s">
        <v>217</v>
      </c>
      <c r="D14" s="577" t="s">
        <v>514</v>
      </c>
      <c r="E14" s="577"/>
      <c r="F14" s="90">
        <f>4043*1.0936</f>
        <v>4421.4247999999998</v>
      </c>
      <c r="G14" s="120" t="s">
        <v>170</v>
      </c>
      <c r="H14" s="79"/>
      <c r="I14" s="80">
        <v>5</v>
      </c>
      <c r="J14" s="81">
        <v>227</v>
      </c>
      <c r="K14" s="81">
        <f t="shared" ref="K14:K15" si="2">I14*J14</f>
        <v>1135</v>
      </c>
      <c r="L14" s="79"/>
      <c r="M14" s="79"/>
      <c r="N14" s="107"/>
    </row>
    <row r="15" spans="1:14" s="28" customFormat="1" ht="14.1" customHeight="1">
      <c r="A15" s="120"/>
      <c r="B15" s="577" t="s">
        <v>269</v>
      </c>
      <c r="C15" s="577"/>
      <c r="D15" s="577"/>
      <c r="E15" s="577"/>
      <c r="F15" s="90">
        <f>49*1.0936</f>
        <v>53.586399999999998</v>
      </c>
      <c r="G15" s="120" t="s">
        <v>171</v>
      </c>
      <c r="H15" s="79"/>
      <c r="I15" s="80">
        <v>3</v>
      </c>
      <c r="J15" s="81">
        <v>416</v>
      </c>
      <c r="K15" s="81">
        <f t="shared" si="2"/>
        <v>1248</v>
      </c>
      <c r="L15" s="79"/>
      <c r="M15" s="79"/>
      <c r="N15" s="107"/>
    </row>
    <row r="16" spans="1:14" s="28" customFormat="1" ht="14.1" customHeight="1">
      <c r="A16" s="120"/>
      <c r="B16" s="120"/>
      <c r="C16" s="120"/>
      <c r="D16" s="120"/>
      <c r="E16" s="120"/>
      <c r="F16" s="87"/>
      <c r="G16" s="120" t="s">
        <v>172</v>
      </c>
      <c r="H16" s="79"/>
      <c r="I16" s="80">
        <v>3</v>
      </c>
      <c r="J16" s="81">
        <v>165</v>
      </c>
      <c r="K16" s="81">
        <f>I16*J16</f>
        <v>495</v>
      </c>
      <c r="L16" s="79"/>
      <c r="M16" s="79"/>
      <c r="N16" s="107"/>
    </row>
    <row r="17" spans="1:14" s="28" customFormat="1" ht="14.1" customHeight="1">
      <c r="A17" s="120"/>
      <c r="B17" s="120"/>
      <c r="C17" s="120"/>
      <c r="D17" s="120"/>
      <c r="E17" s="258" t="s">
        <v>9</v>
      </c>
      <c r="F17" s="108">
        <f>SUM(F14:F16)</f>
        <v>4475.0111999999999</v>
      </c>
      <c r="G17" s="258"/>
      <c r="H17" s="258"/>
      <c r="I17" s="80"/>
      <c r="J17" s="81"/>
      <c r="K17" s="103">
        <f>SUM(K14:K16)</f>
        <v>2878</v>
      </c>
      <c r="L17" s="103">
        <f>K17/F17</f>
        <v>0.64312688200646295</v>
      </c>
      <c r="M17" s="79"/>
      <c r="N17" s="107"/>
    </row>
    <row r="18" spans="1:14" s="28" customFormat="1" ht="14.1" customHeight="1">
      <c r="A18" s="107"/>
      <c r="B18" s="107"/>
      <c r="C18" s="107"/>
      <c r="D18" s="133" t="s">
        <v>30</v>
      </c>
      <c r="E18" s="133"/>
      <c r="F18" s="134">
        <f>F9+F13+F17</f>
        <v>33336.2088</v>
      </c>
      <c r="G18" s="135"/>
      <c r="H18" s="135"/>
      <c r="I18" s="135"/>
      <c r="J18" s="135"/>
      <c r="K18" s="134">
        <f>K9+K13+K17</f>
        <v>17268</v>
      </c>
      <c r="L18" s="151">
        <f>K18/F18</f>
        <v>0.51799531565209056</v>
      </c>
      <c r="M18" s="107"/>
      <c r="N18" s="107"/>
    </row>
    <row r="19" spans="1:14" s="28" customFormat="1" ht="14.1" customHeight="1">
      <c r="A19" s="106" t="s">
        <v>23</v>
      </c>
      <c r="B19" s="106"/>
      <c r="C19" s="106"/>
      <c r="D19" s="106"/>
      <c r="E19" s="106"/>
      <c r="F19" s="107"/>
      <c r="G19" s="107"/>
      <c r="H19" s="107"/>
      <c r="I19" s="107"/>
      <c r="J19" s="107"/>
      <c r="K19" s="867" t="s">
        <v>1166</v>
      </c>
      <c r="L19" s="867"/>
      <c r="M19" s="867"/>
      <c r="N19" s="107"/>
    </row>
    <row r="20" spans="1:14" s="28" customFormat="1" ht="14.1" customHeight="1">
      <c r="A20" s="258" t="s">
        <v>0</v>
      </c>
      <c r="B20" s="258" t="s">
        <v>7</v>
      </c>
      <c r="C20" s="258" t="s">
        <v>13</v>
      </c>
      <c r="D20" s="258" t="s">
        <v>14</v>
      </c>
      <c r="E20" s="258" t="s">
        <v>8</v>
      </c>
      <c r="F20" s="258" t="s">
        <v>1</v>
      </c>
      <c r="G20" s="258" t="s">
        <v>2</v>
      </c>
      <c r="H20" s="258" t="s">
        <v>15</v>
      </c>
      <c r="I20" s="258" t="s">
        <v>3</v>
      </c>
      <c r="J20" s="258" t="s">
        <v>4</v>
      </c>
      <c r="K20" s="258" t="s">
        <v>5</v>
      </c>
      <c r="L20" s="258" t="s">
        <v>12</v>
      </c>
      <c r="M20" s="258" t="s">
        <v>6</v>
      </c>
      <c r="N20" s="107"/>
    </row>
    <row r="21" spans="1:14" s="28" customFormat="1" ht="14.1" customHeight="1">
      <c r="A21" s="120">
        <v>1</v>
      </c>
      <c r="B21" s="577" t="s">
        <v>1077</v>
      </c>
      <c r="C21" s="89" t="s">
        <v>1150</v>
      </c>
      <c r="D21" s="89" t="s">
        <v>1151</v>
      </c>
      <c r="E21" s="577"/>
      <c r="F21" s="90">
        <f>16000*1.0936</f>
        <v>17497.599999999999</v>
      </c>
      <c r="G21" s="120" t="s">
        <v>24</v>
      </c>
      <c r="H21" s="79"/>
      <c r="I21" s="80">
        <v>180</v>
      </c>
      <c r="J21" s="81">
        <v>74</v>
      </c>
      <c r="K21" s="81">
        <f t="shared" ref="K21:K23" si="3">I21*J21</f>
        <v>13320</v>
      </c>
      <c r="L21" s="79"/>
      <c r="M21" s="162"/>
      <c r="N21" s="107"/>
    </row>
    <row r="22" spans="1:14" s="28" customFormat="1" ht="14.1" customHeight="1">
      <c r="A22" s="120"/>
      <c r="B22" s="120"/>
      <c r="C22" s="120"/>
      <c r="D22" s="120"/>
      <c r="E22" s="120"/>
      <c r="F22" s="87"/>
      <c r="G22" s="88" t="s">
        <v>18</v>
      </c>
      <c r="H22" s="79"/>
      <c r="I22" s="80">
        <v>80</v>
      </c>
      <c r="J22" s="81">
        <v>46</v>
      </c>
      <c r="K22" s="81">
        <f t="shared" si="3"/>
        <v>3680</v>
      </c>
      <c r="L22" s="79"/>
      <c r="M22" s="79"/>
      <c r="N22" s="107"/>
    </row>
    <row r="23" spans="1:14" s="28" customFormat="1" ht="14.1" customHeight="1">
      <c r="A23" s="120"/>
      <c r="B23" s="120"/>
      <c r="C23" s="120"/>
      <c r="D23" s="120"/>
      <c r="E23" s="120"/>
      <c r="F23" s="87"/>
      <c r="G23" s="120" t="s">
        <v>171</v>
      </c>
      <c r="H23" s="79"/>
      <c r="I23" s="80">
        <v>45</v>
      </c>
      <c r="J23" s="81">
        <v>416</v>
      </c>
      <c r="K23" s="81">
        <f t="shared" si="3"/>
        <v>18720</v>
      </c>
      <c r="L23" s="79"/>
      <c r="M23" s="79"/>
      <c r="N23" s="107"/>
    </row>
    <row r="24" spans="1:14" s="28" customFormat="1" ht="14.1" customHeight="1">
      <c r="A24" s="120"/>
      <c r="B24" s="120"/>
      <c r="C24" s="120"/>
      <c r="D24" s="120"/>
      <c r="E24" s="120"/>
      <c r="F24" s="87"/>
      <c r="G24" s="120" t="s">
        <v>172</v>
      </c>
      <c r="H24" s="79"/>
      <c r="I24" s="80">
        <v>30</v>
      </c>
      <c r="J24" s="81">
        <v>165</v>
      </c>
      <c r="K24" s="81">
        <f>I24*J24</f>
        <v>4950</v>
      </c>
      <c r="L24" s="79"/>
      <c r="M24" s="79"/>
      <c r="N24" s="107"/>
    </row>
    <row r="25" spans="1:14" s="28" customFormat="1" ht="14.1" customHeight="1">
      <c r="A25" s="120"/>
      <c r="B25" s="120"/>
      <c r="C25" s="120"/>
      <c r="D25" s="120"/>
      <c r="E25" s="120"/>
      <c r="F25" s="87"/>
      <c r="G25" s="83" t="s">
        <v>181</v>
      </c>
      <c r="H25" s="79"/>
      <c r="I25" s="80">
        <v>40</v>
      </c>
      <c r="J25" s="81">
        <v>165</v>
      </c>
      <c r="K25" s="81">
        <f t="shared" ref="K25" si="4">I25*J25</f>
        <v>6600</v>
      </c>
      <c r="L25" s="79"/>
      <c r="M25" s="79"/>
      <c r="N25" s="107"/>
    </row>
    <row r="26" spans="1:14" s="28" customFormat="1" ht="14.1" customHeight="1">
      <c r="A26" s="120"/>
      <c r="B26" s="120"/>
      <c r="C26" s="120"/>
      <c r="D26" s="120"/>
      <c r="E26" s="258" t="s">
        <v>9</v>
      </c>
      <c r="F26" s="108">
        <f>SUM(F21:F25)</f>
        <v>17497.599999999999</v>
      </c>
      <c r="G26" s="258"/>
      <c r="H26" s="258"/>
      <c r="I26" s="80"/>
      <c r="J26" s="81"/>
      <c r="K26" s="103">
        <f>SUM(K21:K25)</f>
        <v>47270</v>
      </c>
      <c r="L26" s="103">
        <f>K26/F26</f>
        <v>2.7015133504023412</v>
      </c>
      <c r="M26" s="79"/>
      <c r="N26" s="107"/>
    </row>
    <row r="27" spans="1:14" s="28" customFormat="1" ht="14.1" customHeight="1">
      <c r="A27" s="120">
        <v>2</v>
      </c>
      <c r="B27" s="577" t="s">
        <v>1149</v>
      </c>
      <c r="C27" s="577" t="s">
        <v>217</v>
      </c>
      <c r="D27" s="577" t="s">
        <v>514</v>
      </c>
      <c r="E27" s="577"/>
      <c r="F27" s="90">
        <f>5057*1.0936</f>
        <v>5530.3351999999995</v>
      </c>
      <c r="G27" s="120" t="s">
        <v>24</v>
      </c>
      <c r="H27" s="79"/>
      <c r="I27" s="80">
        <v>50</v>
      </c>
      <c r="J27" s="81">
        <v>74</v>
      </c>
      <c r="K27" s="81">
        <f t="shared" ref="K27:K29" si="5">I27*J27</f>
        <v>3700</v>
      </c>
      <c r="L27" s="79"/>
      <c r="M27" s="79"/>
      <c r="N27" s="107"/>
    </row>
    <row r="28" spans="1:14" s="28" customFormat="1" ht="14.1" customHeight="1">
      <c r="A28" s="120"/>
      <c r="B28" s="577" t="s">
        <v>269</v>
      </c>
      <c r="C28" s="577"/>
      <c r="D28" s="577"/>
      <c r="E28" s="577"/>
      <c r="F28" s="90">
        <f>368*1.0936</f>
        <v>402.44479999999999</v>
      </c>
      <c r="G28" s="88" t="s">
        <v>18</v>
      </c>
      <c r="H28" s="79"/>
      <c r="I28" s="80">
        <v>25</v>
      </c>
      <c r="J28" s="81">
        <v>46</v>
      </c>
      <c r="K28" s="81">
        <f t="shared" si="5"/>
        <v>1150</v>
      </c>
      <c r="L28" s="79"/>
      <c r="M28" s="79"/>
      <c r="N28" s="107"/>
    </row>
    <row r="29" spans="1:14" s="28" customFormat="1" ht="14.1" customHeight="1">
      <c r="A29" s="120"/>
      <c r="B29" s="120"/>
      <c r="C29" s="120"/>
      <c r="D29" s="120"/>
      <c r="E29" s="120"/>
      <c r="F29" s="87"/>
      <c r="G29" s="120" t="s">
        <v>171</v>
      </c>
      <c r="H29" s="79"/>
      <c r="I29" s="80">
        <v>15</v>
      </c>
      <c r="J29" s="81">
        <v>416</v>
      </c>
      <c r="K29" s="81">
        <f t="shared" si="5"/>
        <v>6240</v>
      </c>
      <c r="L29" s="79"/>
      <c r="M29" s="79"/>
      <c r="N29" s="107"/>
    </row>
    <row r="30" spans="1:14" s="28" customFormat="1" ht="14.1" customHeight="1">
      <c r="A30" s="120"/>
      <c r="B30" s="120"/>
      <c r="C30" s="120"/>
      <c r="D30" s="120"/>
      <c r="E30" s="120"/>
      <c r="F30" s="87"/>
      <c r="G30" s="120" t="s">
        <v>172</v>
      </c>
      <c r="H30" s="79"/>
      <c r="I30" s="80">
        <v>10</v>
      </c>
      <c r="J30" s="81">
        <v>165</v>
      </c>
      <c r="K30" s="81">
        <f>I30*J30</f>
        <v>1650</v>
      </c>
      <c r="L30" s="79"/>
      <c r="M30" s="79"/>
      <c r="N30" s="107"/>
    </row>
    <row r="31" spans="1:14" s="28" customFormat="1" ht="14.1" customHeight="1">
      <c r="A31" s="120"/>
      <c r="B31" s="120"/>
      <c r="C31" s="120"/>
      <c r="D31" s="120"/>
      <c r="E31" s="120"/>
      <c r="F31" s="87"/>
      <c r="G31" s="83" t="s">
        <v>181</v>
      </c>
      <c r="H31" s="79"/>
      <c r="I31" s="80">
        <v>20</v>
      </c>
      <c r="J31" s="81">
        <v>165</v>
      </c>
      <c r="K31" s="81">
        <f t="shared" ref="K31" si="6">I31*J31</f>
        <v>3300</v>
      </c>
      <c r="L31" s="79"/>
      <c r="M31" s="79"/>
      <c r="N31" s="107"/>
    </row>
    <row r="32" spans="1:14" s="28" customFormat="1" ht="14.1" customHeight="1">
      <c r="A32" s="120"/>
      <c r="B32" s="120"/>
      <c r="C32" s="120"/>
      <c r="D32" s="120"/>
      <c r="E32" s="258" t="s">
        <v>9</v>
      </c>
      <c r="F32" s="108">
        <f>SUM(F27:F31)</f>
        <v>5932.78</v>
      </c>
      <c r="G32" s="258"/>
      <c r="H32" s="258"/>
      <c r="I32" s="80"/>
      <c r="J32" s="81"/>
      <c r="K32" s="103">
        <f>SUM(K27:K31)</f>
        <v>16040</v>
      </c>
      <c r="L32" s="103">
        <f>K32/F32</f>
        <v>2.7036229221376824</v>
      </c>
      <c r="M32" s="79"/>
      <c r="N32" s="107"/>
    </row>
    <row r="33" spans="1:14" s="28" customFormat="1" ht="14.1" customHeight="1">
      <c r="A33" s="137"/>
      <c r="B33" s="137"/>
      <c r="C33" s="137"/>
      <c r="D33" s="258" t="s">
        <v>30</v>
      </c>
      <c r="E33" s="258"/>
      <c r="F33" s="134">
        <f>F26+F32</f>
        <v>23430.379999999997</v>
      </c>
      <c r="G33" s="195"/>
      <c r="H33" s="195"/>
      <c r="I33" s="195"/>
      <c r="J33" s="195"/>
      <c r="K33" s="134">
        <f>K26+K32</f>
        <v>63310</v>
      </c>
      <c r="L33" s="151">
        <f>K33/F33</f>
        <v>2.7020475126737171</v>
      </c>
      <c r="M33" s="79"/>
      <c r="N33" s="107"/>
    </row>
    <row r="34" spans="1:14" s="28" customFormat="1" ht="14.1" customHeight="1">
      <c r="A34" s="106" t="s">
        <v>22</v>
      </c>
      <c r="B34" s="106"/>
      <c r="C34" s="106"/>
      <c r="D34" s="106"/>
      <c r="E34" s="106"/>
      <c r="F34" s="107"/>
      <c r="G34" s="107"/>
      <c r="H34" s="107"/>
      <c r="I34" s="107"/>
      <c r="J34" s="107"/>
      <c r="K34" s="867" t="s">
        <v>1166</v>
      </c>
      <c r="L34" s="867"/>
      <c r="M34" s="867"/>
      <c r="N34" s="107"/>
    </row>
    <row r="35" spans="1:14" s="28" customFormat="1" ht="14.1" customHeight="1">
      <c r="A35" s="258" t="s">
        <v>0</v>
      </c>
      <c r="B35" s="258" t="s">
        <v>7</v>
      </c>
      <c r="C35" s="258" t="s">
        <v>13</v>
      </c>
      <c r="D35" s="258" t="s">
        <v>14</v>
      </c>
      <c r="E35" s="258" t="s">
        <v>8</v>
      </c>
      <c r="F35" s="258" t="s">
        <v>1</v>
      </c>
      <c r="G35" s="258" t="s">
        <v>2</v>
      </c>
      <c r="H35" s="258" t="s">
        <v>15</v>
      </c>
      <c r="I35" s="258" t="s">
        <v>3</v>
      </c>
      <c r="J35" s="258" t="s">
        <v>4</v>
      </c>
      <c r="K35" s="258" t="s">
        <v>5</v>
      </c>
      <c r="L35" s="258" t="s">
        <v>12</v>
      </c>
      <c r="M35" s="258" t="s">
        <v>6</v>
      </c>
      <c r="N35" s="107"/>
    </row>
    <row r="36" spans="1:14" s="28" customFormat="1" ht="14.1" customHeight="1">
      <c r="A36" s="120">
        <v>1</v>
      </c>
      <c r="B36" s="577" t="s">
        <v>1131</v>
      </c>
      <c r="C36" s="577" t="s">
        <v>217</v>
      </c>
      <c r="D36" s="577" t="s">
        <v>514</v>
      </c>
      <c r="E36" s="577"/>
      <c r="F36" s="90">
        <f>6250*1.0936</f>
        <v>6834.9999999999991</v>
      </c>
      <c r="G36" s="120" t="s">
        <v>24</v>
      </c>
      <c r="H36" s="79"/>
      <c r="I36" s="80">
        <v>60</v>
      </c>
      <c r="J36" s="81">
        <v>74</v>
      </c>
      <c r="K36" s="81">
        <f t="shared" ref="K36:K37" si="7">I36*J36</f>
        <v>4440</v>
      </c>
      <c r="L36" s="79"/>
      <c r="M36" s="162"/>
      <c r="N36" s="107"/>
    </row>
    <row r="37" spans="1:14" s="64" customFormat="1" ht="14.1" customHeight="1">
      <c r="A37" s="120"/>
      <c r="B37" s="120"/>
      <c r="C37" s="120"/>
      <c r="D37" s="120"/>
      <c r="E37" s="85"/>
      <c r="F37" s="87"/>
      <c r="G37" s="84" t="s">
        <v>10</v>
      </c>
      <c r="H37" s="79"/>
      <c r="I37" s="80">
        <v>30</v>
      </c>
      <c r="J37" s="81">
        <v>120</v>
      </c>
      <c r="K37" s="81">
        <f t="shared" si="7"/>
        <v>3600</v>
      </c>
      <c r="L37" s="79"/>
      <c r="M37" s="79"/>
      <c r="N37" s="107"/>
    </row>
    <row r="38" spans="1:14" s="64" customFormat="1" ht="14.1" customHeight="1">
      <c r="A38" s="120"/>
      <c r="B38" s="120"/>
      <c r="C38" s="120"/>
      <c r="D38" s="120"/>
      <c r="E38" s="258" t="s">
        <v>9</v>
      </c>
      <c r="F38" s="108">
        <f>SUM(F36:F37)</f>
        <v>6834.9999999999991</v>
      </c>
      <c r="G38" s="258"/>
      <c r="H38" s="258"/>
      <c r="I38" s="80"/>
      <c r="J38" s="81"/>
      <c r="K38" s="103">
        <f>SUM(K36:K37)</f>
        <v>8040</v>
      </c>
      <c r="L38" s="103">
        <f>K38/F38</f>
        <v>1.1762984637893199</v>
      </c>
      <c r="M38" s="79"/>
      <c r="N38" s="107"/>
    </row>
    <row r="39" spans="1:14" s="64" customFormat="1" ht="14.1" customHeight="1">
      <c r="A39" s="120">
        <v>2</v>
      </c>
      <c r="B39" s="577" t="s">
        <v>892</v>
      </c>
      <c r="C39" s="577" t="s">
        <v>766</v>
      </c>
      <c r="D39" s="577" t="s">
        <v>465</v>
      </c>
      <c r="E39" s="273"/>
      <c r="F39" s="87">
        <f>2900*1.0936</f>
        <v>3171.4399999999996</v>
      </c>
      <c r="G39" s="120" t="s">
        <v>24</v>
      </c>
      <c r="H39" s="79"/>
      <c r="I39" s="80">
        <v>37</v>
      </c>
      <c r="J39" s="81">
        <v>74</v>
      </c>
      <c r="K39" s="81">
        <f t="shared" ref="K39:K40" si="8">I39*J39</f>
        <v>2738</v>
      </c>
      <c r="L39" s="79"/>
      <c r="M39" s="79"/>
      <c r="N39" s="107"/>
    </row>
    <row r="40" spans="1:14" s="64" customFormat="1" ht="14.1" customHeight="1">
      <c r="A40" s="120"/>
      <c r="B40" s="577" t="s">
        <v>269</v>
      </c>
      <c r="C40" s="577"/>
      <c r="D40" s="577"/>
      <c r="E40" s="577"/>
      <c r="F40" s="90">
        <f>368*1.0936</f>
        <v>402.44479999999999</v>
      </c>
      <c r="G40" s="84" t="s">
        <v>10</v>
      </c>
      <c r="H40" s="79"/>
      <c r="I40" s="80">
        <v>12</v>
      </c>
      <c r="J40" s="81">
        <v>120</v>
      </c>
      <c r="K40" s="81">
        <f t="shared" si="8"/>
        <v>1440</v>
      </c>
      <c r="L40" s="79"/>
      <c r="M40" s="79"/>
      <c r="N40" s="107"/>
    </row>
    <row r="41" spans="1:14" s="64" customFormat="1" ht="14.1" customHeight="1">
      <c r="A41" s="120"/>
      <c r="B41" s="120"/>
      <c r="C41" s="120"/>
      <c r="D41" s="120"/>
      <c r="E41" s="258" t="s">
        <v>9</v>
      </c>
      <c r="F41" s="108">
        <f>SUM(F39:F40)</f>
        <v>3573.8847999999998</v>
      </c>
      <c r="G41" s="258"/>
      <c r="H41" s="258"/>
      <c r="I41" s="80"/>
      <c r="J41" s="81"/>
      <c r="K41" s="103">
        <f>SUM(K39:K40)</f>
        <v>4178</v>
      </c>
      <c r="L41" s="103">
        <f>K41/F41</f>
        <v>1.1690360025034943</v>
      </c>
      <c r="M41" s="79"/>
      <c r="N41" s="107"/>
    </row>
    <row r="42" spans="1:14" s="64" customFormat="1" ht="14.1" customHeight="1">
      <c r="A42" s="107"/>
      <c r="B42" s="107"/>
      <c r="C42" s="107"/>
      <c r="D42" s="133" t="s">
        <v>30</v>
      </c>
      <c r="E42" s="133"/>
      <c r="F42" s="134">
        <f>F38+F41</f>
        <v>10408.8848</v>
      </c>
      <c r="G42" s="135"/>
      <c r="H42" s="135"/>
      <c r="I42" s="135"/>
      <c r="J42" s="135"/>
      <c r="K42" s="134">
        <f>K38+K41</f>
        <v>12218</v>
      </c>
      <c r="L42" s="151">
        <f>K42/F42</f>
        <v>1.1738049017508581</v>
      </c>
      <c r="M42" s="107"/>
      <c r="N42" s="107"/>
    </row>
    <row r="43" spans="1:14" s="64" customFormat="1" ht="14.1" customHeight="1">
      <c r="A43" s="106" t="s">
        <v>16</v>
      </c>
      <c r="B43" s="106"/>
      <c r="C43" s="106"/>
      <c r="D43" s="106"/>
      <c r="E43" s="106"/>
      <c r="F43" s="107"/>
      <c r="G43" s="107"/>
      <c r="H43" s="107"/>
      <c r="I43" s="107"/>
      <c r="J43" s="107"/>
      <c r="K43" s="867" t="s">
        <v>1166</v>
      </c>
      <c r="L43" s="867"/>
      <c r="M43" s="867"/>
      <c r="N43" s="107"/>
    </row>
    <row r="44" spans="1:14" s="64" customFormat="1" ht="14.1" customHeight="1">
      <c r="A44" s="258" t="s">
        <v>0</v>
      </c>
      <c r="B44" s="258" t="s">
        <v>7</v>
      </c>
      <c r="C44" s="258" t="s">
        <v>13</v>
      </c>
      <c r="D44" s="258" t="s">
        <v>14</v>
      </c>
      <c r="E44" s="258" t="s">
        <v>8</v>
      </c>
      <c r="F44" s="258" t="s">
        <v>1</v>
      </c>
      <c r="G44" s="258" t="s">
        <v>2</v>
      </c>
      <c r="H44" s="258" t="s">
        <v>15</v>
      </c>
      <c r="I44" s="258" t="s">
        <v>3</v>
      </c>
      <c r="J44" s="258" t="s">
        <v>4</v>
      </c>
      <c r="K44" s="258" t="s">
        <v>5</v>
      </c>
      <c r="L44" s="258" t="s">
        <v>12</v>
      </c>
      <c r="M44" s="258" t="s">
        <v>6</v>
      </c>
      <c r="N44" s="107"/>
    </row>
    <row r="45" spans="1:14" s="64" customFormat="1" ht="14.1" customHeight="1">
      <c r="A45" s="120">
        <v>7991</v>
      </c>
      <c r="B45" s="120" t="s">
        <v>187</v>
      </c>
      <c r="C45" s="120" t="s">
        <v>121</v>
      </c>
      <c r="D45" s="120" t="s">
        <v>188</v>
      </c>
      <c r="E45" s="120" t="s">
        <v>117</v>
      </c>
      <c r="F45" s="90"/>
      <c r="G45" s="120" t="s">
        <v>25</v>
      </c>
      <c r="H45" s="120"/>
      <c r="I45" s="96"/>
      <c r="J45" s="94">
        <v>172</v>
      </c>
      <c r="K45" s="94">
        <f t="shared" ref="K45" si="9">I45*J45</f>
        <v>0</v>
      </c>
      <c r="L45" s="79"/>
      <c r="M45" s="162"/>
      <c r="N45" s="107"/>
    </row>
    <row r="46" spans="1:14" s="64" customFormat="1" ht="14.1" customHeight="1">
      <c r="A46" s="120"/>
      <c r="B46" s="120"/>
      <c r="C46" s="120" t="s">
        <v>189</v>
      </c>
      <c r="D46" s="120"/>
      <c r="E46" s="120"/>
      <c r="F46" s="120"/>
      <c r="G46" s="120"/>
      <c r="H46" s="79"/>
      <c r="I46" s="80"/>
      <c r="J46" s="81"/>
      <c r="K46" s="81"/>
      <c r="L46" s="79"/>
      <c r="M46" s="79"/>
      <c r="N46" s="107"/>
    </row>
    <row r="47" spans="1:14" s="64" customFormat="1" ht="14.1" customHeight="1">
      <c r="A47" s="120"/>
      <c r="B47" s="120"/>
      <c r="C47" s="120"/>
      <c r="D47" s="120"/>
      <c r="E47" s="258" t="s">
        <v>9</v>
      </c>
      <c r="F47" s="108">
        <f>SUM(F45:F46)</f>
        <v>0</v>
      </c>
      <c r="G47" s="258"/>
      <c r="H47" s="258"/>
      <c r="I47" s="80"/>
      <c r="J47" s="81"/>
      <c r="K47" s="103">
        <f>SUM(K45:K46)</f>
        <v>0</v>
      </c>
      <c r="L47" s="103" t="e">
        <f>K47/F47</f>
        <v>#DIV/0!</v>
      </c>
      <c r="M47" s="79"/>
      <c r="N47" s="107"/>
    </row>
    <row r="48" spans="1:14" s="64" customFormat="1" ht="14.1" customHeight="1">
      <c r="A48" s="257"/>
      <c r="B48" s="257"/>
      <c r="C48" s="257"/>
      <c r="D48" s="133" t="s">
        <v>30</v>
      </c>
      <c r="E48" s="133"/>
      <c r="F48" s="134">
        <f>F47</f>
        <v>0</v>
      </c>
      <c r="G48" s="135"/>
      <c r="H48" s="135"/>
      <c r="I48" s="135"/>
      <c r="J48" s="135"/>
      <c r="K48" s="134">
        <f>K47</f>
        <v>0</v>
      </c>
      <c r="L48" s="151" t="e">
        <f>K48/F48</f>
        <v>#DIV/0!</v>
      </c>
      <c r="M48" s="137"/>
      <c r="N48" s="107"/>
    </row>
    <row r="49" spans="1:14" ht="14.1" customHeight="1">
      <c r="A49" s="106" t="s">
        <v>72</v>
      </c>
      <c r="B49" s="106"/>
      <c r="C49" s="106"/>
      <c r="D49" s="106"/>
      <c r="E49" s="106"/>
      <c r="F49" s="107"/>
      <c r="G49" s="107"/>
      <c r="H49" s="107"/>
      <c r="I49" s="149"/>
      <c r="J49" s="107"/>
      <c r="K49" s="867" t="s">
        <v>1166</v>
      </c>
      <c r="L49" s="867"/>
      <c r="M49" s="867"/>
      <c r="N49" s="107"/>
    </row>
    <row r="50" spans="1:14" ht="14.1" customHeight="1">
      <c r="A50" s="258" t="s">
        <v>0</v>
      </c>
      <c r="B50" s="258" t="s">
        <v>7</v>
      </c>
      <c r="C50" s="258" t="s">
        <v>13</v>
      </c>
      <c r="D50" s="258" t="s">
        <v>14</v>
      </c>
      <c r="E50" s="258" t="s">
        <v>8</v>
      </c>
      <c r="F50" s="258" t="s">
        <v>1</v>
      </c>
      <c r="G50" s="258" t="s">
        <v>2</v>
      </c>
      <c r="H50" s="258" t="s">
        <v>15</v>
      </c>
      <c r="I50" s="150" t="s">
        <v>3</v>
      </c>
      <c r="J50" s="258" t="s">
        <v>4</v>
      </c>
      <c r="K50" s="258" t="s">
        <v>5</v>
      </c>
      <c r="L50" s="258" t="s">
        <v>12</v>
      </c>
      <c r="M50" s="258" t="s">
        <v>6</v>
      </c>
      <c r="N50" s="246"/>
    </row>
    <row r="51" spans="1:14" ht="14.1" customHeight="1">
      <c r="A51" s="120">
        <v>10373</v>
      </c>
      <c r="B51" s="577" t="s">
        <v>1120</v>
      </c>
      <c r="C51" s="577" t="s">
        <v>121</v>
      </c>
      <c r="D51" s="577" t="s">
        <v>369</v>
      </c>
      <c r="E51" s="577" t="s">
        <v>1133</v>
      </c>
      <c r="F51" s="222">
        <f>1000*1.0936</f>
        <v>1093.5999999999999</v>
      </c>
      <c r="G51" s="91" t="s">
        <v>926</v>
      </c>
      <c r="H51" s="102"/>
      <c r="I51" s="125">
        <f>0.46+0.101+0.027+0.04+0.075+0.073</f>
        <v>0.77600000000000002</v>
      </c>
      <c r="J51" s="81">
        <v>2152</v>
      </c>
      <c r="K51" s="81">
        <f t="shared" ref="K51:K60" si="10">I51*J51</f>
        <v>1669.952</v>
      </c>
      <c r="L51" s="102"/>
      <c r="M51" s="258"/>
      <c r="N51" s="246"/>
    </row>
    <row r="52" spans="1:14" ht="14.1" customHeight="1">
      <c r="A52" s="120"/>
      <c r="B52" s="577"/>
      <c r="C52" s="594"/>
      <c r="D52" s="577"/>
      <c r="E52" s="579"/>
      <c r="F52" s="98"/>
      <c r="G52" s="93" t="s">
        <v>315</v>
      </c>
      <c r="H52" s="79"/>
      <c r="I52" s="80">
        <f>0.048+0.003+0.002+0.16+0.26</f>
        <v>0.47300000000000003</v>
      </c>
      <c r="J52" s="81">
        <v>2184</v>
      </c>
      <c r="K52" s="81">
        <f t="shared" si="10"/>
        <v>1033.0320000000002</v>
      </c>
      <c r="L52" s="102"/>
      <c r="M52" s="258"/>
      <c r="N52" s="246"/>
    </row>
    <row r="53" spans="1:14" ht="14.1" customHeight="1">
      <c r="A53" s="120"/>
      <c r="B53" s="120"/>
      <c r="C53" s="79"/>
      <c r="D53" s="120"/>
      <c r="E53" s="579"/>
      <c r="F53" s="98"/>
      <c r="G53" s="91" t="s">
        <v>260</v>
      </c>
      <c r="H53" s="79"/>
      <c r="I53" s="125">
        <f>3+0.712+0.13</f>
        <v>3.8419999999999996</v>
      </c>
      <c r="J53" s="81">
        <v>4545</v>
      </c>
      <c r="K53" s="81">
        <f t="shared" si="10"/>
        <v>17461.89</v>
      </c>
      <c r="L53" s="79"/>
      <c r="M53" s="258"/>
      <c r="N53" s="246"/>
    </row>
    <row r="54" spans="1:14" ht="14.1" customHeight="1">
      <c r="A54" s="594"/>
      <c r="B54" s="594"/>
      <c r="C54" s="79"/>
      <c r="D54" s="594"/>
      <c r="E54" s="599"/>
      <c r="F54" s="98"/>
      <c r="G54" s="588" t="s">
        <v>196</v>
      </c>
      <c r="H54" s="794"/>
      <c r="I54" s="125">
        <v>1.4E-2</v>
      </c>
      <c r="J54" s="81">
        <v>888</v>
      </c>
      <c r="K54" s="81">
        <f t="shared" si="10"/>
        <v>12.432</v>
      </c>
      <c r="L54" s="79"/>
      <c r="M54" s="603"/>
      <c r="N54" s="246"/>
    </row>
    <row r="55" spans="1:14" ht="14.1" customHeight="1">
      <c r="A55" s="594"/>
      <c r="B55" s="594"/>
      <c r="C55" s="79"/>
      <c r="D55" s="594"/>
      <c r="E55" s="599"/>
      <c r="F55" s="98"/>
      <c r="G55" s="598" t="s">
        <v>405</v>
      </c>
      <c r="H55" s="79"/>
      <c r="I55" s="80">
        <v>6.0000000000000001E-3</v>
      </c>
      <c r="J55" s="81">
        <v>1708</v>
      </c>
      <c r="K55" s="81">
        <f t="shared" si="10"/>
        <v>10.247999999999999</v>
      </c>
      <c r="L55" s="79"/>
      <c r="M55" s="603"/>
      <c r="N55" s="246"/>
    </row>
    <row r="56" spans="1:14" ht="14.1" customHeight="1">
      <c r="A56" s="594"/>
      <c r="B56" s="594"/>
      <c r="C56" s="79"/>
      <c r="D56" s="594"/>
      <c r="E56" s="599"/>
      <c r="F56" s="98"/>
      <c r="G56" s="602" t="s">
        <v>279</v>
      </c>
      <c r="H56" s="79"/>
      <c r="I56" s="80">
        <f>0.04+0.04</f>
        <v>0.08</v>
      </c>
      <c r="J56" s="81">
        <v>689</v>
      </c>
      <c r="K56" s="81">
        <f t="shared" si="10"/>
        <v>55.120000000000005</v>
      </c>
      <c r="L56" s="79"/>
      <c r="M56" s="603"/>
      <c r="N56" s="246"/>
    </row>
    <row r="57" spans="1:14" ht="14.1" customHeight="1">
      <c r="A57" s="594"/>
      <c r="B57" s="594"/>
      <c r="C57" s="79"/>
      <c r="D57" s="594"/>
      <c r="E57" s="599"/>
      <c r="F57" s="98"/>
      <c r="G57" s="602" t="s">
        <v>192</v>
      </c>
      <c r="H57" s="79"/>
      <c r="I57" s="80">
        <v>0.04</v>
      </c>
      <c r="J57" s="81">
        <v>1126</v>
      </c>
      <c r="K57" s="81">
        <f t="shared" si="10"/>
        <v>45.04</v>
      </c>
      <c r="L57" s="79"/>
      <c r="M57" s="603"/>
      <c r="N57" s="246"/>
    </row>
    <row r="58" spans="1:14" ht="14.1" customHeight="1">
      <c r="A58" s="594"/>
      <c r="B58" s="594"/>
      <c r="C58" s="79"/>
      <c r="D58" s="594"/>
      <c r="E58" s="599"/>
      <c r="F58" s="98"/>
      <c r="G58" s="93" t="s">
        <v>190</v>
      </c>
      <c r="H58" s="79"/>
      <c r="I58" s="80">
        <v>0.04</v>
      </c>
      <c r="J58" s="81">
        <v>644</v>
      </c>
      <c r="K58" s="81">
        <f t="shared" si="10"/>
        <v>25.76</v>
      </c>
      <c r="L58" s="79"/>
      <c r="M58" s="603"/>
      <c r="N58" s="246"/>
    </row>
    <row r="59" spans="1:14" ht="14.1" customHeight="1">
      <c r="A59" s="120"/>
      <c r="B59" s="120"/>
      <c r="C59" s="120"/>
      <c r="D59" s="120"/>
      <c r="E59" s="579"/>
      <c r="F59" s="98"/>
      <c r="G59" s="577" t="s">
        <v>184</v>
      </c>
      <c r="H59" s="577"/>
      <c r="I59" s="80">
        <v>2.6</v>
      </c>
      <c r="J59" s="81">
        <v>336</v>
      </c>
      <c r="K59" s="94">
        <f t="shared" si="10"/>
        <v>873.6</v>
      </c>
      <c r="L59" s="79"/>
      <c r="M59" s="258"/>
      <c r="N59" s="246"/>
    </row>
    <row r="60" spans="1:14" ht="14.1" customHeight="1">
      <c r="A60" s="120"/>
      <c r="B60" s="120"/>
      <c r="C60" s="120"/>
      <c r="D60" s="120"/>
      <c r="E60" s="579"/>
      <c r="F60" s="98"/>
      <c r="G60" s="95" t="s">
        <v>185</v>
      </c>
      <c r="H60" s="79"/>
      <c r="I60" s="96">
        <v>0.48</v>
      </c>
      <c r="J60" s="81">
        <v>490</v>
      </c>
      <c r="K60" s="81">
        <f t="shared" si="10"/>
        <v>235.2</v>
      </c>
      <c r="L60" s="79"/>
      <c r="M60" s="258"/>
      <c r="N60" s="246"/>
    </row>
    <row r="61" spans="1:14" ht="14.1" customHeight="1">
      <c r="A61" s="258"/>
      <c r="B61" s="258"/>
      <c r="C61" s="258"/>
      <c r="D61" s="258"/>
      <c r="E61" s="258" t="s">
        <v>9</v>
      </c>
      <c r="F61" s="108">
        <f>SUM(F51:F60)</f>
        <v>1093.5999999999999</v>
      </c>
      <c r="G61" s="258"/>
      <c r="H61" s="258"/>
      <c r="I61" s="80"/>
      <c r="J61" s="81"/>
      <c r="K61" s="103">
        <f>SUM(K51:K60)</f>
        <v>21422.273999999998</v>
      </c>
      <c r="L61" s="103">
        <f>K61/F61</f>
        <v>19.588765544989027</v>
      </c>
      <c r="M61" s="258"/>
      <c r="N61" s="246"/>
    </row>
    <row r="62" spans="1:14" ht="14.1" customHeight="1">
      <c r="A62" s="120">
        <v>10386</v>
      </c>
      <c r="B62" s="577" t="s">
        <v>1170</v>
      </c>
      <c r="C62" s="577" t="s">
        <v>494</v>
      </c>
      <c r="D62" s="577" t="s">
        <v>1169</v>
      </c>
      <c r="E62" s="577" t="s">
        <v>262</v>
      </c>
      <c r="F62" s="222">
        <f>1800*1.0936</f>
        <v>1968.4799999999998</v>
      </c>
      <c r="G62" s="93" t="s">
        <v>258</v>
      </c>
      <c r="H62" s="79"/>
      <c r="I62" s="80">
        <f>0.1+0.012</f>
        <v>0.112</v>
      </c>
      <c r="J62" s="81">
        <v>2801</v>
      </c>
      <c r="K62" s="81">
        <f t="shared" ref="K62:K66" si="11">I62*J62</f>
        <v>313.71199999999999</v>
      </c>
      <c r="L62" s="2"/>
      <c r="M62" s="79"/>
      <c r="N62" s="107"/>
    </row>
    <row r="63" spans="1:14" s="10" customFormat="1" ht="14.1" customHeight="1">
      <c r="A63" s="120"/>
      <c r="B63" s="120"/>
      <c r="C63" s="120"/>
      <c r="D63" s="120"/>
      <c r="E63" s="120"/>
      <c r="F63" s="120"/>
      <c r="G63" s="93" t="s">
        <v>259</v>
      </c>
      <c r="H63" s="79"/>
      <c r="I63" s="80">
        <f>0.218+0.023</f>
        <v>0.24099999999999999</v>
      </c>
      <c r="J63" s="81">
        <v>2704</v>
      </c>
      <c r="K63" s="81">
        <f t="shared" si="11"/>
        <v>651.66399999999999</v>
      </c>
      <c r="L63" s="2"/>
      <c r="M63" s="79"/>
      <c r="N63" s="107"/>
    </row>
    <row r="64" spans="1:14" ht="14.1" customHeight="1">
      <c r="A64" s="120"/>
      <c r="B64" s="120"/>
      <c r="C64" s="120"/>
      <c r="D64" s="120"/>
      <c r="E64" s="120"/>
      <c r="F64" s="87"/>
      <c r="G64" s="91" t="s">
        <v>260</v>
      </c>
      <c r="H64" s="79"/>
      <c r="I64" s="80">
        <f>0.818+0.087</f>
        <v>0.90499999999999992</v>
      </c>
      <c r="J64" s="81">
        <v>4545</v>
      </c>
      <c r="K64" s="81">
        <f t="shared" si="11"/>
        <v>4113.2249999999995</v>
      </c>
      <c r="L64" s="2"/>
      <c r="M64" s="79"/>
      <c r="N64" s="107"/>
    </row>
    <row r="65" spans="1:14" ht="14.1" customHeight="1">
      <c r="A65" s="120"/>
      <c r="B65" s="120"/>
      <c r="C65" s="120"/>
      <c r="D65" s="120"/>
      <c r="E65" s="120"/>
      <c r="F65" s="87"/>
      <c r="G65" s="577" t="s">
        <v>184</v>
      </c>
      <c r="H65" s="79"/>
      <c r="I65" s="80">
        <v>5.5</v>
      </c>
      <c r="J65" s="81">
        <v>336</v>
      </c>
      <c r="K65" s="81">
        <f t="shared" si="11"/>
        <v>1848</v>
      </c>
      <c r="L65" s="2"/>
      <c r="M65" s="79"/>
      <c r="N65" s="107"/>
    </row>
    <row r="66" spans="1:14" ht="14.1" customHeight="1">
      <c r="A66" s="120"/>
      <c r="B66" s="120"/>
      <c r="C66" s="120"/>
      <c r="D66" s="120"/>
      <c r="E66" s="120"/>
      <c r="F66" s="87"/>
      <c r="G66" s="95" t="s">
        <v>185</v>
      </c>
      <c r="H66" s="79"/>
      <c r="I66" s="96">
        <v>1.1000000000000001</v>
      </c>
      <c r="J66" s="81">
        <v>490</v>
      </c>
      <c r="K66" s="81">
        <f t="shared" si="11"/>
        <v>539</v>
      </c>
      <c r="L66" s="2"/>
      <c r="M66" s="79"/>
      <c r="N66" s="107"/>
    </row>
    <row r="67" spans="1:14" ht="14.1" customHeight="1">
      <c r="A67" s="120"/>
      <c r="B67" s="120"/>
      <c r="C67" s="120"/>
      <c r="D67" s="120"/>
      <c r="E67" s="258" t="s">
        <v>9</v>
      </c>
      <c r="F67" s="108">
        <f>SUM(F62:F66)</f>
        <v>1968.4799999999998</v>
      </c>
      <c r="G67" s="258"/>
      <c r="H67" s="258"/>
      <c r="I67" s="80"/>
      <c r="J67" s="81"/>
      <c r="K67" s="103">
        <f>SUM(K62:K66)</f>
        <v>7465.6009999999997</v>
      </c>
      <c r="L67" s="103">
        <f>K67/F67</f>
        <v>3.7925714256685366</v>
      </c>
      <c r="M67" s="79"/>
      <c r="N67" s="107"/>
    </row>
    <row r="68" spans="1:14" ht="14.1" customHeight="1">
      <c r="A68" s="120">
        <v>10385</v>
      </c>
      <c r="B68" s="577" t="s">
        <v>1030</v>
      </c>
      <c r="C68" s="577" t="s">
        <v>494</v>
      </c>
      <c r="D68" s="577" t="s">
        <v>1169</v>
      </c>
      <c r="E68" s="577" t="s">
        <v>1171</v>
      </c>
      <c r="F68" s="222">
        <f>350*1.0936</f>
        <v>382.76</v>
      </c>
      <c r="G68" s="578" t="s">
        <v>314</v>
      </c>
      <c r="H68" s="79"/>
      <c r="I68" s="80">
        <f>0.638</f>
        <v>0.63800000000000001</v>
      </c>
      <c r="J68" s="81">
        <v>1695</v>
      </c>
      <c r="K68" s="81">
        <f t="shared" ref="K68:K72" si="12">I68*J68</f>
        <v>1081.4100000000001</v>
      </c>
      <c r="L68" s="2"/>
      <c r="M68" s="79"/>
      <c r="N68" s="107"/>
    </row>
    <row r="69" spans="1:14" ht="14.1" customHeight="1">
      <c r="A69" s="120"/>
      <c r="B69" s="577"/>
      <c r="C69" s="577"/>
      <c r="D69" s="577"/>
      <c r="E69" s="577"/>
      <c r="F69" s="577"/>
      <c r="G69" s="91" t="s">
        <v>192</v>
      </c>
      <c r="H69" s="79"/>
      <c r="I69" s="80">
        <v>0.32500000000000001</v>
      </c>
      <c r="J69" s="81">
        <v>1126</v>
      </c>
      <c r="K69" s="81">
        <f t="shared" si="12"/>
        <v>365.95</v>
      </c>
      <c r="L69" s="2"/>
      <c r="M69" s="79"/>
      <c r="N69" s="107"/>
    </row>
    <row r="70" spans="1:14" ht="14.1" customHeight="1">
      <c r="A70" s="120"/>
      <c r="B70" s="120"/>
      <c r="C70" s="120"/>
      <c r="D70" s="120"/>
      <c r="E70" s="120"/>
      <c r="F70" s="87"/>
      <c r="G70" s="91" t="s">
        <v>193</v>
      </c>
      <c r="H70" s="79"/>
      <c r="I70" s="80">
        <v>0.68500000000000005</v>
      </c>
      <c r="J70" s="81">
        <v>1150</v>
      </c>
      <c r="K70" s="81">
        <f t="shared" si="12"/>
        <v>787.75000000000011</v>
      </c>
      <c r="L70" s="2"/>
      <c r="M70" s="79"/>
      <c r="N70" s="107"/>
    </row>
    <row r="71" spans="1:14" ht="14.1" customHeight="1">
      <c r="A71" s="120"/>
      <c r="B71" s="120"/>
      <c r="C71" s="120"/>
      <c r="D71" s="120"/>
      <c r="E71" s="120"/>
      <c r="F71" s="87"/>
      <c r="G71" s="577" t="s">
        <v>184</v>
      </c>
      <c r="H71" s="577"/>
      <c r="I71" s="80">
        <v>5</v>
      </c>
      <c r="J71" s="81">
        <v>336</v>
      </c>
      <c r="K71" s="94">
        <f t="shared" si="12"/>
        <v>1680</v>
      </c>
      <c r="L71" s="79"/>
      <c r="M71" s="79"/>
      <c r="N71" s="107"/>
    </row>
    <row r="72" spans="1:14" ht="14.1" customHeight="1">
      <c r="A72" s="120"/>
      <c r="B72" s="120"/>
      <c r="C72" s="120"/>
      <c r="D72" s="120"/>
      <c r="E72" s="120"/>
      <c r="F72" s="87"/>
      <c r="G72" s="95" t="s">
        <v>185</v>
      </c>
      <c r="H72" s="79"/>
      <c r="I72" s="96">
        <v>1</v>
      </c>
      <c r="J72" s="81">
        <v>490</v>
      </c>
      <c r="K72" s="81">
        <f t="shared" si="12"/>
        <v>490</v>
      </c>
      <c r="L72" s="79"/>
      <c r="M72" s="79"/>
      <c r="N72" s="107"/>
    </row>
    <row r="73" spans="1:14" ht="14.1" customHeight="1">
      <c r="A73" s="120"/>
      <c r="B73" s="120"/>
      <c r="C73" s="120"/>
      <c r="D73" s="120"/>
      <c r="E73" s="258" t="s">
        <v>9</v>
      </c>
      <c r="F73" s="108">
        <f>SUM(F68:F72)</f>
        <v>382.76</v>
      </c>
      <c r="G73" s="258"/>
      <c r="H73" s="258"/>
      <c r="I73" s="80"/>
      <c r="J73" s="81"/>
      <c r="K73" s="103">
        <f>SUM(K68:K72)</f>
        <v>4405.1100000000006</v>
      </c>
      <c r="L73" s="103">
        <f>K73/F73</f>
        <v>11.508804472776676</v>
      </c>
      <c r="M73" s="79"/>
      <c r="N73" s="107"/>
    </row>
    <row r="74" spans="1:14" ht="14.1" customHeight="1">
      <c r="A74" s="120">
        <v>10384</v>
      </c>
      <c r="B74" s="577" t="s">
        <v>1172</v>
      </c>
      <c r="C74" s="577" t="s">
        <v>494</v>
      </c>
      <c r="D74" s="577" t="s">
        <v>1169</v>
      </c>
      <c r="E74" s="577" t="s">
        <v>127</v>
      </c>
      <c r="F74" s="222">
        <f>50*1.0936</f>
        <v>54.679999999999993</v>
      </c>
      <c r="G74" s="578" t="s">
        <v>405</v>
      </c>
      <c r="H74" s="79"/>
      <c r="I74" s="80">
        <v>0.51500000000000001</v>
      </c>
      <c r="J74" s="81">
        <v>1708</v>
      </c>
      <c r="K74" s="81">
        <f t="shared" ref="K74:K78" si="13">I74*J74</f>
        <v>879.62</v>
      </c>
      <c r="L74" s="102"/>
      <c r="M74" s="79"/>
      <c r="N74" s="107"/>
    </row>
    <row r="75" spans="1:14" ht="14.1" customHeight="1">
      <c r="A75" s="120"/>
      <c r="B75" s="577"/>
      <c r="C75" s="577"/>
      <c r="D75" s="577"/>
      <c r="E75" s="577"/>
      <c r="F75" s="577"/>
      <c r="G75" s="578" t="s">
        <v>183</v>
      </c>
      <c r="H75" s="79"/>
      <c r="I75" s="80">
        <f>0.125+0.02+0.055</f>
        <v>0.19999999999999998</v>
      </c>
      <c r="J75" s="81">
        <v>1600</v>
      </c>
      <c r="K75" s="81">
        <f t="shared" si="13"/>
        <v>320</v>
      </c>
      <c r="L75" s="102"/>
      <c r="M75" s="79"/>
      <c r="N75" s="107"/>
    </row>
    <row r="76" spans="1:14" ht="14.1" customHeight="1">
      <c r="A76" s="120"/>
      <c r="B76" s="120"/>
      <c r="C76" s="120"/>
      <c r="D76" s="120"/>
      <c r="E76" s="120"/>
      <c r="F76" s="87"/>
      <c r="G76" s="93" t="s">
        <v>315</v>
      </c>
      <c r="H76" s="79"/>
      <c r="I76" s="80">
        <v>0.61499999999999999</v>
      </c>
      <c r="J76" s="81">
        <v>2184</v>
      </c>
      <c r="K76" s="81">
        <f t="shared" si="13"/>
        <v>1343.16</v>
      </c>
      <c r="L76" s="102"/>
      <c r="M76" s="79"/>
      <c r="N76" s="107"/>
    </row>
    <row r="77" spans="1:14" ht="14.1" customHeight="1">
      <c r="A77" s="120"/>
      <c r="B77" s="120"/>
      <c r="C77" s="120"/>
      <c r="D77" s="120"/>
      <c r="E77" s="120"/>
      <c r="F77" s="87"/>
      <c r="G77" s="577" t="s">
        <v>184</v>
      </c>
      <c r="H77" s="79"/>
      <c r="I77" s="80">
        <v>0.5</v>
      </c>
      <c r="J77" s="81">
        <v>336</v>
      </c>
      <c r="K77" s="81">
        <f t="shared" si="13"/>
        <v>168</v>
      </c>
      <c r="L77" s="6"/>
      <c r="M77" s="79"/>
      <c r="N77" s="107"/>
    </row>
    <row r="78" spans="1:14" ht="14.1" customHeight="1">
      <c r="A78" s="120"/>
      <c r="B78" s="120"/>
      <c r="C78" s="120"/>
      <c r="D78" s="120"/>
      <c r="E78" s="120"/>
      <c r="F78" s="87"/>
      <c r="G78" s="95" t="s">
        <v>185</v>
      </c>
      <c r="H78" s="79"/>
      <c r="I78" s="96">
        <v>0.1</v>
      </c>
      <c r="J78" s="81">
        <v>490</v>
      </c>
      <c r="K78" s="81">
        <f t="shared" si="13"/>
        <v>49</v>
      </c>
      <c r="L78" s="6"/>
      <c r="M78" s="79"/>
      <c r="N78" s="107"/>
    </row>
    <row r="79" spans="1:14" ht="14.1" customHeight="1">
      <c r="A79" s="120"/>
      <c r="B79" s="120"/>
      <c r="C79" s="120"/>
      <c r="D79" s="120"/>
      <c r="E79" s="258" t="s">
        <v>9</v>
      </c>
      <c r="F79" s="108">
        <f>SUM(F74:F78)</f>
        <v>54.679999999999993</v>
      </c>
      <c r="G79" s="258"/>
      <c r="H79" s="258"/>
      <c r="I79" s="80"/>
      <c r="J79" s="81"/>
      <c r="K79" s="103">
        <f>SUM(K74:K78)</f>
        <v>2759.7799999999997</v>
      </c>
      <c r="L79" s="103">
        <f>K79/F79</f>
        <v>50.47147037307974</v>
      </c>
      <c r="M79" s="79"/>
      <c r="N79" s="107"/>
    </row>
    <row r="80" spans="1:14" ht="14.1" customHeight="1">
      <c r="A80" s="577">
        <v>10374</v>
      </c>
      <c r="B80" s="577" t="s">
        <v>1173</v>
      </c>
      <c r="C80" s="577" t="s">
        <v>516</v>
      </c>
      <c r="D80" s="577" t="s">
        <v>1174</v>
      </c>
      <c r="E80" s="577" t="s">
        <v>1175</v>
      </c>
      <c r="F80" s="222">
        <f>435*1.0936</f>
        <v>475.71599999999995</v>
      </c>
      <c r="G80" s="93" t="s">
        <v>258</v>
      </c>
      <c r="H80" s="79"/>
      <c r="I80" s="80">
        <v>0.26</v>
      </c>
      <c r="J80" s="81">
        <v>2801</v>
      </c>
      <c r="K80" s="81">
        <f t="shared" ref="K80:K84" si="14">I80*J80</f>
        <v>728.26</v>
      </c>
      <c r="L80" s="2"/>
      <c r="M80" s="79"/>
      <c r="N80" s="107"/>
    </row>
    <row r="81" spans="1:14" ht="14.1" customHeight="1">
      <c r="A81" s="120"/>
      <c r="B81" s="120"/>
      <c r="C81" s="120"/>
      <c r="D81" s="120"/>
      <c r="E81" s="120"/>
      <c r="F81" s="120"/>
      <c r="G81" s="578" t="s">
        <v>183</v>
      </c>
      <c r="H81" s="79"/>
      <c r="I81" s="80">
        <v>0.10199999999999999</v>
      </c>
      <c r="J81" s="81">
        <v>1600</v>
      </c>
      <c r="K81" s="81">
        <f t="shared" si="14"/>
        <v>163.19999999999999</v>
      </c>
      <c r="L81" s="2"/>
      <c r="M81" s="79"/>
      <c r="N81" s="107"/>
    </row>
    <row r="82" spans="1:14" ht="14.1" customHeight="1">
      <c r="A82" s="120"/>
      <c r="B82" s="120"/>
      <c r="C82" s="120"/>
      <c r="D82" s="120"/>
      <c r="E82" s="120"/>
      <c r="F82" s="87"/>
      <c r="G82" s="93" t="s">
        <v>315</v>
      </c>
      <c r="H82" s="79"/>
      <c r="I82" s="80">
        <v>0.34</v>
      </c>
      <c r="J82" s="81">
        <v>2184</v>
      </c>
      <c r="K82" s="81">
        <f t="shared" si="14"/>
        <v>742.56000000000006</v>
      </c>
      <c r="L82" s="2"/>
      <c r="M82" s="79"/>
      <c r="N82" s="107"/>
    </row>
    <row r="83" spans="1:14" ht="14.1" customHeight="1">
      <c r="A83" s="120"/>
      <c r="B83" s="120"/>
      <c r="C83" s="120"/>
      <c r="D83" s="120"/>
      <c r="E83" s="120"/>
      <c r="F83" s="87"/>
      <c r="G83" s="577" t="s">
        <v>184</v>
      </c>
      <c r="H83" s="79"/>
      <c r="I83" s="80">
        <f>5.5+1</f>
        <v>6.5</v>
      </c>
      <c r="J83" s="81">
        <v>336</v>
      </c>
      <c r="K83" s="81">
        <f t="shared" si="14"/>
        <v>2184</v>
      </c>
      <c r="L83" s="2"/>
      <c r="M83" s="79"/>
      <c r="N83" s="107"/>
    </row>
    <row r="84" spans="1:14" ht="14.1" customHeight="1">
      <c r="A84" s="120"/>
      <c r="B84" s="120"/>
      <c r="C84" s="120"/>
      <c r="D84" s="120"/>
      <c r="E84" s="120"/>
      <c r="F84" s="87"/>
      <c r="G84" s="95" t="s">
        <v>185</v>
      </c>
      <c r="H84" s="79"/>
      <c r="I84" s="96">
        <f>1.1+0.2</f>
        <v>1.3</v>
      </c>
      <c r="J84" s="81">
        <v>490</v>
      </c>
      <c r="K84" s="81">
        <f t="shared" si="14"/>
        <v>637</v>
      </c>
      <c r="L84" s="2"/>
      <c r="M84" s="79"/>
      <c r="N84" s="107"/>
    </row>
    <row r="85" spans="1:14" ht="14.1" customHeight="1">
      <c r="A85" s="120"/>
      <c r="B85" s="120"/>
      <c r="C85" s="120"/>
      <c r="D85" s="120"/>
      <c r="E85" s="258" t="s">
        <v>9</v>
      </c>
      <c r="F85" s="108">
        <f>SUM(F80:F84)</f>
        <v>475.71599999999995</v>
      </c>
      <c r="G85" s="258"/>
      <c r="H85" s="258"/>
      <c r="I85" s="80"/>
      <c r="J85" s="81"/>
      <c r="K85" s="103">
        <f>SUM(K80:K84)</f>
        <v>4455.0200000000004</v>
      </c>
      <c r="L85" s="103">
        <f>K85/F85</f>
        <v>9.3648731596162431</v>
      </c>
      <c r="M85" s="79"/>
      <c r="N85" s="107"/>
    </row>
    <row r="86" spans="1:14" ht="14.1" customHeight="1">
      <c r="A86" s="579">
        <v>10368</v>
      </c>
      <c r="B86" s="577" t="s">
        <v>1156</v>
      </c>
      <c r="C86" s="89" t="s">
        <v>1026</v>
      </c>
      <c r="D86" s="89" t="s">
        <v>1176</v>
      </c>
      <c r="E86" s="577" t="s">
        <v>1177</v>
      </c>
      <c r="F86" s="99">
        <f>100*1.0936</f>
        <v>109.35999999999999</v>
      </c>
      <c r="G86" s="91" t="s">
        <v>1097</v>
      </c>
      <c r="H86" s="79"/>
      <c r="I86" s="80">
        <f>0.025</f>
        <v>2.5000000000000001E-2</v>
      </c>
      <c r="J86" s="81">
        <v>645</v>
      </c>
      <c r="K86" s="81">
        <f t="shared" ref="K86:K90" si="15">I86*J86</f>
        <v>16.125</v>
      </c>
      <c r="L86" s="102"/>
      <c r="M86" s="79"/>
      <c r="N86" s="107"/>
    </row>
    <row r="87" spans="1:14" ht="14.1" customHeight="1">
      <c r="A87" s="579"/>
      <c r="B87" s="579"/>
      <c r="C87" s="579"/>
      <c r="D87" s="579"/>
      <c r="E87" s="579"/>
      <c r="F87" s="98"/>
      <c r="G87" s="91" t="s">
        <v>286</v>
      </c>
      <c r="H87" s="79"/>
      <c r="I87" s="80">
        <f>0.278+0.065</f>
        <v>0.34300000000000003</v>
      </c>
      <c r="J87" s="81">
        <v>2065</v>
      </c>
      <c r="K87" s="81">
        <f t="shared" si="15"/>
        <v>708.29500000000007</v>
      </c>
      <c r="L87" s="102"/>
      <c r="M87" s="79"/>
      <c r="N87" s="107"/>
    </row>
    <row r="88" spans="1:14" ht="14.1" customHeight="1">
      <c r="A88" s="579"/>
      <c r="B88" s="579"/>
      <c r="C88" s="579"/>
      <c r="D88" s="579"/>
      <c r="E88" s="579"/>
      <c r="F88" s="98"/>
      <c r="G88" s="91" t="s">
        <v>194</v>
      </c>
      <c r="H88" s="79"/>
      <c r="I88" s="80">
        <f>0.496+0.127</f>
        <v>0.623</v>
      </c>
      <c r="J88" s="81">
        <v>879</v>
      </c>
      <c r="K88" s="81">
        <f t="shared" si="15"/>
        <v>547.61699999999996</v>
      </c>
      <c r="L88" s="102"/>
      <c r="M88" s="79"/>
      <c r="N88" s="107"/>
    </row>
    <row r="89" spans="1:14" ht="14.1" customHeight="1">
      <c r="A89" s="579"/>
      <c r="B89" s="579"/>
      <c r="C89" s="579"/>
      <c r="D89" s="579"/>
      <c r="E89" s="579"/>
      <c r="F89" s="98"/>
      <c r="G89" s="577" t="s">
        <v>184</v>
      </c>
      <c r="H89" s="79"/>
      <c r="I89" s="80">
        <v>0.7</v>
      </c>
      <c r="J89" s="81">
        <v>396</v>
      </c>
      <c r="K89" s="81">
        <f t="shared" si="15"/>
        <v>277.2</v>
      </c>
      <c r="L89" s="102"/>
      <c r="M89" s="79"/>
      <c r="N89" s="107"/>
    </row>
    <row r="90" spans="1:14" ht="14.1" customHeight="1">
      <c r="A90" s="579"/>
      <c r="B90" s="579"/>
      <c r="C90" s="579"/>
      <c r="D90" s="579"/>
      <c r="E90" s="579"/>
      <c r="F90" s="98"/>
      <c r="G90" s="95" t="s">
        <v>185</v>
      </c>
      <c r="H90" s="79"/>
      <c r="I90" s="80">
        <v>0.14000000000000001</v>
      </c>
      <c r="J90" s="81">
        <v>623</v>
      </c>
      <c r="K90" s="81">
        <f t="shared" si="15"/>
        <v>87.220000000000013</v>
      </c>
      <c r="L90" s="102"/>
      <c r="M90" s="79"/>
      <c r="N90" s="107"/>
    </row>
    <row r="91" spans="1:14" ht="14.1" customHeight="1">
      <c r="A91" s="120"/>
      <c r="B91" s="120"/>
      <c r="C91" s="120"/>
      <c r="D91" s="120"/>
      <c r="E91" s="260" t="s">
        <v>9</v>
      </c>
      <c r="F91" s="108">
        <f>SUM(F86:F90)</f>
        <v>109.35999999999999</v>
      </c>
      <c r="G91" s="260"/>
      <c r="H91" s="260"/>
      <c r="I91" s="80"/>
      <c r="J91" s="81"/>
      <c r="K91" s="103">
        <f>SUM(K86:K90)</f>
        <v>1636.4570000000001</v>
      </c>
      <c r="L91" s="103">
        <f>K91/F91</f>
        <v>14.963944769568402</v>
      </c>
      <c r="M91" s="79"/>
      <c r="N91" s="107"/>
    </row>
    <row r="92" spans="1:14" ht="14.1" customHeight="1">
      <c r="A92" s="120">
        <v>10376</v>
      </c>
      <c r="B92" s="577" t="s">
        <v>1167</v>
      </c>
      <c r="C92" s="577" t="s">
        <v>121</v>
      </c>
      <c r="D92" s="577" t="s">
        <v>369</v>
      </c>
      <c r="E92" s="577" t="s">
        <v>323</v>
      </c>
      <c r="F92" s="222">
        <f>1000*1.0936</f>
        <v>1093.5999999999999</v>
      </c>
      <c r="G92" s="93" t="s">
        <v>190</v>
      </c>
      <c r="H92" s="79"/>
      <c r="I92" s="80">
        <f>2.605+0.0635+0.238</f>
        <v>2.9064999999999999</v>
      </c>
      <c r="J92" s="81">
        <v>644</v>
      </c>
      <c r="K92" s="81">
        <f t="shared" ref="K92:K96" si="16">I92*J92</f>
        <v>1871.7859999999998</v>
      </c>
      <c r="L92" s="79"/>
      <c r="M92" s="79"/>
      <c r="N92" s="107"/>
    </row>
    <row r="93" spans="1:14" ht="14.1" customHeight="1">
      <c r="A93" s="120"/>
      <c r="B93" s="120"/>
      <c r="C93" s="120"/>
      <c r="D93" s="120"/>
      <c r="E93" s="120"/>
      <c r="F93" s="120"/>
      <c r="G93" s="91" t="s">
        <v>192</v>
      </c>
      <c r="H93" s="79"/>
      <c r="I93" s="80">
        <f>2.855+0.45+0.106</f>
        <v>3.411</v>
      </c>
      <c r="J93" s="81">
        <v>1126</v>
      </c>
      <c r="K93" s="81">
        <f t="shared" si="16"/>
        <v>3840.7860000000001</v>
      </c>
      <c r="L93" s="79"/>
      <c r="M93" s="79"/>
      <c r="N93" s="107"/>
    </row>
    <row r="94" spans="1:14" ht="14.1" customHeight="1">
      <c r="A94" s="120"/>
      <c r="B94" s="120"/>
      <c r="C94" s="120"/>
      <c r="D94" s="120"/>
      <c r="E94" s="120"/>
      <c r="F94" s="120"/>
      <c r="G94" s="91" t="s">
        <v>193</v>
      </c>
      <c r="H94" s="79"/>
      <c r="I94" s="80">
        <f>13.33+1.228</f>
        <v>14.558</v>
      </c>
      <c r="J94" s="81">
        <v>1150</v>
      </c>
      <c r="K94" s="81">
        <f t="shared" si="16"/>
        <v>16741.7</v>
      </c>
      <c r="L94" s="79"/>
      <c r="M94" s="79"/>
      <c r="N94" s="107"/>
    </row>
    <row r="95" spans="1:14" ht="14.1" customHeight="1">
      <c r="A95" s="120"/>
      <c r="B95" s="120"/>
      <c r="C95" s="120"/>
      <c r="D95" s="120"/>
      <c r="E95" s="120"/>
      <c r="F95" s="120"/>
      <c r="G95" s="577" t="s">
        <v>184</v>
      </c>
      <c r="H95" s="577"/>
      <c r="I95" s="80">
        <v>2</v>
      </c>
      <c r="J95" s="81">
        <v>336</v>
      </c>
      <c r="K95" s="94">
        <f t="shared" si="16"/>
        <v>672</v>
      </c>
      <c r="L95" s="79"/>
      <c r="M95" s="79"/>
      <c r="N95" s="107"/>
    </row>
    <row r="96" spans="1:14" ht="14.1" customHeight="1">
      <c r="A96" s="120"/>
      <c r="B96" s="120"/>
      <c r="C96" s="120"/>
      <c r="D96" s="120"/>
      <c r="E96" s="120"/>
      <c r="F96" s="120"/>
      <c r="G96" s="95" t="s">
        <v>185</v>
      </c>
      <c r="H96" s="79"/>
      <c r="I96" s="96">
        <v>0.4</v>
      </c>
      <c r="J96" s="81">
        <v>490</v>
      </c>
      <c r="K96" s="81">
        <f t="shared" si="16"/>
        <v>196</v>
      </c>
      <c r="L96" s="79"/>
      <c r="M96" s="79"/>
      <c r="N96" s="107"/>
    </row>
    <row r="97" spans="1:14" ht="14.1" customHeight="1">
      <c r="A97" s="120"/>
      <c r="B97" s="120"/>
      <c r="C97" s="120"/>
      <c r="D97" s="120"/>
      <c r="E97" s="260" t="s">
        <v>9</v>
      </c>
      <c r="F97" s="108">
        <f>SUM(F92:F96)</f>
        <v>1093.5999999999999</v>
      </c>
      <c r="G97" s="260"/>
      <c r="H97" s="260"/>
      <c r="I97" s="80"/>
      <c r="J97" s="81"/>
      <c r="K97" s="103">
        <f>SUM(K92:K96)</f>
        <v>23322.272000000001</v>
      </c>
      <c r="L97" s="103">
        <f>K97/F97</f>
        <v>21.326144842721291</v>
      </c>
      <c r="M97" s="79"/>
      <c r="N97" s="107"/>
    </row>
    <row r="98" spans="1:14" ht="14.1" customHeight="1">
      <c r="A98" s="120">
        <v>10378</v>
      </c>
      <c r="B98" s="577" t="s">
        <v>1173</v>
      </c>
      <c r="C98" s="577" t="s">
        <v>882</v>
      </c>
      <c r="D98" s="577" t="s">
        <v>961</v>
      </c>
      <c r="E98" s="577" t="s">
        <v>1171</v>
      </c>
      <c r="F98" s="90">
        <f>80*1.0936</f>
        <v>87.488</v>
      </c>
      <c r="G98" s="93" t="s">
        <v>190</v>
      </c>
      <c r="H98" s="79"/>
      <c r="I98" s="80">
        <f>0.33+0.033</f>
        <v>0.36299999999999999</v>
      </c>
      <c r="J98" s="81">
        <v>644</v>
      </c>
      <c r="K98" s="81">
        <f t="shared" ref="K98:K104" si="17">I98*J98</f>
        <v>233.77199999999999</v>
      </c>
      <c r="L98" s="79"/>
      <c r="M98" s="79"/>
      <c r="N98" s="107"/>
    </row>
    <row r="99" spans="1:14" ht="14.1" customHeight="1">
      <c r="A99" s="120"/>
      <c r="B99" s="120"/>
      <c r="C99" s="120"/>
      <c r="D99" s="120"/>
      <c r="E99" s="120"/>
      <c r="F99" s="120"/>
      <c r="G99" s="91" t="s">
        <v>192</v>
      </c>
      <c r="H99" s="79"/>
      <c r="I99" s="80">
        <f>0.189+0.019</f>
        <v>0.20799999999999999</v>
      </c>
      <c r="J99" s="81">
        <v>1126</v>
      </c>
      <c r="K99" s="81">
        <f t="shared" si="17"/>
        <v>234.208</v>
      </c>
      <c r="L99" s="79"/>
      <c r="M99" s="79"/>
      <c r="N99" s="107"/>
    </row>
    <row r="100" spans="1:14" ht="14.1" customHeight="1">
      <c r="A100" s="120"/>
      <c r="B100" s="120"/>
      <c r="C100" s="120"/>
      <c r="D100" s="120"/>
      <c r="E100" s="120"/>
      <c r="F100" s="87"/>
      <c r="G100" s="91" t="s">
        <v>194</v>
      </c>
      <c r="H100" s="79"/>
      <c r="I100" s="80">
        <f>1.04+0.051</f>
        <v>1.091</v>
      </c>
      <c r="J100" s="81">
        <v>879</v>
      </c>
      <c r="K100" s="81">
        <f t="shared" si="17"/>
        <v>958.98899999999992</v>
      </c>
      <c r="L100" s="102"/>
      <c r="M100" s="79"/>
      <c r="N100" s="107"/>
    </row>
    <row r="101" spans="1:14" ht="14.1" customHeight="1">
      <c r="A101" s="577"/>
      <c r="B101" s="577"/>
      <c r="C101" s="577"/>
      <c r="D101" s="577"/>
      <c r="E101" s="577"/>
      <c r="F101" s="87"/>
      <c r="G101" s="91" t="s">
        <v>193</v>
      </c>
      <c r="H101" s="79"/>
      <c r="I101" s="80">
        <f>0.606</f>
        <v>0.60599999999999998</v>
      </c>
      <c r="J101" s="81">
        <v>1150</v>
      </c>
      <c r="K101" s="81">
        <f t="shared" si="17"/>
        <v>696.9</v>
      </c>
      <c r="L101" s="102"/>
      <c r="M101" s="79"/>
      <c r="N101" s="107"/>
    </row>
    <row r="102" spans="1:14" ht="14.1" customHeight="1">
      <c r="A102" s="577"/>
      <c r="B102" s="577"/>
      <c r="C102" s="577"/>
      <c r="D102" s="577"/>
      <c r="E102" s="577"/>
      <c r="F102" s="87"/>
      <c r="G102" s="578" t="s">
        <v>405</v>
      </c>
      <c r="H102" s="79"/>
      <c r="I102" s="80">
        <v>0.19800000000000001</v>
      </c>
      <c r="J102" s="81">
        <v>1708</v>
      </c>
      <c r="K102" s="81">
        <f t="shared" si="17"/>
        <v>338.18400000000003</v>
      </c>
      <c r="L102" s="102"/>
      <c r="M102" s="79"/>
      <c r="N102" s="107"/>
    </row>
    <row r="103" spans="1:14" ht="14.1" customHeight="1">
      <c r="A103" s="120"/>
      <c r="B103" s="120"/>
      <c r="C103" s="120"/>
      <c r="D103" s="120"/>
      <c r="E103" s="120"/>
      <c r="F103" s="87"/>
      <c r="G103" s="577" t="s">
        <v>184</v>
      </c>
      <c r="H103" s="577"/>
      <c r="I103" s="80">
        <v>1</v>
      </c>
      <c r="J103" s="81">
        <v>336</v>
      </c>
      <c r="K103" s="94">
        <f t="shared" si="17"/>
        <v>336</v>
      </c>
      <c r="L103" s="79"/>
      <c r="M103" s="79"/>
      <c r="N103" s="107"/>
    </row>
    <row r="104" spans="1:14" ht="14.1" customHeight="1">
      <c r="A104" s="120"/>
      <c r="B104" s="120"/>
      <c r="C104" s="120"/>
      <c r="D104" s="120"/>
      <c r="E104" s="120"/>
      <c r="F104" s="87"/>
      <c r="G104" s="95" t="s">
        <v>185</v>
      </c>
      <c r="H104" s="79"/>
      <c r="I104" s="96">
        <v>0.2</v>
      </c>
      <c r="J104" s="81">
        <v>490</v>
      </c>
      <c r="K104" s="81">
        <f t="shared" si="17"/>
        <v>98</v>
      </c>
      <c r="L104" s="79"/>
      <c r="M104" s="79"/>
      <c r="N104" s="107"/>
    </row>
    <row r="105" spans="1:14" ht="14.1" customHeight="1">
      <c r="A105" s="577"/>
      <c r="B105" s="577"/>
      <c r="C105" s="577"/>
      <c r="D105" s="577"/>
      <c r="E105" s="273" t="s">
        <v>9</v>
      </c>
      <c r="F105" s="108">
        <f>SUM(F98:F104)</f>
        <v>87.488</v>
      </c>
      <c r="G105" s="273"/>
      <c r="H105" s="273"/>
      <c r="I105" s="80"/>
      <c r="J105" s="81"/>
      <c r="K105" s="103">
        <f>SUM(K98:K104)</f>
        <v>2896.0530000000003</v>
      </c>
      <c r="L105" s="103">
        <f>K105/F105</f>
        <v>33.102288313825902</v>
      </c>
      <c r="M105" s="79"/>
      <c r="N105" s="107"/>
    </row>
    <row r="106" spans="1:14" ht="14.1" customHeight="1">
      <c r="A106" s="257"/>
      <c r="B106" s="257"/>
      <c r="C106" s="257"/>
      <c r="D106" s="133" t="s">
        <v>30</v>
      </c>
      <c r="E106" s="133"/>
      <c r="F106" s="134">
        <f>F61+F67+F73+F79+F85+F91+F97+F105</f>
        <v>5265.6840000000002</v>
      </c>
      <c r="G106" s="135"/>
      <c r="H106" s="135"/>
      <c r="I106" s="135"/>
      <c r="J106" s="135"/>
      <c r="K106" s="134">
        <f>K61+K67+K73+K79+K85+K91+K97+K105</f>
        <v>68362.56700000001</v>
      </c>
      <c r="L106" s="151">
        <f>K106/F106</f>
        <v>12.982656574150672</v>
      </c>
      <c r="M106" s="137"/>
      <c r="N106" s="107"/>
    </row>
    <row r="107" spans="1:14" ht="14.1" customHeight="1">
      <c r="A107" s="106" t="s">
        <v>40</v>
      </c>
      <c r="B107" s="106"/>
      <c r="C107" s="106"/>
      <c r="D107" s="106"/>
      <c r="E107" s="106"/>
      <c r="F107" s="107"/>
      <c r="G107" s="107"/>
      <c r="H107" s="107"/>
      <c r="I107" s="149"/>
      <c r="J107" s="107"/>
      <c r="K107" s="867" t="s">
        <v>1166</v>
      </c>
      <c r="L107" s="867"/>
      <c r="M107" s="867"/>
      <c r="N107" s="107"/>
    </row>
    <row r="108" spans="1:14" ht="14.1" customHeight="1">
      <c r="A108" s="258" t="s">
        <v>0</v>
      </c>
      <c r="B108" s="258" t="s">
        <v>7</v>
      </c>
      <c r="C108" s="258" t="s">
        <v>13</v>
      </c>
      <c r="D108" s="258" t="s">
        <v>14</v>
      </c>
      <c r="E108" s="258" t="s">
        <v>8</v>
      </c>
      <c r="F108" s="258" t="s">
        <v>1</v>
      </c>
      <c r="G108" s="258" t="s">
        <v>2</v>
      </c>
      <c r="H108" s="258" t="s">
        <v>15</v>
      </c>
      <c r="I108" s="150" t="s">
        <v>3</v>
      </c>
      <c r="J108" s="258" t="s">
        <v>4</v>
      </c>
      <c r="K108" s="258" t="s">
        <v>5</v>
      </c>
      <c r="L108" s="258" t="s">
        <v>12</v>
      </c>
      <c r="M108" s="258" t="s">
        <v>6</v>
      </c>
      <c r="N108" s="246"/>
    </row>
    <row r="109" spans="1:14" ht="14.1" customHeight="1">
      <c r="A109" s="120">
        <v>10318</v>
      </c>
      <c r="B109" s="577" t="s">
        <v>1156</v>
      </c>
      <c r="C109" s="89" t="s">
        <v>1026</v>
      </c>
      <c r="D109" s="89" t="s">
        <v>1176</v>
      </c>
      <c r="E109" s="577" t="s">
        <v>102</v>
      </c>
      <c r="F109" s="99">
        <f>4320*1.0936</f>
        <v>4724.3519999999999</v>
      </c>
      <c r="G109" s="594" t="s">
        <v>1218</v>
      </c>
      <c r="H109" s="79"/>
      <c r="I109" s="80">
        <v>150</v>
      </c>
      <c r="J109" s="81">
        <v>22</v>
      </c>
      <c r="K109" s="81">
        <f t="shared" ref="K109:K111" si="18">I109*J109</f>
        <v>3300</v>
      </c>
      <c r="L109" s="120"/>
      <c r="M109" s="120"/>
      <c r="N109" s="197"/>
    </row>
    <row r="110" spans="1:14" ht="14.1" customHeight="1">
      <c r="A110" s="120"/>
      <c r="B110" s="579"/>
      <c r="C110" s="579"/>
      <c r="D110" s="579"/>
      <c r="E110" s="577" t="s">
        <v>1157</v>
      </c>
      <c r="F110" s="98"/>
      <c r="G110" s="83" t="s">
        <v>49</v>
      </c>
      <c r="H110" s="79"/>
      <c r="I110" s="80">
        <v>20</v>
      </c>
      <c r="J110" s="81">
        <v>34</v>
      </c>
      <c r="K110" s="81">
        <f t="shared" si="18"/>
        <v>680</v>
      </c>
      <c r="L110" s="120"/>
      <c r="M110" s="120"/>
      <c r="N110" s="197"/>
    </row>
    <row r="111" spans="1:14" ht="14.1" customHeight="1">
      <c r="A111" s="120"/>
      <c r="B111" s="120"/>
      <c r="C111" s="120"/>
      <c r="D111" s="120"/>
      <c r="E111" s="120"/>
      <c r="F111" s="120"/>
      <c r="G111" s="120" t="s">
        <v>19</v>
      </c>
      <c r="H111" s="79"/>
      <c r="I111" s="80">
        <v>6</v>
      </c>
      <c r="J111" s="81">
        <v>80</v>
      </c>
      <c r="K111" s="81">
        <f t="shared" si="18"/>
        <v>480</v>
      </c>
      <c r="L111" s="120"/>
      <c r="M111" s="120"/>
      <c r="N111" s="197"/>
    </row>
    <row r="112" spans="1:14" ht="14.1" customHeight="1">
      <c r="A112" s="120"/>
      <c r="B112" s="120"/>
      <c r="C112" s="120"/>
      <c r="D112" s="120"/>
      <c r="E112" s="258" t="s">
        <v>9</v>
      </c>
      <c r="F112" s="108">
        <f>SUM(F109:F111)</f>
        <v>4724.3519999999999</v>
      </c>
      <c r="G112" s="258"/>
      <c r="H112" s="258"/>
      <c r="I112" s="80"/>
      <c r="J112" s="81"/>
      <c r="K112" s="103">
        <f>SUM(K109:K111)</f>
        <v>4460</v>
      </c>
      <c r="L112" s="103">
        <f>K112/F112</f>
        <v>0.94404481291825848</v>
      </c>
      <c r="M112" s="79"/>
      <c r="N112" s="107"/>
    </row>
    <row r="113" spans="1:14" ht="14.1" customHeight="1">
      <c r="A113" s="120">
        <v>10316</v>
      </c>
      <c r="B113" s="577" t="s">
        <v>1029</v>
      </c>
      <c r="C113" s="577" t="s">
        <v>1040</v>
      </c>
      <c r="D113" s="577" t="s">
        <v>869</v>
      </c>
      <c r="E113" s="577" t="s">
        <v>102</v>
      </c>
      <c r="F113" s="90">
        <f>2730*1.0936</f>
        <v>2985.5279999999998</v>
      </c>
      <c r="G113" s="120" t="s">
        <v>27</v>
      </c>
      <c r="H113" s="79"/>
      <c r="I113" s="80">
        <v>100</v>
      </c>
      <c r="J113" s="81">
        <v>22</v>
      </c>
      <c r="K113" s="81">
        <f t="shared" ref="K113:K115" si="19">I113*J113</f>
        <v>2200</v>
      </c>
      <c r="L113" s="120"/>
      <c r="M113" s="120"/>
      <c r="N113" s="197"/>
    </row>
    <row r="114" spans="1:14" ht="14.1" customHeight="1">
      <c r="A114" s="120"/>
      <c r="B114" s="120"/>
      <c r="C114" s="120"/>
      <c r="D114" s="120"/>
      <c r="E114" s="120"/>
      <c r="F114" s="120"/>
      <c r="G114" s="83" t="s">
        <v>49</v>
      </c>
      <c r="H114" s="79"/>
      <c r="I114" s="80">
        <v>8</v>
      </c>
      <c r="J114" s="81">
        <v>34</v>
      </c>
      <c r="K114" s="81">
        <f t="shared" si="19"/>
        <v>272</v>
      </c>
      <c r="L114" s="120"/>
      <c r="M114" s="120"/>
      <c r="N114" s="197"/>
    </row>
    <row r="115" spans="1:14" ht="14.1" customHeight="1">
      <c r="A115" s="120"/>
      <c r="B115" s="120"/>
      <c r="C115" s="120"/>
      <c r="D115" s="120"/>
      <c r="E115" s="120"/>
      <c r="F115" s="120"/>
      <c r="G115" s="120" t="s">
        <v>19</v>
      </c>
      <c r="H115" s="79"/>
      <c r="I115" s="80">
        <v>2.4</v>
      </c>
      <c r="J115" s="81">
        <v>80</v>
      </c>
      <c r="K115" s="81">
        <f t="shared" si="19"/>
        <v>192</v>
      </c>
      <c r="L115" s="120"/>
      <c r="M115" s="120"/>
      <c r="N115" s="197"/>
    </row>
    <row r="116" spans="1:14" ht="14.1" customHeight="1">
      <c r="A116" s="120"/>
      <c r="B116" s="120"/>
      <c r="C116" s="120"/>
      <c r="D116" s="120"/>
      <c r="E116" s="258" t="s">
        <v>9</v>
      </c>
      <c r="F116" s="108">
        <f>SUM(F113:F114)</f>
        <v>2985.5279999999998</v>
      </c>
      <c r="G116" s="258"/>
      <c r="H116" s="258"/>
      <c r="I116" s="80"/>
      <c r="J116" s="81"/>
      <c r="K116" s="103">
        <f>SUM(K113:K115)</f>
        <v>2664</v>
      </c>
      <c r="L116" s="103">
        <f>K116/F116</f>
        <v>0.89230447679606428</v>
      </c>
      <c r="M116" s="79"/>
      <c r="N116" s="107"/>
    </row>
    <row r="117" spans="1:14" ht="14.1" customHeight="1">
      <c r="A117" s="120">
        <v>10317</v>
      </c>
      <c r="B117" s="577" t="s">
        <v>1041</v>
      </c>
      <c r="C117" s="89" t="s">
        <v>766</v>
      </c>
      <c r="D117" s="89" t="s">
        <v>465</v>
      </c>
      <c r="E117" s="577" t="s">
        <v>1155</v>
      </c>
      <c r="F117" s="87">
        <f>3580*1.0936</f>
        <v>3915.0879999999997</v>
      </c>
      <c r="G117" s="120" t="s">
        <v>27</v>
      </c>
      <c r="H117" s="79"/>
      <c r="I117" s="80">
        <v>150</v>
      </c>
      <c r="J117" s="81">
        <v>22</v>
      </c>
      <c r="K117" s="81">
        <f t="shared" ref="K117:K119" si="20">I117*J117</f>
        <v>3300</v>
      </c>
      <c r="L117" s="120"/>
      <c r="M117" s="120"/>
      <c r="N117" s="197"/>
    </row>
    <row r="118" spans="1:14" ht="14.1" customHeight="1">
      <c r="A118" s="120"/>
      <c r="B118" s="120"/>
      <c r="C118" s="120"/>
      <c r="D118" s="120"/>
      <c r="E118" s="85"/>
      <c r="F118" s="120"/>
      <c r="G118" s="83" t="s">
        <v>49</v>
      </c>
      <c r="H118" s="79"/>
      <c r="I118" s="80">
        <v>20</v>
      </c>
      <c r="J118" s="81">
        <v>34</v>
      </c>
      <c r="K118" s="81">
        <f t="shared" si="20"/>
        <v>680</v>
      </c>
      <c r="L118" s="120"/>
      <c r="M118" s="120"/>
      <c r="N118" s="197"/>
    </row>
    <row r="119" spans="1:14" ht="14.1" customHeight="1">
      <c r="A119" s="120"/>
      <c r="B119" s="120"/>
      <c r="C119" s="120"/>
      <c r="D119" s="120"/>
      <c r="E119" s="120"/>
      <c r="F119" s="87"/>
      <c r="G119" s="120" t="s">
        <v>19</v>
      </c>
      <c r="H119" s="79"/>
      <c r="I119" s="80">
        <v>6</v>
      </c>
      <c r="J119" s="81">
        <v>80</v>
      </c>
      <c r="K119" s="81">
        <f t="shared" si="20"/>
        <v>480</v>
      </c>
      <c r="L119" s="120"/>
      <c r="M119" s="120"/>
      <c r="N119" s="197"/>
    </row>
    <row r="120" spans="1:14" ht="14.1" customHeight="1">
      <c r="A120" s="120"/>
      <c r="B120" s="120"/>
      <c r="C120" s="120"/>
      <c r="D120" s="120"/>
      <c r="E120" s="258" t="s">
        <v>9</v>
      </c>
      <c r="F120" s="108">
        <f>SUM(F117:F118)</f>
        <v>3915.0879999999997</v>
      </c>
      <c r="G120" s="258"/>
      <c r="H120" s="258"/>
      <c r="I120" s="80"/>
      <c r="J120" s="81"/>
      <c r="K120" s="103">
        <f>SUM(K117:K119)</f>
        <v>4460</v>
      </c>
      <c r="L120" s="103">
        <f>K120/F120</f>
        <v>1.1391825675438203</v>
      </c>
      <c r="M120" s="120"/>
      <c r="N120" s="197"/>
    </row>
    <row r="121" spans="1:14" ht="14.1" customHeight="1">
      <c r="A121" s="120">
        <v>10316</v>
      </c>
      <c r="B121" s="577" t="s">
        <v>767</v>
      </c>
      <c r="C121" s="89" t="s">
        <v>766</v>
      </c>
      <c r="D121" s="89" t="s">
        <v>465</v>
      </c>
      <c r="E121" s="577" t="s">
        <v>102</v>
      </c>
      <c r="F121" s="87">
        <f>1800*1.0936</f>
        <v>1968.4799999999998</v>
      </c>
      <c r="G121" s="120" t="s">
        <v>27</v>
      </c>
      <c r="H121" s="79"/>
      <c r="I121" s="80">
        <v>66</v>
      </c>
      <c r="J121" s="81">
        <v>22</v>
      </c>
      <c r="K121" s="81">
        <f t="shared" ref="K121:K123" si="21">I121*J121</f>
        <v>1452</v>
      </c>
      <c r="L121" s="120"/>
      <c r="M121" s="120"/>
      <c r="N121" s="197"/>
    </row>
    <row r="122" spans="1:14" ht="14.1" customHeight="1">
      <c r="A122" s="120"/>
      <c r="B122" s="120"/>
      <c r="C122" s="120"/>
      <c r="D122" s="120"/>
      <c r="E122" s="120"/>
      <c r="F122" s="98"/>
      <c r="G122" s="83" t="s">
        <v>49</v>
      </c>
      <c r="H122" s="79"/>
      <c r="I122" s="80">
        <v>6</v>
      </c>
      <c r="J122" s="81">
        <v>34</v>
      </c>
      <c r="K122" s="81">
        <f t="shared" si="21"/>
        <v>204</v>
      </c>
      <c r="L122" s="120"/>
      <c r="M122" s="120"/>
      <c r="N122" s="197"/>
    </row>
    <row r="123" spans="1:14" ht="14.1" customHeight="1">
      <c r="A123" s="120"/>
      <c r="B123" s="120"/>
      <c r="C123" s="120"/>
      <c r="D123" s="120"/>
      <c r="E123" s="120"/>
      <c r="F123" s="87"/>
      <c r="G123" s="120" t="s">
        <v>19</v>
      </c>
      <c r="H123" s="79"/>
      <c r="I123" s="80">
        <v>1.8</v>
      </c>
      <c r="J123" s="81">
        <v>80</v>
      </c>
      <c r="K123" s="81">
        <f t="shared" si="21"/>
        <v>144</v>
      </c>
      <c r="L123" s="120"/>
      <c r="M123" s="120"/>
      <c r="N123" s="197"/>
    </row>
    <row r="124" spans="1:14" ht="14.1" customHeight="1">
      <c r="A124" s="577"/>
      <c r="B124" s="577"/>
      <c r="C124" s="577"/>
      <c r="D124" s="577"/>
      <c r="E124" s="273" t="s">
        <v>9</v>
      </c>
      <c r="F124" s="108">
        <f>SUM(F121:F122)</f>
        <v>1968.4799999999998</v>
      </c>
      <c r="G124" s="273"/>
      <c r="H124" s="273"/>
      <c r="I124" s="80"/>
      <c r="J124" s="81"/>
      <c r="K124" s="103">
        <f>SUM(K121:K123)</f>
        <v>1800</v>
      </c>
      <c r="L124" s="103">
        <f>K124/F124</f>
        <v>0.91441111923921004</v>
      </c>
      <c r="M124" s="577"/>
      <c r="N124" s="575"/>
    </row>
    <row r="125" spans="1:14" ht="14.1" customHeight="1">
      <c r="A125" s="577">
        <v>10316</v>
      </c>
      <c r="B125" s="577" t="s">
        <v>1082</v>
      </c>
      <c r="C125" s="89" t="s">
        <v>1026</v>
      </c>
      <c r="D125" s="89" t="s">
        <v>274</v>
      </c>
      <c r="E125" s="577" t="s">
        <v>641</v>
      </c>
      <c r="F125" s="90">
        <f>1920*1.0936</f>
        <v>2099.712</v>
      </c>
      <c r="G125" s="577" t="s">
        <v>27</v>
      </c>
      <c r="H125" s="79"/>
      <c r="I125" s="80">
        <v>25</v>
      </c>
      <c r="J125" s="81">
        <v>22</v>
      </c>
      <c r="K125" s="81">
        <f t="shared" ref="K125:K127" si="22">I125*J125</f>
        <v>550</v>
      </c>
      <c r="L125" s="577"/>
      <c r="M125" s="577"/>
      <c r="N125" s="575"/>
    </row>
    <row r="126" spans="1:14" ht="14.1" customHeight="1">
      <c r="A126" s="577"/>
      <c r="B126" s="577"/>
      <c r="C126" s="577"/>
      <c r="D126" s="577"/>
      <c r="E126" s="577"/>
      <c r="F126" s="87"/>
      <c r="G126" s="578" t="s">
        <v>49</v>
      </c>
      <c r="H126" s="79"/>
      <c r="I126" s="80">
        <v>2</v>
      </c>
      <c r="J126" s="81">
        <v>34</v>
      </c>
      <c r="K126" s="81">
        <f t="shared" si="22"/>
        <v>68</v>
      </c>
      <c r="L126" s="577"/>
      <c r="M126" s="577"/>
      <c r="N126" s="575"/>
    </row>
    <row r="127" spans="1:14" ht="14.1" customHeight="1">
      <c r="A127" s="577"/>
      <c r="B127" s="577"/>
      <c r="C127" s="577"/>
      <c r="D127" s="577"/>
      <c r="E127" s="577"/>
      <c r="F127" s="87"/>
      <c r="G127" s="577" t="s">
        <v>19</v>
      </c>
      <c r="H127" s="79"/>
      <c r="I127" s="80">
        <v>0.6</v>
      </c>
      <c r="J127" s="81">
        <v>80</v>
      </c>
      <c r="K127" s="81">
        <f t="shared" si="22"/>
        <v>48</v>
      </c>
      <c r="L127" s="577"/>
      <c r="M127" s="577"/>
      <c r="N127" s="575"/>
    </row>
    <row r="128" spans="1:14" ht="14.1" customHeight="1">
      <c r="A128" s="577"/>
      <c r="B128" s="577"/>
      <c r="C128" s="577"/>
      <c r="D128" s="577"/>
      <c r="E128" s="273" t="s">
        <v>9</v>
      </c>
      <c r="F128" s="108">
        <f>SUM(F125:F126)</f>
        <v>2099.712</v>
      </c>
      <c r="G128" s="273"/>
      <c r="H128" s="273"/>
      <c r="I128" s="80"/>
      <c r="J128" s="81"/>
      <c r="K128" s="103">
        <f>SUM(K125:K127)</f>
        <v>666</v>
      </c>
      <c r="L128" s="103">
        <f>K128/F128</f>
        <v>0.31718635698610093</v>
      </c>
      <c r="M128" s="577"/>
      <c r="N128" s="575"/>
    </row>
    <row r="129" spans="1:14" ht="14.1" customHeight="1">
      <c r="A129" s="577">
        <v>10315</v>
      </c>
      <c r="B129" s="577" t="s">
        <v>1167</v>
      </c>
      <c r="C129" s="577" t="s">
        <v>121</v>
      </c>
      <c r="D129" s="577" t="s">
        <v>369</v>
      </c>
      <c r="E129" s="577" t="s">
        <v>323</v>
      </c>
      <c r="F129" s="222">
        <f>300*1.0936</f>
        <v>328.08</v>
      </c>
      <c r="G129" s="577" t="s">
        <v>27</v>
      </c>
      <c r="H129" s="79"/>
      <c r="I129" s="80">
        <v>1.8</v>
      </c>
      <c r="J129" s="81">
        <v>22</v>
      </c>
      <c r="K129" s="81">
        <f t="shared" ref="K129:K131" si="23">I129*J129</f>
        <v>39.6</v>
      </c>
      <c r="L129" s="577"/>
      <c r="M129" s="577"/>
      <c r="N129" s="575"/>
    </row>
    <row r="130" spans="1:14" ht="14.1" customHeight="1">
      <c r="A130" s="577"/>
      <c r="B130" s="577"/>
      <c r="C130" s="577"/>
      <c r="D130" s="577"/>
      <c r="E130" s="577"/>
      <c r="F130" s="87"/>
      <c r="G130" s="578" t="s">
        <v>49</v>
      </c>
      <c r="H130" s="79"/>
      <c r="I130" s="80">
        <v>0.3</v>
      </c>
      <c r="J130" s="81">
        <v>34</v>
      </c>
      <c r="K130" s="81">
        <f t="shared" si="23"/>
        <v>10.199999999999999</v>
      </c>
      <c r="L130" s="577"/>
      <c r="M130" s="577"/>
      <c r="N130" s="575"/>
    </row>
    <row r="131" spans="1:14" ht="14.1" customHeight="1">
      <c r="A131" s="577"/>
      <c r="B131" s="577"/>
      <c r="C131" s="577"/>
      <c r="D131" s="577"/>
      <c r="E131" s="577"/>
      <c r="F131" s="87"/>
      <c r="G131" s="95" t="s">
        <v>185</v>
      </c>
      <c r="H131" s="79"/>
      <c r="I131" s="96">
        <v>0.12</v>
      </c>
      <c r="J131" s="81">
        <v>490</v>
      </c>
      <c r="K131" s="81">
        <f t="shared" si="23"/>
        <v>58.8</v>
      </c>
      <c r="L131" s="577"/>
      <c r="M131" s="577"/>
      <c r="N131" s="575"/>
    </row>
    <row r="132" spans="1:14" ht="14.1" customHeight="1">
      <c r="A132" s="577"/>
      <c r="B132" s="577"/>
      <c r="C132" s="577"/>
      <c r="D132" s="577"/>
      <c r="E132" s="273" t="s">
        <v>9</v>
      </c>
      <c r="F132" s="108">
        <f>SUM(F129:F130)</f>
        <v>328.08</v>
      </c>
      <c r="G132" s="273"/>
      <c r="H132" s="273"/>
      <c r="I132" s="80"/>
      <c r="J132" s="81"/>
      <c r="K132" s="103">
        <f>SUM(K129:K131)</f>
        <v>108.6</v>
      </c>
      <c r="L132" s="103">
        <f>K132/F132</f>
        <v>0.33101682516459402</v>
      </c>
      <c r="M132" s="577"/>
      <c r="N132" s="575"/>
    </row>
    <row r="133" spans="1:14" ht="14.1" customHeight="1">
      <c r="A133" s="577">
        <v>10314</v>
      </c>
      <c r="B133" s="577" t="s">
        <v>1178</v>
      </c>
      <c r="C133" s="577" t="s">
        <v>121</v>
      </c>
      <c r="D133" s="577" t="s">
        <v>1093</v>
      </c>
      <c r="E133" s="577" t="s">
        <v>1137</v>
      </c>
      <c r="F133" s="90">
        <f>100*1.0936</f>
        <v>109.35999999999999</v>
      </c>
      <c r="G133" s="577" t="s">
        <v>27</v>
      </c>
      <c r="H133" s="79"/>
      <c r="I133" s="80">
        <v>1.8</v>
      </c>
      <c r="J133" s="81">
        <v>22</v>
      </c>
      <c r="K133" s="81">
        <f t="shared" ref="K133:K135" si="24">I133*J133</f>
        <v>39.6</v>
      </c>
      <c r="L133" s="577"/>
      <c r="M133" s="577"/>
      <c r="N133" s="575"/>
    </row>
    <row r="134" spans="1:14" ht="14.1" customHeight="1">
      <c r="A134" s="577"/>
      <c r="B134" s="577"/>
      <c r="C134" s="577"/>
      <c r="D134" s="577"/>
      <c r="E134" s="577"/>
      <c r="F134" s="87"/>
      <c r="G134" s="578" t="s">
        <v>49</v>
      </c>
      <c r="H134" s="79"/>
      <c r="I134" s="80">
        <v>0.3</v>
      </c>
      <c r="J134" s="81">
        <v>34</v>
      </c>
      <c r="K134" s="81">
        <f t="shared" si="24"/>
        <v>10.199999999999999</v>
      </c>
      <c r="L134" s="577"/>
      <c r="M134" s="577"/>
      <c r="N134" s="575"/>
    </row>
    <row r="135" spans="1:14" ht="14.1" customHeight="1">
      <c r="A135" s="577"/>
      <c r="B135" s="577"/>
      <c r="C135" s="577"/>
      <c r="D135" s="577"/>
      <c r="E135" s="577"/>
      <c r="F135" s="87"/>
      <c r="G135" s="577" t="s">
        <v>19</v>
      </c>
      <c r="H135" s="79"/>
      <c r="I135" s="80">
        <v>0.12</v>
      </c>
      <c r="J135" s="81">
        <v>80</v>
      </c>
      <c r="K135" s="81">
        <f t="shared" si="24"/>
        <v>9.6</v>
      </c>
      <c r="L135" s="577"/>
      <c r="M135" s="577"/>
      <c r="N135" s="575"/>
    </row>
    <row r="136" spans="1:14" ht="14.1" customHeight="1">
      <c r="A136" s="577"/>
      <c r="B136" s="577"/>
      <c r="C136" s="577"/>
      <c r="D136" s="577"/>
      <c r="E136" s="273" t="s">
        <v>9</v>
      </c>
      <c r="F136" s="108">
        <f>SUM(F133:F134)</f>
        <v>109.35999999999999</v>
      </c>
      <c r="G136" s="273"/>
      <c r="H136" s="273"/>
      <c r="I136" s="80"/>
      <c r="J136" s="81"/>
      <c r="K136" s="103">
        <f>SUM(K133:K135)</f>
        <v>59.4</v>
      </c>
      <c r="L136" s="103">
        <f>K136/F136</f>
        <v>0.5431602048280908</v>
      </c>
      <c r="M136" s="577"/>
      <c r="N136" s="575"/>
    </row>
    <row r="137" spans="1:14" ht="14.1" customHeight="1">
      <c r="A137" s="577">
        <v>10315</v>
      </c>
      <c r="B137" s="577" t="s">
        <v>1158</v>
      </c>
      <c r="C137" s="577" t="s">
        <v>1159</v>
      </c>
      <c r="D137" s="577" t="s">
        <v>74</v>
      </c>
      <c r="E137" s="577" t="s">
        <v>1160</v>
      </c>
      <c r="F137" s="90">
        <f>50*1.0936</f>
        <v>54.679999999999993</v>
      </c>
      <c r="G137" s="577" t="s">
        <v>27</v>
      </c>
      <c r="H137" s="79"/>
      <c r="I137" s="80">
        <v>13</v>
      </c>
      <c r="J137" s="81">
        <v>22</v>
      </c>
      <c r="K137" s="81">
        <f t="shared" ref="K137:K139" si="25">I137*J137</f>
        <v>286</v>
      </c>
      <c r="L137" s="577"/>
      <c r="M137" s="577"/>
      <c r="N137" s="575"/>
    </row>
    <row r="138" spans="1:14" ht="14.1" customHeight="1">
      <c r="A138" s="577"/>
      <c r="B138" s="577"/>
      <c r="C138" s="577"/>
      <c r="D138" s="577"/>
      <c r="E138" s="577"/>
      <c r="F138" s="87"/>
      <c r="G138" s="578" t="s">
        <v>49</v>
      </c>
      <c r="H138" s="79"/>
      <c r="I138" s="80">
        <v>1</v>
      </c>
      <c r="J138" s="81">
        <v>34</v>
      </c>
      <c r="K138" s="81">
        <f t="shared" si="25"/>
        <v>34</v>
      </c>
      <c r="L138" s="577"/>
      <c r="M138" s="577"/>
      <c r="N138" s="575"/>
    </row>
    <row r="139" spans="1:14" ht="14.1" customHeight="1">
      <c r="A139" s="577"/>
      <c r="B139" s="577"/>
      <c r="C139" s="577"/>
      <c r="D139" s="577"/>
      <c r="E139" s="577"/>
      <c r="F139" s="87"/>
      <c r="G139" s="577" t="s">
        <v>19</v>
      </c>
      <c r="H139" s="79"/>
      <c r="I139" s="80">
        <v>0.3</v>
      </c>
      <c r="J139" s="81">
        <v>80</v>
      </c>
      <c r="K139" s="81">
        <f t="shared" si="25"/>
        <v>24</v>
      </c>
      <c r="L139" s="577"/>
      <c r="M139" s="577"/>
      <c r="N139" s="575"/>
    </row>
    <row r="140" spans="1:14" ht="14.1" customHeight="1">
      <c r="A140" s="577"/>
      <c r="B140" s="577"/>
      <c r="C140" s="577"/>
      <c r="D140" s="577"/>
      <c r="E140" s="273" t="s">
        <v>9</v>
      </c>
      <c r="F140" s="108">
        <f>SUM(F137:F138)</f>
        <v>54.679999999999993</v>
      </c>
      <c r="G140" s="273"/>
      <c r="H140" s="273"/>
      <c r="I140" s="80"/>
      <c r="J140" s="81"/>
      <c r="K140" s="103">
        <f>SUM(K137:K139)</f>
        <v>344</v>
      </c>
      <c r="L140" s="103">
        <f>K140/F140</f>
        <v>6.2911485003657655</v>
      </c>
      <c r="M140" s="577"/>
      <c r="N140" s="575"/>
    </row>
    <row r="141" spans="1:14" ht="14.1" customHeight="1">
      <c r="A141" s="577">
        <v>10315</v>
      </c>
      <c r="B141" s="577" t="s">
        <v>1173</v>
      </c>
      <c r="C141" s="577" t="s">
        <v>882</v>
      </c>
      <c r="D141" s="577" t="s">
        <v>961</v>
      </c>
      <c r="E141" s="577" t="s">
        <v>1171</v>
      </c>
      <c r="F141" s="90">
        <f>650*1.0936</f>
        <v>710.83999999999992</v>
      </c>
      <c r="G141" s="577" t="s">
        <v>27</v>
      </c>
      <c r="H141" s="79"/>
      <c r="I141" s="80">
        <v>20</v>
      </c>
      <c r="J141" s="81">
        <v>22</v>
      </c>
      <c r="K141" s="81">
        <f t="shared" ref="K141:K143" si="26">I141*J141</f>
        <v>440</v>
      </c>
      <c r="L141" s="577"/>
      <c r="M141" s="577"/>
      <c r="N141" s="575"/>
    </row>
    <row r="142" spans="1:14" ht="14.1" customHeight="1">
      <c r="A142" s="577"/>
      <c r="B142" s="577"/>
      <c r="C142" s="577"/>
      <c r="D142" s="577"/>
      <c r="E142" s="577"/>
      <c r="F142" s="87"/>
      <c r="G142" s="578" t="s">
        <v>49</v>
      </c>
      <c r="H142" s="79"/>
      <c r="I142" s="80">
        <v>3</v>
      </c>
      <c r="J142" s="81">
        <v>34</v>
      </c>
      <c r="K142" s="81">
        <f t="shared" si="26"/>
        <v>102</v>
      </c>
      <c r="L142" s="577"/>
      <c r="M142" s="577"/>
      <c r="N142" s="575"/>
    </row>
    <row r="143" spans="1:14" ht="14.1" customHeight="1">
      <c r="A143" s="577"/>
      <c r="B143" s="577"/>
      <c r="C143" s="577"/>
      <c r="D143" s="577"/>
      <c r="E143" s="577"/>
      <c r="F143" s="87"/>
      <c r="G143" s="577" t="s">
        <v>19</v>
      </c>
      <c r="H143" s="79"/>
      <c r="I143" s="80">
        <v>1</v>
      </c>
      <c r="J143" s="81">
        <v>80</v>
      </c>
      <c r="K143" s="81">
        <f t="shared" si="26"/>
        <v>80</v>
      </c>
      <c r="L143" s="577"/>
      <c r="M143" s="577"/>
      <c r="N143" s="575"/>
    </row>
    <row r="144" spans="1:14" ht="14.1" customHeight="1">
      <c r="A144" s="577"/>
      <c r="B144" s="577"/>
      <c r="C144" s="577"/>
      <c r="D144" s="577"/>
      <c r="E144" s="273" t="s">
        <v>9</v>
      </c>
      <c r="F144" s="108">
        <f>SUM(F141:F142)</f>
        <v>710.83999999999992</v>
      </c>
      <c r="G144" s="273"/>
      <c r="H144" s="273"/>
      <c r="I144" s="80"/>
      <c r="J144" s="81"/>
      <c r="K144" s="103">
        <f>SUM(K141:K143)</f>
        <v>622</v>
      </c>
      <c r="L144" s="103">
        <f>K144/F144</f>
        <v>0.87502110179505943</v>
      </c>
      <c r="M144" s="577"/>
      <c r="N144" s="575"/>
    </row>
    <row r="145" spans="1:14" ht="14.1" customHeight="1">
      <c r="A145" s="577">
        <v>10314</v>
      </c>
      <c r="B145" s="577" t="s">
        <v>1156</v>
      </c>
      <c r="C145" s="89" t="s">
        <v>1026</v>
      </c>
      <c r="D145" s="89" t="s">
        <v>1176</v>
      </c>
      <c r="E145" s="577" t="s">
        <v>127</v>
      </c>
      <c r="F145" s="99">
        <f>1300*1.0936</f>
        <v>1421.6799999999998</v>
      </c>
      <c r="G145" s="577" t="s">
        <v>27</v>
      </c>
      <c r="H145" s="79"/>
      <c r="I145" s="80">
        <v>45</v>
      </c>
      <c r="J145" s="81">
        <v>22</v>
      </c>
      <c r="K145" s="81">
        <f t="shared" ref="K145:K147" si="27">I145*J145</f>
        <v>990</v>
      </c>
      <c r="L145" s="577"/>
      <c r="M145" s="577"/>
      <c r="N145" s="575"/>
    </row>
    <row r="146" spans="1:14" ht="14.1" customHeight="1">
      <c r="A146" s="577"/>
      <c r="B146" s="577"/>
      <c r="C146" s="577"/>
      <c r="D146" s="577"/>
      <c r="E146" s="577"/>
      <c r="F146" s="87"/>
      <c r="G146" s="578" t="s">
        <v>49</v>
      </c>
      <c r="H146" s="79"/>
      <c r="I146" s="80">
        <v>6</v>
      </c>
      <c r="J146" s="81">
        <v>34</v>
      </c>
      <c r="K146" s="81">
        <f t="shared" si="27"/>
        <v>204</v>
      </c>
      <c r="L146" s="577"/>
      <c r="M146" s="577"/>
      <c r="N146" s="575"/>
    </row>
    <row r="147" spans="1:14" ht="14.1" customHeight="1">
      <c r="A147" s="577"/>
      <c r="B147" s="577"/>
      <c r="C147" s="577"/>
      <c r="D147" s="577"/>
      <c r="E147" s="577"/>
      <c r="F147" s="87"/>
      <c r="G147" s="577" t="s">
        <v>19</v>
      </c>
      <c r="H147" s="79"/>
      <c r="I147" s="80">
        <v>1.8</v>
      </c>
      <c r="J147" s="81">
        <v>80</v>
      </c>
      <c r="K147" s="81">
        <f t="shared" si="27"/>
        <v>144</v>
      </c>
      <c r="L147" s="577"/>
      <c r="M147" s="577"/>
      <c r="N147" s="575"/>
    </row>
    <row r="148" spans="1:14" ht="14.1" customHeight="1">
      <c r="A148" s="577"/>
      <c r="B148" s="577"/>
      <c r="C148" s="577"/>
      <c r="D148" s="577"/>
      <c r="E148" s="273" t="s">
        <v>9</v>
      </c>
      <c r="F148" s="108">
        <f>SUM(F145:F146)</f>
        <v>1421.6799999999998</v>
      </c>
      <c r="G148" s="273"/>
      <c r="H148" s="273"/>
      <c r="I148" s="80"/>
      <c r="J148" s="81"/>
      <c r="K148" s="103">
        <f>SUM(K145:K147)</f>
        <v>1338</v>
      </c>
      <c r="L148" s="103">
        <f>K148/F148</f>
        <v>0.94114005964774083</v>
      </c>
      <c r="M148" s="577"/>
      <c r="N148" s="575"/>
    </row>
    <row r="149" spans="1:14" ht="14.1" customHeight="1">
      <c r="A149" s="577">
        <v>10314</v>
      </c>
      <c r="B149" s="577" t="s">
        <v>1156</v>
      </c>
      <c r="C149" s="89" t="s">
        <v>1026</v>
      </c>
      <c r="D149" s="89" t="s">
        <v>1176</v>
      </c>
      <c r="E149" s="577" t="s">
        <v>127</v>
      </c>
      <c r="F149" s="99">
        <f>3700*1.0936</f>
        <v>4046.3199999999997</v>
      </c>
      <c r="G149" s="577" t="s">
        <v>27</v>
      </c>
      <c r="H149" s="79"/>
      <c r="I149" s="80">
        <v>120</v>
      </c>
      <c r="J149" s="81">
        <v>22</v>
      </c>
      <c r="K149" s="81">
        <f t="shared" ref="K149:K151" si="28">I149*J149</f>
        <v>2640</v>
      </c>
      <c r="L149" s="577"/>
      <c r="M149" s="577"/>
      <c r="N149" s="575"/>
    </row>
    <row r="150" spans="1:14" ht="14.1" customHeight="1">
      <c r="A150" s="577"/>
      <c r="B150" s="577"/>
      <c r="C150" s="577"/>
      <c r="D150" s="577"/>
      <c r="E150" s="577"/>
      <c r="F150" s="87"/>
      <c r="G150" s="578" t="s">
        <v>49</v>
      </c>
      <c r="H150" s="79"/>
      <c r="I150" s="80">
        <v>16</v>
      </c>
      <c r="J150" s="81">
        <v>34</v>
      </c>
      <c r="K150" s="81">
        <f t="shared" si="28"/>
        <v>544</v>
      </c>
      <c r="L150" s="577"/>
      <c r="M150" s="577"/>
      <c r="N150" s="575"/>
    </row>
    <row r="151" spans="1:14" ht="14.1" customHeight="1">
      <c r="A151" s="577"/>
      <c r="B151" s="577"/>
      <c r="C151" s="577"/>
      <c r="D151" s="577"/>
      <c r="E151" s="577"/>
      <c r="F151" s="87"/>
      <c r="G151" s="577" t="s">
        <v>19</v>
      </c>
      <c r="H151" s="79"/>
      <c r="I151" s="80">
        <v>4.8</v>
      </c>
      <c r="J151" s="81">
        <v>80</v>
      </c>
      <c r="K151" s="81">
        <f t="shared" si="28"/>
        <v>384</v>
      </c>
      <c r="L151" s="577"/>
      <c r="M151" s="577"/>
      <c r="N151" s="575"/>
    </row>
    <row r="152" spans="1:14" ht="14.1" customHeight="1">
      <c r="A152" s="577"/>
      <c r="B152" s="577"/>
      <c r="C152" s="577"/>
      <c r="D152" s="577"/>
      <c r="E152" s="273" t="s">
        <v>9</v>
      </c>
      <c r="F152" s="108">
        <f>SUM(F149:F151)</f>
        <v>4046.3199999999997</v>
      </c>
      <c r="G152" s="273"/>
      <c r="H152" s="273"/>
      <c r="I152" s="80"/>
      <c r="J152" s="81"/>
      <c r="K152" s="103">
        <f>SUM(K149:K151)</f>
        <v>3568</v>
      </c>
      <c r="L152" s="103">
        <f>K152/F152</f>
        <v>0.88178888471500039</v>
      </c>
      <c r="M152" s="577"/>
      <c r="N152" s="575"/>
    </row>
    <row r="153" spans="1:14" ht="14.1" customHeight="1">
      <c r="A153" s="257"/>
      <c r="B153" s="257"/>
      <c r="C153" s="257"/>
      <c r="D153" s="133" t="s">
        <v>30</v>
      </c>
      <c r="E153" s="186"/>
      <c r="F153" s="134">
        <f>F112+F116+F120+F124+F128+F132+F136+F140+F144+F148+F152</f>
        <v>22364.12</v>
      </c>
      <c r="G153" s="135"/>
      <c r="H153" s="135"/>
      <c r="I153" s="135"/>
      <c r="J153" s="135"/>
      <c r="K153" s="134">
        <f>K112+K116+K120+K124+K128+K132+K136+K140+K144+K148+K152</f>
        <v>20090</v>
      </c>
      <c r="L153" s="151">
        <f>K153/F153</f>
        <v>0.89831390638218722</v>
      </c>
      <c r="M153" s="137"/>
      <c r="N153" s="107"/>
    </row>
    <row r="154" spans="1:14" ht="14.1" customHeight="1">
      <c r="A154" s="106" t="s">
        <v>11</v>
      </c>
      <c r="B154" s="106"/>
      <c r="C154" s="106"/>
      <c r="D154" s="106"/>
      <c r="E154" s="106"/>
      <c r="F154" s="107"/>
      <c r="G154" s="107"/>
      <c r="H154" s="107"/>
      <c r="I154" s="107"/>
      <c r="J154" s="107"/>
      <c r="K154" s="867" t="s">
        <v>1166</v>
      </c>
      <c r="L154" s="867"/>
      <c r="M154" s="867"/>
      <c r="N154" s="107"/>
    </row>
    <row r="155" spans="1:14" ht="14.1" customHeight="1">
      <c r="A155" s="258" t="s">
        <v>0</v>
      </c>
      <c r="B155" s="258" t="s">
        <v>7</v>
      </c>
      <c r="C155" s="258" t="s">
        <v>13</v>
      </c>
      <c r="D155" s="258" t="s">
        <v>14</v>
      </c>
      <c r="E155" s="258" t="s">
        <v>8</v>
      </c>
      <c r="F155" s="258" t="s">
        <v>1</v>
      </c>
      <c r="G155" s="258" t="s">
        <v>2</v>
      </c>
      <c r="H155" s="258" t="s">
        <v>15</v>
      </c>
      <c r="I155" s="258" t="s">
        <v>3</v>
      </c>
      <c r="J155" s="258" t="s">
        <v>4</v>
      </c>
      <c r="K155" s="258" t="s">
        <v>5</v>
      </c>
      <c r="L155" s="258" t="s">
        <v>12</v>
      </c>
      <c r="M155" s="258" t="s">
        <v>6</v>
      </c>
      <c r="N155" s="246"/>
    </row>
    <row r="156" spans="1:14" ht="14.1" customHeight="1">
      <c r="A156" s="120">
        <v>9985</v>
      </c>
      <c r="B156" s="577" t="s">
        <v>947</v>
      </c>
      <c r="C156" s="89" t="s">
        <v>700</v>
      </c>
      <c r="D156" s="89" t="s">
        <v>297</v>
      </c>
      <c r="E156" s="577" t="s">
        <v>1179</v>
      </c>
      <c r="F156" s="222">
        <f>4400*1.0936</f>
        <v>4811.8399999999992</v>
      </c>
      <c r="G156" s="173" t="s">
        <v>298</v>
      </c>
      <c r="H156" s="79"/>
      <c r="I156" s="80">
        <v>2.4</v>
      </c>
      <c r="J156" s="81">
        <v>435</v>
      </c>
      <c r="K156" s="94">
        <f t="shared" ref="K156:K157" si="29">I156*J156</f>
        <v>1044</v>
      </c>
      <c r="L156" s="79"/>
      <c r="M156" s="79"/>
      <c r="N156" s="107"/>
    </row>
    <row r="157" spans="1:14" ht="14.1" customHeight="1">
      <c r="A157" s="120"/>
      <c r="B157" s="120"/>
      <c r="C157" s="120"/>
      <c r="D157" s="120"/>
      <c r="E157" s="85"/>
      <c r="F157" s="120"/>
      <c r="G157" s="578" t="s">
        <v>206</v>
      </c>
      <c r="H157" s="79"/>
      <c r="I157" s="81">
        <v>2.4</v>
      </c>
      <c r="J157" s="81">
        <v>375</v>
      </c>
      <c r="K157" s="81">
        <f t="shared" si="29"/>
        <v>900</v>
      </c>
      <c r="L157" s="79"/>
      <c r="M157" s="79"/>
      <c r="N157" s="107"/>
    </row>
    <row r="158" spans="1:14" ht="14.1" customHeight="1">
      <c r="A158" s="577"/>
      <c r="B158" s="577"/>
      <c r="C158" s="577"/>
      <c r="D158" s="577"/>
      <c r="E158" s="579"/>
      <c r="F158" s="577"/>
      <c r="G158" s="578" t="s">
        <v>798</v>
      </c>
      <c r="H158" s="79"/>
      <c r="I158" s="81">
        <v>2.4</v>
      </c>
      <c r="J158" s="81">
        <v>248</v>
      </c>
      <c r="K158" s="81">
        <f>I158*J158</f>
        <v>595.19999999999993</v>
      </c>
      <c r="L158" s="79"/>
      <c r="M158" s="79"/>
      <c r="N158" s="107"/>
    </row>
    <row r="159" spans="1:14" ht="14.1" customHeight="1">
      <c r="A159" s="577"/>
      <c r="B159" s="577"/>
      <c r="C159" s="577"/>
      <c r="D159" s="577"/>
      <c r="E159" s="579"/>
      <c r="F159" s="577"/>
      <c r="G159" s="173" t="s">
        <v>799</v>
      </c>
      <c r="H159" s="79"/>
      <c r="I159" s="188">
        <v>15</v>
      </c>
      <c r="J159" s="81">
        <v>350</v>
      </c>
      <c r="K159" s="94">
        <f t="shared" ref="K159" si="30">I159*J159</f>
        <v>5250</v>
      </c>
      <c r="L159" s="79"/>
      <c r="M159" s="79"/>
      <c r="N159" s="107"/>
    </row>
    <row r="160" spans="1:14" ht="14.1" customHeight="1">
      <c r="A160" s="120"/>
      <c r="B160" s="120"/>
      <c r="C160" s="120"/>
      <c r="D160" s="120"/>
      <c r="E160" s="258" t="s">
        <v>9</v>
      </c>
      <c r="F160" s="108">
        <f>SUM(F156:F159)</f>
        <v>4811.8399999999992</v>
      </c>
      <c r="G160" s="258"/>
      <c r="H160" s="258"/>
      <c r="I160" s="81"/>
      <c r="J160" s="81"/>
      <c r="K160" s="103">
        <f>SUM(K156:K159)</f>
        <v>7789.2</v>
      </c>
      <c r="L160" s="103">
        <f>K160/F160</f>
        <v>1.6187570659041035</v>
      </c>
      <c r="M160" s="79"/>
      <c r="N160" s="107"/>
    </row>
    <row r="161" spans="1:14" ht="14.1" customHeight="1">
      <c r="A161" s="120">
        <v>9986</v>
      </c>
      <c r="B161" s="577" t="s">
        <v>1105</v>
      </c>
      <c r="C161" s="577" t="s">
        <v>792</v>
      </c>
      <c r="D161" s="577" t="s">
        <v>999</v>
      </c>
      <c r="E161" s="577" t="s">
        <v>1048</v>
      </c>
      <c r="F161" s="90">
        <f>6030*1.0936</f>
        <v>6594.4079999999994</v>
      </c>
      <c r="G161" s="173" t="s">
        <v>298</v>
      </c>
      <c r="H161" s="79"/>
      <c r="I161" s="80">
        <v>3</v>
      </c>
      <c r="J161" s="81">
        <v>435</v>
      </c>
      <c r="K161" s="94">
        <f t="shared" ref="K161:K164" si="31">I161*J161</f>
        <v>1305</v>
      </c>
      <c r="L161" s="79"/>
      <c r="M161" s="79"/>
      <c r="N161" s="107"/>
    </row>
    <row r="162" spans="1:14" ht="14.1" customHeight="1">
      <c r="A162" s="120"/>
      <c r="B162" s="120"/>
      <c r="C162" s="120"/>
      <c r="D162" s="120"/>
      <c r="E162" s="120"/>
      <c r="F162" s="120"/>
      <c r="G162" s="173" t="s">
        <v>799</v>
      </c>
      <c r="H162" s="79"/>
      <c r="I162" s="188">
        <f>15+10</f>
        <v>25</v>
      </c>
      <c r="J162" s="81">
        <v>350</v>
      </c>
      <c r="K162" s="94">
        <f t="shared" si="31"/>
        <v>8750</v>
      </c>
      <c r="L162" s="79"/>
      <c r="M162" s="79"/>
      <c r="N162" s="107"/>
    </row>
    <row r="163" spans="1:14" ht="14.1" customHeight="1">
      <c r="A163" s="120"/>
      <c r="B163" s="120"/>
      <c r="C163" s="120"/>
      <c r="D163" s="120"/>
      <c r="E163" s="120"/>
      <c r="F163" s="87"/>
      <c r="G163" s="95" t="s">
        <v>204</v>
      </c>
      <c r="H163" s="79"/>
      <c r="I163" s="81">
        <v>3</v>
      </c>
      <c r="J163" s="81">
        <v>375</v>
      </c>
      <c r="K163" s="81">
        <f t="shared" si="31"/>
        <v>1125</v>
      </c>
      <c r="L163" s="79"/>
      <c r="M163" s="79"/>
      <c r="N163" s="107"/>
    </row>
    <row r="164" spans="1:14" ht="14.1" customHeight="1">
      <c r="A164" s="577"/>
      <c r="B164" s="577"/>
      <c r="C164" s="577"/>
      <c r="D164" s="577"/>
      <c r="E164" s="577"/>
      <c r="F164" s="87"/>
      <c r="G164" s="578" t="s">
        <v>206</v>
      </c>
      <c r="H164" s="79"/>
      <c r="I164" s="81">
        <v>20</v>
      </c>
      <c r="J164" s="81">
        <v>375</v>
      </c>
      <c r="K164" s="81">
        <f t="shared" si="31"/>
        <v>7500</v>
      </c>
      <c r="L164" s="79"/>
      <c r="M164" s="79"/>
      <c r="N164" s="107"/>
    </row>
    <row r="165" spans="1:14" ht="14.1" customHeight="1">
      <c r="A165" s="577"/>
      <c r="B165" s="577"/>
      <c r="C165" s="577"/>
      <c r="D165" s="577"/>
      <c r="E165" s="577"/>
      <c r="F165" s="87"/>
      <c r="G165" s="578" t="s">
        <v>798</v>
      </c>
      <c r="H165" s="79"/>
      <c r="I165" s="81">
        <v>3</v>
      </c>
      <c r="J165" s="81">
        <v>248</v>
      </c>
      <c r="K165" s="81">
        <f>I165*J165</f>
        <v>744</v>
      </c>
      <c r="L165" s="79"/>
      <c r="M165" s="79"/>
      <c r="N165" s="107"/>
    </row>
    <row r="166" spans="1:14" ht="14.1" customHeight="1">
      <c r="A166" s="120"/>
      <c r="B166" s="120"/>
      <c r="C166" s="120"/>
      <c r="D166" s="120"/>
      <c r="E166" s="258" t="s">
        <v>9</v>
      </c>
      <c r="F166" s="108">
        <f>SUM(F161:F165)</f>
        <v>6594.4079999999994</v>
      </c>
      <c r="G166" s="258"/>
      <c r="H166" s="258"/>
      <c r="I166" s="81"/>
      <c r="J166" s="81"/>
      <c r="K166" s="103">
        <f>SUM(K161:K165)</f>
        <v>19424</v>
      </c>
      <c r="L166" s="103">
        <f>K166/F166</f>
        <v>2.9455259668494884</v>
      </c>
      <c r="M166" s="79"/>
      <c r="N166" s="107"/>
    </row>
    <row r="167" spans="1:14" ht="14.1" customHeight="1">
      <c r="A167" s="120">
        <v>9984</v>
      </c>
      <c r="B167" s="577" t="s">
        <v>1014</v>
      </c>
      <c r="C167" s="577" t="s">
        <v>792</v>
      </c>
      <c r="D167" s="577" t="s">
        <v>1016</v>
      </c>
      <c r="E167" s="577" t="s">
        <v>93</v>
      </c>
      <c r="F167" s="90">
        <f>7500*1.0936</f>
        <v>8202</v>
      </c>
      <c r="G167" s="173" t="s">
        <v>298</v>
      </c>
      <c r="H167" s="79"/>
      <c r="I167" s="80">
        <f>1.2+4</f>
        <v>5.2</v>
      </c>
      <c r="J167" s="81">
        <v>435</v>
      </c>
      <c r="K167" s="94">
        <f t="shared" ref="K167:K169" si="32">I167*J167</f>
        <v>2262</v>
      </c>
      <c r="L167" s="79"/>
      <c r="M167" s="79"/>
      <c r="N167" s="107"/>
    </row>
    <row r="168" spans="1:14" ht="14.1" customHeight="1">
      <c r="A168" s="120"/>
      <c r="B168" s="120"/>
      <c r="C168" s="120"/>
      <c r="D168" s="120"/>
      <c r="E168" s="120"/>
      <c r="F168" s="87"/>
      <c r="G168" s="173" t="s">
        <v>1180</v>
      </c>
      <c r="H168" s="79"/>
      <c r="I168" s="188">
        <f>4+20</f>
        <v>24</v>
      </c>
      <c r="J168" s="81">
        <v>480</v>
      </c>
      <c r="K168" s="94">
        <f t="shared" si="32"/>
        <v>11520</v>
      </c>
      <c r="L168" s="79"/>
      <c r="M168" s="79"/>
      <c r="N168" s="107"/>
    </row>
    <row r="169" spans="1:14" ht="14.1" customHeight="1">
      <c r="A169" s="577"/>
      <c r="B169" s="577"/>
      <c r="C169" s="577"/>
      <c r="D169" s="577"/>
      <c r="E169" s="577"/>
      <c r="F169" s="87"/>
      <c r="G169" s="95" t="s">
        <v>204</v>
      </c>
      <c r="H169" s="79"/>
      <c r="I169" s="81">
        <f>1.2</f>
        <v>1.2</v>
      </c>
      <c r="J169" s="81">
        <v>375</v>
      </c>
      <c r="K169" s="81">
        <f t="shared" si="32"/>
        <v>450</v>
      </c>
      <c r="L169" s="79"/>
      <c r="M169" s="79"/>
      <c r="N169" s="107"/>
    </row>
    <row r="170" spans="1:14" ht="14.1" customHeight="1">
      <c r="A170" s="577"/>
      <c r="B170" s="577"/>
      <c r="C170" s="577"/>
      <c r="D170" s="577"/>
      <c r="E170" s="577"/>
      <c r="F170" s="87"/>
      <c r="G170" s="578" t="s">
        <v>798</v>
      </c>
      <c r="H170" s="79"/>
      <c r="I170" s="81">
        <f>4+4</f>
        <v>8</v>
      </c>
      <c r="J170" s="81">
        <v>248</v>
      </c>
      <c r="K170" s="81">
        <f>I170*J170</f>
        <v>1984</v>
      </c>
      <c r="L170" s="79"/>
      <c r="M170" s="79"/>
      <c r="N170" s="107"/>
    </row>
    <row r="171" spans="1:14" ht="14.1" customHeight="1">
      <c r="A171" s="577"/>
      <c r="B171" s="577"/>
      <c r="C171" s="577"/>
      <c r="D171" s="577"/>
      <c r="E171" s="273" t="s">
        <v>9</v>
      </c>
      <c r="F171" s="108">
        <f>SUM(F167:F170)</f>
        <v>8202</v>
      </c>
      <c r="G171" s="273"/>
      <c r="H171" s="273"/>
      <c r="I171" s="81"/>
      <c r="J171" s="81"/>
      <c r="K171" s="103">
        <f>SUM(K167:K170)</f>
        <v>16216</v>
      </c>
      <c r="L171" s="103">
        <f>K171/F171</f>
        <v>1.9770787612777372</v>
      </c>
      <c r="M171" s="79"/>
      <c r="N171" s="107"/>
    </row>
    <row r="172" spans="1:14" ht="14.1" customHeight="1">
      <c r="A172" s="577">
        <v>9980</v>
      </c>
      <c r="B172" s="577" t="s">
        <v>1041</v>
      </c>
      <c r="C172" s="89" t="s">
        <v>766</v>
      </c>
      <c r="D172" s="89" t="s">
        <v>465</v>
      </c>
      <c r="E172" s="577" t="s">
        <v>1155</v>
      </c>
      <c r="F172" s="87">
        <f>3580*1.0936</f>
        <v>3915.0879999999997</v>
      </c>
      <c r="G172" s="173" t="s">
        <v>298</v>
      </c>
      <c r="H172" s="79"/>
      <c r="I172" s="80">
        <v>2</v>
      </c>
      <c r="J172" s="81">
        <v>435</v>
      </c>
      <c r="K172" s="94">
        <f t="shared" ref="K172:K174" si="33">I172*J172</f>
        <v>870</v>
      </c>
      <c r="L172" s="79"/>
      <c r="M172" s="79"/>
      <c r="N172" s="107"/>
    </row>
    <row r="173" spans="1:14" ht="14.1" customHeight="1">
      <c r="A173" s="577"/>
      <c r="B173" s="577"/>
      <c r="C173" s="577"/>
      <c r="D173" s="577"/>
      <c r="E173" s="577"/>
      <c r="F173" s="87"/>
      <c r="G173" s="173" t="s">
        <v>799</v>
      </c>
      <c r="H173" s="79"/>
      <c r="I173" s="188">
        <v>5</v>
      </c>
      <c r="J173" s="81">
        <v>350</v>
      </c>
      <c r="K173" s="94">
        <f t="shared" si="33"/>
        <v>1750</v>
      </c>
      <c r="L173" s="79"/>
      <c r="M173" s="79"/>
      <c r="N173" s="107"/>
    </row>
    <row r="174" spans="1:14" ht="14.1" customHeight="1">
      <c r="A174" s="577"/>
      <c r="B174" s="577"/>
      <c r="C174" s="577"/>
      <c r="D174" s="577"/>
      <c r="E174" s="577"/>
      <c r="F174" s="87"/>
      <c r="G174" s="578" t="s">
        <v>206</v>
      </c>
      <c r="H174" s="79"/>
      <c r="I174" s="81">
        <v>3</v>
      </c>
      <c r="J174" s="81">
        <v>375</v>
      </c>
      <c r="K174" s="81">
        <f t="shared" si="33"/>
        <v>1125</v>
      </c>
      <c r="L174" s="79"/>
      <c r="M174" s="79"/>
      <c r="N174" s="107"/>
    </row>
    <row r="175" spans="1:14" ht="14.1" customHeight="1">
      <c r="A175" s="577"/>
      <c r="B175" s="577"/>
      <c r="C175" s="577"/>
      <c r="D175" s="577"/>
      <c r="E175" s="577"/>
      <c r="F175" s="87"/>
      <c r="G175" s="578" t="s">
        <v>798</v>
      </c>
      <c r="H175" s="79"/>
      <c r="I175" s="81">
        <v>3</v>
      </c>
      <c r="J175" s="81">
        <v>248</v>
      </c>
      <c r="K175" s="81">
        <f>I175*J175</f>
        <v>744</v>
      </c>
      <c r="L175" s="79"/>
      <c r="M175" s="79"/>
      <c r="N175" s="107"/>
    </row>
    <row r="176" spans="1:14" ht="14.1" customHeight="1">
      <c r="A176" s="577"/>
      <c r="B176" s="577"/>
      <c r="C176" s="577"/>
      <c r="D176" s="577"/>
      <c r="E176" s="273" t="s">
        <v>9</v>
      </c>
      <c r="F176" s="108">
        <f>SUM(F172:F175)</f>
        <v>3915.0879999999997</v>
      </c>
      <c r="G176" s="273"/>
      <c r="H176" s="273"/>
      <c r="I176" s="81"/>
      <c r="J176" s="81"/>
      <c r="K176" s="103">
        <f>SUM(K172:K175)</f>
        <v>4489</v>
      </c>
      <c r="L176" s="103">
        <f>K176/F176</f>
        <v>1.1465898084538586</v>
      </c>
      <c r="M176" s="79"/>
      <c r="N176" s="107"/>
    </row>
    <row r="177" spans="1:14" ht="14.1" customHeight="1">
      <c r="A177" s="577">
        <v>9982</v>
      </c>
      <c r="B177" s="577" t="s">
        <v>767</v>
      </c>
      <c r="C177" s="89" t="s">
        <v>766</v>
      </c>
      <c r="D177" s="89" t="s">
        <v>465</v>
      </c>
      <c r="E177" s="577" t="s">
        <v>102</v>
      </c>
      <c r="F177" s="87">
        <f>5520*1.0936</f>
        <v>6036.6719999999996</v>
      </c>
      <c r="G177" s="173" t="s">
        <v>799</v>
      </c>
      <c r="H177" s="79"/>
      <c r="I177" s="188">
        <v>20</v>
      </c>
      <c r="J177" s="81">
        <v>350</v>
      </c>
      <c r="K177" s="94">
        <f t="shared" ref="K177:K178" si="34">I177*J177</f>
        <v>7000</v>
      </c>
      <c r="L177" s="79"/>
      <c r="M177" s="79"/>
      <c r="N177" s="107"/>
    </row>
    <row r="178" spans="1:14" ht="14.1" customHeight="1">
      <c r="A178" s="577"/>
      <c r="B178" s="577"/>
      <c r="C178" s="577"/>
      <c r="D178" s="577"/>
      <c r="E178" s="577"/>
      <c r="F178" s="87"/>
      <c r="G178" s="578" t="s">
        <v>206</v>
      </c>
      <c r="H178" s="79"/>
      <c r="I178" s="81">
        <v>4</v>
      </c>
      <c r="J178" s="81">
        <v>375</v>
      </c>
      <c r="K178" s="81">
        <f t="shared" si="34"/>
        <v>1500</v>
      </c>
      <c r="L178" s="79"/>
      <c r="M178" s="79"/>
      <c r="N178" s="107"/>
    </row>
    <row r="179" spans="1:14" ht="14.1" customHeight="1">
      <c r="A179" s="577"/>
      <c r="B179" s="577"/>
      <c r="C179" s="577"/>
      <c r="D179" s="577"/>
      <c r="E179" s="577"/>
      <c r="F179" s="87"/>
      <c r="G179" s="578" t="s">
        <v>798</v>
      </c>
      <c r="H179" s="79"/>
      <c r="I179" s="81">
        <v>3</v>
      </c>
      <c r="J179" s="81">
        <v>248</v>
      </c>
      <c r="K179" s="81">
        <f>I179*J179</f>
        <v>744</v>
      </c>
      <c r="L179" s="79"/>
      <c r="M179" s="79"/>
      <c r="N179" s="107"/>
    </row>
    <row r="180" spans="1:14" ht="14.1" customHeight="1">
      <c r="A180" s="577"/>
      <c r="B180" s="577"/>
      <c r="C180" s="577"/>
      <c r="D180" s="577"/>
      <c r="E180" s="273" t="s">
        <v>9</v>
      </c>
      <c r="F180" s="108">
        <f>SUM(F177:F179)</f>
        <v>6036.6719999999996</v>
      </c>
      <c r="G180" s="273"/>
      <c r="H180" s="273"/>
      <c r="I180" s="81"/>
      <c r="J180" s="81"/>
      <c r="K180" s="103">
        <f>SUM(K177:K179)</f>
        <v>9244</v>
      </c>
      <c r="L180" s="103">
        <f>K180/F180</f>
        <v>1.5313073163491409</v>
      </c>
      <c r="M180" s="79"/>
      <c r="N180" s="107"/>
    </row>
    <row r="181" spans="1:14" ht="14.1" customHeight="1">
      <c r="A181" s="577">
        <v>9979</v>
      </c>
      <c r="B181" s="577" t="s">
        <v>865</v>
      </c>
      <c r="C181" s="89" t="s">
        <v>700</v>
      </c>
      <c r="D181" s="89" t="s">
        <v>297</v>
      </c>
      <c r="E181" s="577" t="s">
        <v>1115</v>
      </c>
      <c r="F181" s="90">
        <f>6270*1.0936</f>
        <v>6856.8719999999994</v>
      </c>
      <c r="G181" s="173" t="s">
        <v>799</v>
      </c>
      <c r="H181" s="79"/>
      <c r="I181" s="188">
        <v>15</v>
      </c>
      <c r="J181" s="81">
        <v>350</v>
      </c>
      <c r="K181" s="94">
        <f t="shared" ref="K181:K183" si="35">I181*J181</f>
        <v>5250</v>
      </c>
      <c r="L181" s="79"/>
      <c r="M181" s="79"/>
      <c r="N181" s="107"/>
    </row>
    <row r="182" spans="1:14" ht="14.1" customHeight="1">
      <c r="A182" s="577"/>
      <c r="B182" s="577"/>
      <c r="C182" s="577"/>
      <c r="D182" s="577"/>
      <c r="E182" s="577"/>
      <c r="F182" s="87"/>
      <c r="G182" s="578" t="s">
        <v>206</v>
      </c>
      <c r="H182" s="79"/>
      <c r="I182" s="81">
        <v>1</v>
      </c>
      <c r="J182" s="81">
        <v>375</v>
      </c>
      <c r="K182" s="81">
        <f t="shared" si="35"/>
        <v>375</v>
      </c>
      <c r="L182" s="79"/>
      <c r="M182" s="79"/>
      <c r="N182" s="107"/>
    </row>
    <row r="183" spans="1:14" ht="14.1" customHeight="1">
      <c r="A183" s="577"/>
      <c r="B183" s="577"/>
      <c r="C183" s="577"/>
      <c r="D183" s="577"/>
      <c r="E183" s="577"/>
      <c r="F183" s="87"/>
      <c r="G183" s="577" t="s">
        <v>202</v>
      </c>
      <c r="H183" s="79"/>
      <c r="I183" s="81">
        <v>1</v>
      </c>
      <c r="J183" s="81">
        <v>386</v>
      </c>
      <c r="K183" s="81">
        <f t="shared" si="35"/>
        <v>386</v>
      </c>
      <c r="L183" s="79"/>
      <c r="M183" s="79"/>
      <c r="N183" s="107"/>
    </row>
    <row r="184" spans="1:14" ht="14.1" customHeight="1">
      <c r="A184" s="577"/>
      <c r="B184" s="577"/>
      <c r="C184" s="577"/>
      <c r="D184" s="577"/>
      <c r="E184" s="577"/>
      <c r="F184" s="87"/>
      <c r="G184" s="173" t="s">
        <v>298</v>
      </c>
      <c r="H184" s="79"/>
      <c r="I184" s="80">
        <v>10</v>
      </c>
      <c r="J184" s="81">
        <v>435</v>
      </c>
      <c r="K184" s="94">
        <f t="shared" ref="K184" si="36">I184*J184</f>
        <v>4350</v>
      </c>
      <c r="L184" s="79"/>
      <c r="M184" s="79"/>
      <c r="N184" s="107"/>
    </row>
    <row r="185" spans="1:14" ht="14.1" customHeight="1">
      <c r="A185" s="120"/>
      <c r="B185" s="120"/>
      <c r="C185" s="120"/>
      <c r="D185" s="120"/>
      <c r="E185" s="258" t="s">
        <v>9</v>
      </c>
      <c r="F185" s="108">
        <f>SUM(F181:F184)</f>
        <v>6856.8719999999994</v>
      </c>
      <c r="G185" s="258"/>
      <c r="H185" s="258"/>
      <c r="I185" s="81"/>
      <c r="J185" s="81"/>
      <c r="K185" s="103">
        <f>SUM(K181:K184)</f>
        <v>10361</v>
      </c>
      <c r="L185" s="103">
        <f>K185/F185</f>
        <v>1.5110388527013485</v>
      </c>
      <c r="M185" s="79"/>
      <c r="N185" s="107"/>
    </row>
    <row r="186" spans="1:14" ht="14.1" customHeight="1">
      <c r="A186" s="107"/>
      <c r="B186" s="107"/>
      <c r="C186" s="107"/>
      <c r="D186" s="133" t="s">
        <v>30</v>
      </c>
      <c r="E186" s="133"/>
      <c r="F186" s="134">
        <f>F160+F166+F171+F176+F180+F185</f>
        <v>36416.879999999997</v>
      </c>
      <c r="G186" s="135"/>
      <c r="H186" s="135"/>
      <c r="I186" s="135"/>
      <c r="J186" s="135"/>
      <c r="K186" s="134">
        <f>K160+K166+K171+K176+K180+K185</f>
        <v>67523.199999999997</v>
      </c>
      <c r="L186" s="151">
        <f>K186/F186</f>
        <v>1.8541731197181088</v>
      </c>
      <c r="M186" s="107"/>
      <c r="N186" s="107"/>
    </row>
    <row r="187" spans="1:14" ht="14.1" customHeight="1">
      <c r="A187" s="106" t="s">
        <v>42</v>
      </c>
      <c r="B187" s="106"/>
      <c r="C187" s="106"/>
      <c r="D187" s="106"/>
      <c r="E187" s="106"/>
      <c r="F187" s="107"/>
      <c r="G187" s="107"/>
      <c r="H187" s="107"/>
      <c r="I187" s="107"/>
      <c r="J187" s="107"/>
      <c r="K187" s="867" t="s">
        <v>1166</v>
      </c>
      <c r="L187" s="867"/>
      <c r="M187" s="867"/>
      <c r="N187" s="107"/>
    </row>
    <row r="188" spans="1:14" ht="14.1" customHeight="1">
      <c r="A188" s="258" t="s">
        <v>0</v>
      </c>
      <c r="B188" s="258" t="s">
        <v>7</v>
      </c>
      <c r="C188" s="258" t="s">
        <v>13</v>
      </c>
      <c r="D188" s="258" t="s">
        <v>14</v>
      </c>
      <c r="E188" s="258" t="s">
        <v>8</v>
      </c>
      <c r="F188" s="258" t="s">
        <v>1</v>
      </c>
      <c r="G188" s="258" t="s">
        <v>2</v>
      </c>
      <c r="H188" s="258" t="s">
        <v>15</v>
      </c>
      <c r="I188" s="258" t="s">
        <v>3</v>
      </c>
      <c r="J188" s="258" t="s">
        <v>4</v>
      </c>
      <c r="K188" s="258" t="s">
        <v>5</v>
      </c>
      <c r="L188" s="258" t="s">
        <v>12</v>
      </c>
      <c r="M188" s="258" t="s">
        <v>6</v>
      </c>
      <c r="N188" s="246"/>
    </row>
    <row r="189" spans="1:14" ht="14.1" customHeight="1">
      <c r="A189" s="120">
        <v>7778</v>
      </c>
      <c r="B189" s="577" t="s">
        <v>1045</v>
      </c>
      <c r="C189" s="577" t="s">
        <v>792</v>
      </c>
      <c r="D189" s="577" t="s">
        <v>1016</v>
      </c>
      <c r="E189" s="577" t="s">
        <v>93</v>
      </c>
      <c r="F189" s="90">
        <f>9200*1.0936</f>
        <v>10061.119999999999</v>
      </c>
      <c r="G189" s="91" t="s">
        <v>209</v>
      </c>
      <c r="H189" s="79"/>
      <c r="I189" s="80">
        <v>9.43</v>
      </c>
      <c r="J189" s="81">
        <v>350</v>
      </c>
      <c r="K189" s="81">
        <f t="shared" ref="K189" si="37">I189*J189</f>
        <v>3300.5</v>
      </c>
      <c r="L189" s="102"/>
      <c r="M189" s="79"/>
      <c r="N189" s="107"/>
    </row>
    <row r="190" spans="1:14" ht="14.1" customHeight="1">
      <c r="A190" s="120"/>
      <c r="B190" s="577"/>
      <c r="C190" s="577"/>
      <c r="D190" s="577"/>
      <c r="E190" s="577"/>
      <c r="F190" s="87"/>
      <c r="G190" s="91" t="s">
        <v>888</v>
      </c>
      <c r="H190" s="109"/>
      <c r="I190" s="80">
        <v>0.81499999999999995</v>
      </c>
      <c r="J190" s="81">
        <v>690</v>
      </c>
      <c r="K190" s="81">
        <f t="shared" ref="K190:K191" si="38">I190*J190</f>
        <v>562.34999999999991</v>
      </c>
      <c r="L190" s="102"/>
      <c r="M190" s="79"/>
      <c r="N190" s="107"/>
    </row>
    <row r="191" spans="1:14" ht="14.1" customHeight="1">
      <c r="A191" s="120"/>
      <c r="B191" s="577"/>
      <c r="C191" s="577"/>
      <c r="D191" s="577"/>
      <c r="E191" s="577"/>
      <c r="F191" s="87"/>
      <c r="G191" s="91" t="s">
        <v>221</v>
      </c>
      <c r="H191" s="112"/>
      <c r="I191" s="113">
        <v>6</v>
      </c>
      <c r="J191" s="81">
        <v>980</v>
      </c>
      <c r="K191" s="81">
        <f t="shared" si="38"/>
        <v>5880</v>
      </c>
      <c r="L191" s="79"/>
      <c r="M191" s="79"/>
      <c r="N191" s="107"/>
    </row>
    <row r="192" spans="1:14" ht="14.1" customHeight="1">
      <c r="A192" s="120"/>
      <c r="B192" s="577"/>
      <c r="C192" s="577"/>
      <c r="D192" s="577"/>
      <c r="E192" s="577"/>
      <c r="F192" s="87"/>
      <c r="G192" s="578" t="s">
        <v>211</v>
      </c>
      <c r="H192" s="79"/>
      <c r="I192" s="80">
        <v>64.5</v>
      </c>
      <c r="J192" s="81">
        <v>120</v>
      </c>
      <c r="K192" s="81">
        <f>I192*J192</f>
        <v>7740</v>
      </c>
      <c r="L192" s="102"/>
      <c r="M192" s="79"/>
      <c r="N192" s="107"/>
    </row>
    <row r="193" spans="1:14" ht="14.1" customHeight="1">
      <c r="A193" s="120"/>
      <c r="B193" s="577"/>
      <c r="C193" s="577"/>
      <c r="D193" s="577"/>
      <c r="E193" s="577"/>
      <c r="F193" s="87"/>
      <c r="G193" s="578" t="s">
        <v>45</v>
      </c>
      <c r="H193" s="79"/>
      <c r="I193" s="80">
        <v>8.6</v>
      </c>
      <c r="J193" s="81">
        <v>45</v>
      </c>
      <c r="K193" s="81">
        <f t="shared" ref="K193:K196" si="39">I193*J193</f>
        <v>387</v>
      </c>
      <c r="L193" s="102"/>
      <c r="M193" s="79"/>
      <c r="N193" s="107"/>
    </row>
    <row r="194" spans="1:14" ht="14.1" customHeight="1">
      <c r="A194" s="120"/>
      <c r="B194" s="577"/>
      <c r="C194" s="577"/>
      <c r="D194" s="577"/>
      <c r="E194" s="577"/>
      <c r="F194" s="87"/>
      <c r="G194" s="578" t="s">
        <v>213</v>
      </c>
      <c r="H194" s="79"/>
      <c r="I194" s="80">
        <v>9.4849999999999994</v>
      </c>
      <c r="J194" s="81">
        <v>348</v>
      </c>
      <c r="K194" s="81">
        <f t="shared" si="39"/>
        <v>3300.7799999999997</v>
      </c>
      <c r="L194" s="102"/>
      <c r="M194" s="79"/>
      <c r="N194" s="107"/>
    </row>
    <row r="195" spans="1:14" ht="14.1" customHeight="1">
      <c r="A195" s="120"/>
      <c r="B195" s="577"/>
      <c r="C195" s="577"/>
      <c r="D195" s="577"/>
      <c r="E195" s="577"/>
      <c r="F195" s="87"/>
      <c r="G195" s="578" t="s">
        <v>214</v>
      </c>
      <c r="H195" s="79"/>
      <c r="I195" s="80">
        <v>214</v>
      </c>
      <c r="J195" s="81">
        <v>360</v>
      </c>
      <c r="K195" s="81">
        <f t="shared" si="39"/>
        <v>77040</v>
      </c>
      <c r="L195" s="79"/>
      <c r="M195" s="79"/>
      <c r="N195" s="107"/>
    </row>
    <row r="196" spans="1:14" ht="14.1" customHeight="1">
      <c r="A196" s="577"/>
      <c r="B196" s="577"/>
      <c r="C196" s="577"/>
      <c r="D196" s="577"/>
      <c r="E196" s="577"/>
      <c r="F196" s="87"/>
      <c r="G196" s="577" t="s">
        <v>28</v>
      </c>
      <c r="H196" s="79"/>
      <c r="I196" s="80">
        <v>8.6</v>
      </c>
      <c r="J196" s="81">
        <v>17</v>
      </c>
      <c r="K196" s="81">
        <f t="shared" si="39"/>
        <v>146.19999999999999</v>
      </c>
      <c r="L196" s="79"/>
      <c r="M196" s="79"/>
      <c r="N196" s="107"/>
    </row>
    <row r="197" spans="1:14" ht="14.1" customHeight="1">
      <c r="A197" s="577"/>
      <c r="B197" s="577"/>
      <c r="C197" s="577"/>
      <c r="D197" s="577"/>
      <c r="E197" s="273" t="s">
        <v>9</v>
      </c>
      <c r="F197" s="108">
        <f>SUM(F189:F195)</f>
        <v>10061.119999999999</v>
      </c>
      <c r="G197" s="273"/>
      <c r="H197" s="273"/>
      <c r="I197" s="81"/>
      <c r="J197" s="81"/>
      <c r="K197" s="103">
        <f>SUM(K189:K196)</f>
        <v>98356.83</v>
      </c>
      <c r="L197" s="103">
        <f>K197/F197</f>
        <v>9.7759325005565998</v>
      </c>
      <c r="M197" s="79"/>
      <c r="N197" s="107"/>
    </row>
    <row r="198" spans="1:14" ht="14.1" customHeight="1">
      <c r="A198" s="120">
        <v>7779</v>
      </c>
      <c r="B198" s="120" t="s">
        <v>277</v>
      </c>
      <c r="C198" s="577" t="s">
        <v>217</v>
      </c>
      <c r="D198" s="577" t="s">
        <v>122</v>
      </c>
      <c r="E198" s="260" t="s">
        <v>93</v>
      </c>
      <c r="F198" s="99">
        <f>40*1.0936</f>
        <v>43.744</v>
      </c>
      <c r="G198" s="91" t="s">
        <v>209</v>
      </c>
      <c r="H198" s="79"/>
      <c r="I198" s="80">
        <v>2E-3</v>
      </c>
      <c r="J198" s="81">
        <v>350</v>
      </c>
      <c r="K198" s="81">
        <f t="shared" ref="K198:K200" si="40">I198*J198</f>
        <v>0.70000000000000007</v>
      </c>
      <c r="L198" s="102"/>
      <c r="M198" s="79"/>
      <c r="N198" s="107"/>
    </row>
    <row r="199" spans="1:14" ht="14.1" customHeight="1">
      <c r="A199" s="120"/>
      <c r="B199" s="120"/>
      <c r="C199" s="120"/>
      <c r="D199" s="120"/>
      <c r="E199" s="260"/>
      <c r="F199" s="108"/>
      <c r="G199" s="91" t="s">
        <v>888</v>
      </c>
      <c r="H199" s="109"/>
      <c r="I199" s="80">
        <v>0.14000000000000001</v>
      </c>
      <c r="J199" s="81">
        <v>690</v>
      </c>
      <c r="K199" s="81">
        <f t="shared" si="40"/>
        <v>96.600000000000009</v>
      </c>
      <c r="L199" s="102"/>
      <c r="M199" s="79"/>
      <c r="N199" s="107"/>
    </row>
    <row r="200" spans="1:14" ht="14.1" customHeight="1">
      <c r="A200" s="120"/>
      <c r="B200" s="120"/>
      <c r="C200" s="120"/>
      <c r="D200" s="120"/>
      <c r="E200" s="260"/>
      <c r="F200" s="108"/>
      <c r="G200" s="91" t="s">
        <v>221</v>
      </c>
      <c r="H200" s="112"/>
      <c r="I200" s="113">
        <v>5.0000000000000001E-3</v>
      </c>
      <c r="J200" s="81">
        <v>980</v>
      </c>
      <c r="K200" s="81">
        <f t="shared" si="40"/>
        <v>4.9000000000000004</v>
      </c>
      <c r="L200" s="79"/>
      <c r="M200" s="79"/>
      <c r="N200" s="107"/>
    </row>
    <row r="201" spans="1:14" ht="14.1" customHeight="1">
      <c r="A201" s="120"/>
      <c r="B201" s="120"/>
      <c r="C201" s="120"/>
      <c r="D201" s="120"/>
      <c r="E201" s="260"/>
      <c r="F201" s="108"/>
      <c r="G201" s="578" t="s">
        <v>211</v>
      </c>
      <c r="H201" s="79"/>
      <c r="I201" s="80">
        <v>1</v>
      </c>
      <c r="J201" s="81">
        <v>120</v>
      </c>
      <c r="K201" s="81">
        <f>I201*J201</f>
        <v>120</v>
      </c>
      <c r="L201" s="102"/>
      <c r="M201" s="79"/>
      <c r="N201" s="107"/>
    </row>
    <row r="202" spans="1:14" ht="14.1" customHeight="1">
      <c r="A202" s="120"/>
      <c r="B202" s="120"/>
      <c r="C202" s="120"/>
      <c r="D202" s="120"/>
      <c r="E202" s="260"/>
      <c r="F202" s="108"/>
      <c r="G202" s="578" t="s">
        <v>45</v>
      </c>
      <c r="H202" s="79"/>
      <c r="I202" s="80">
        <v>0.1</v>
      </c>
      <c r="J202" s="81">
        <v>45</v>
      </c>
      <c r="K202" s="81">
        <f t="shared" ref="K202:K205" si="41">I202*J202</f>
        <v>4.5</v>
      </c>
      <c r="L202" s="102"/>
      <c r="M202" s="79"/>
      <c r="N202" s="107"/>
    </row>
    <row r="203" spans="1:14" ht="14.1" customHeight="1">
      <c r="A203" s="120"/>
      <c r="B203" s="120"/>
      <c r="C203" s="120"/>
      <c r="D203" s="120"/>
      <c r="E203" s="260"/>
      <c r="F203" s="108"/>
      <c r="G203" s="578" t="s">
        <v>213</v>
      </c>
      <c r="H203" s="79"/>
      <c r="I203" s="80">
        <v>0.1</v>
      </c>
      <c r="J203" s="81">
        <v>348</v>
      </c>
      <c r="K203" s="81">
        <f t="shared" si="41"/>
        <v>34.800000000000004</v>
      </c>
      <c r="L203" s="102"/>
      <c r="M203" s="79"/>
      <c r="N203" s="107"/>
    </row>
    <row r="204" spans="1:14" ht="14.1" customHeight="1">
      <c r="A204" s="120"/>
      <c r="B204" s="120"/>
      <c r="C204" s="120"/>
      <c r="D204" s="120"/>
      <c r="E204" s="260"/>
      <c r="F204" s="108"/>
      <c r="G204" s="578" t="s">
        <v>212</v>
      </c>
      <c r="H204" s="79"/>
      <c r="I204" s="80">
        <v>0.1</v>
      </c>
      <c r="J204" s="81">
        <v>527</v>
      </c>
      <c r="K204" s="81">
        <f t="shared" si="41"/>
        <v>52.7</v>
      </c>
      <c r="L204" s="79"/>
      <c r="M204" s="79"/>
      <c r="N204" s="107"/>
    </row>
    <row r="205" spans="1:14" ht="14.1" customHeight="1">
      <c r="A205" s="577"/>
      <c r="B205" s="577"/>
      <c r="C205" s="577"/>
      <c r="D205" s="577"/>
      <c r="E205" s="273"/>
      <c r="F205" s="108"/>
      <c r="G205" s="577" t="s">
        <v>28</v>
      </c>
      <c r="H205" s="79"/>
      <c r="I205" s="80">
        <v>0.2</v>
      </c>
      <c r="J205" s="81">
        <v>17</v>
      </c>
      <c r="K205" s="81">
        <f t="shared" si="41"/>
        <v>3.4000000000000004</v>
      </c>
      <c r="L205" s="79"/>
      <c r="M205" s="79"/>
      <c r="N205" s="107"/>
    </row>
    <row r="206" spans="1:14" ht="14.1" customHeight="1">
      <c r="A206" s="120"/>
      <c r="B206" s="120"/>
      <c r="C206" s="120"/>
      <c r="D206" s="120"/>
      <c r="E206" s="260" t="s">
        <v>9</v>
      </c>
      <c r="F206" s="108">
        <f>SUM(F198:F205)</f>
        <v>43.744</v>
      </c>
      <c r="G206" s="260"/>
      <c r="H206" s="260"/>
      <c r="I206" s="81"/>
      <c r="J206" s="81"/>
      <c r="K206" s="103">
        <f>SUM(K198:K205)</f>
        <v>317.59999999999997</v>
      </c>
      <c r="L206" s="103">
        <f>K206/F206</f>
        <v>7.2604242867593261</v>
      </c>
      <c r="M206" s="79"/>
      <c r="N206" s="107"/>
    </row>
    <row r="207" spans="1:14" ht="14.1" customHeight="1">
      <c r="A207" s="120">
        <v>7780</v>
      </c>
      <c r="B207" s="577" t="s">
        <v>1105</v>
      </c>
      <c r="C207" s="577" t="s">
        <v>792</v>
      </c>
      <c r="D207" s="577" t="s">
        <v>1016</v>
      </c>
      <c r="E207" s="577" t="s">
        <v>93</v>
      </c>
      <c r="F207" s="90">
        <f>780*1.0936</f>
        <v>853.00799999999992</v>
      </c>
      <c r="G207" s="91" t="s">
        <v>123</v>
      </c>
      <c r="H207" s="577"/>
      <c r="I207" s="96">
        <v>0.56999999999999995</v>
      </c>
      <c r="J207" s="81">
        <v>750</v>
      </c>
      <c r="K207" s="94">
        <f t="shared" ref="K207:K209" si="42">I207*J207</f>
        <v>427.49999999999994</v>
      </c>
      <c r="L207" s="79"/>
      <c r="M207" s="79"/>
      <c r="N207" s="107"/>
    </row>
    <row r="208" spans="1:14" ht="14.1" customHeight="1">
      <c r="A208" s="120"/>
      <c r="B208" s="120"/>
      <c r="C208" s="120"/>
      <c r="D208" s="120"/>
      <c r="E208" s="260"/>
      <c r="F208" s="108"/>
      <c r="G208" s="91" t="s">
        <v>888</v>
      </c>
      <c r="H208" s="109"/>
      <c r="I208" s="80">
        <v>0.17499999999999999</v>
      </c>
      <c r="J208" s="81">
        <v>690</v>
      </c>
      <c r="K208" s="81">
        <f t="shared" si="42"/>
        <v>120.74999999999999</v>
      </c>
      <c r="L208" s="79"/>
      <c r="M208" s="79"/>
      <c r="N208" s="107"/>
    </row>
    <row r="209" spans="1:14" ht="14.1" customHeight="1">
      <c r="A209" s="120"/>
      <c r="B209" s="120"/>
      <c r="C209" s="120"/>
      <c r="D209" s="120"/>
      <c r="E209" s="260"/>
      <c r="F209" s="108"/>
      <c r="G209" s="91" t="s">
        <v>221</v>
      </c>
      <c r="H209" s="112"/>
      <c r="I209" s="113">
        <v>3.36</v>
      </c>
      <c r="J209" s="81">
        <v>980</v>
      </c>
      <c r="K209" s="81">
        <f t="shared" si="42"/>
        <v>3292.7999999999997</v>
      </c>
      <c r="L209" s="79"/>
      <c r="M209" s="79"/>
      <c r="N209" s="107"/>
    </row>
    <row r="210" spans="1:14" ht="14.1" customHeight="1">
      <c r="A210" s="120"/>
      <c r="B210" s="120"/>
      <c r="C210" s="120"/>
      <c r="D210" s="120"/>
      <c r="E210" s="260"/>
      <c r="F210" s="108"/>
      <c r="G210" s="83" t="s">
        <v>211</v>
      </c>
      <c r="H210" s="79"/>
      <c r="I210" s="80">
        <v>6.75</v>
      </c>
      <c r="J210" s="81">
        <v>120</v>
      </c>
      <c r="K210" s="81">
        <f>I210*J210</f>
        <v>810</v>
      </c>
      <c r="L210" s="79"/>
      <c r="M210" s="79"/>
      <c r="N210" s="107"/>
    </row>
    <row r="211" spans="1:14" ht="14.1" customHeight="1">
      <c r="A211" s="120"/>
      <c r="B211" s="120"/>
      <c r="C211" s="120"/>
      <c r="D211" s="120"/>
      <c r="E211" s="260"/>
      <c r="F211" s="108"/>
      <c r="G211" s="577" t="s">
        <v>28</v>
      </c>
      <c r="H211" s="79"/>
      <c r="I211" s="80">
        <v>0.9</v>
      </c>
      <c r="J211" s="81">
        <v>17</v>
      </c>
      <c r="K211" s="81">
        <f t="shared" ref="K211" si="43">I211*J211</f>
        <v>15.3</v>
      </c>
      <c r="L211" s="79"/>
      <c r="M211" s="79"/>
      <c r="N211" s="107"/>
    </row>
    <row r="212" spans="1:14" ht="14.1" customHeight="1">
      <c r="A212" s="120"/>
      <c r="B212" s="120"/>
      <c r="C212" s="120"/>
      <c r="D212" s="120"/>
      <c r="E212" s="260"/>
      <c r="F212" s="108"/>
      <c r="G212" s="83" t="s">
        <v>45</v>
      </c>
      <c r="H212" s="79"/>
      <c r="I212" s="80">
        <v>0.9</v>
      </c>
      <c r="J212" s="81">
        <v>45</v>
      </c>
      <c r="K212" s="81">
        <f t="shared" ref="K212:K214" si="44">I212*J212</f>
        <v>40.5</v>
      </c>
      <c r="L212" s="79"/>
      <c r="M212" s="79"/>
      <c r="N212" s="107"/>
    </row>
    <row r="213" spans="1:14" ht="14.1" customHeight="1">
      <c r="A213" s="120"/>
      <c r="B213" s="120"/>
      <c r="C213" s="120"/>
      <c r="D213" s="120"/>
      <c r="E213" s="260"/>
      <c r="F213" s="108"/>
      <c r="G213" s="83" t="s">
        <v>213</v>
      </c>
      <c r="H213" s="79"/>
      <c r="I213" s="80">
        <v>1</v>
      </c>
      <c r="J213" s="81">
        <v>348</v>
      </c>
      <c r="K213" s="81">
        <f t="shared" si="44"/>
        <v>348</v>
      </c>
      <c r="L213" s="79"/>
      <c r="M213" s="79"/>
      <c r="N213" s="107"/>
    </row>
    <row r="214" spans="1:14" ht="14.1" customHeight="1">
      <c r="A214" s="120"/>
      <c r="B214" s="120"/>
      <c r="C214" s="120"/>
      <c r="D214" s="120"/>
      <c r="E214" s="260"/>
      <c r="F214" s="108"/>
      <c r="G214" s="83" t="s">
        <v>214</v>
      </c>
      <c r="H214" s="79"/>
      <c r="I214" s="80">
        <v>17</v>
      </c>
      <c r="J214" s="81">
        <v>360</v>
      </c>
      <c r="K214" s="81">
        <f t="shared" si="44"/>
        <v>6120</v>
      </c>
      <c r="L214" s="79"/>
      <c r="M214" s="79"/>
      <c r="N214" s="107"/>
    </row>
    <row r="215" spans="1:14" ht="14.1" customHeight="1">
      <c r="A215" s="120"/>
      <c r="B215" s="120"/>
      <c r="C215" s="120"/>
      <c r="D215" s="120"/>
      <c r="E215" s="260" t="s">
        <v>9</v>
      </c>
      <c r="F215" s="108">
        <f>SUM(F207:F214)</f>
        <v>853.00799999999992</v>
      </c>
      <c r="G215" s="260"/>
      <c r="H215" s="260"/>
      <c r="I215" s="81"/>
      <c r="J215" s="81"/>
      <c r="K215" s="103">
        <f>SUM(K207:K214)</f>
        <v>11174.849999999999</v>
      </c>
      <c r="L215" s="103">
        <f>K215/F215</f>
        <v>13.100521917731134</v>
      </c>
      <c r="M215" s="79"/>
      <c r="N215" s="107"/>
    </row>
    <row r="216" spans="1:14" ht="14.1" customHeight="1">
      <c r="A216" s="577">
        <v>7781</v>
      </c>
      <c r="B216" s="577" t="s">
        <v>998</v>
      </c>
      <c r="C216" s="577" t="s">
        <v>792</v>
      </c>
      <c r="D216" s="577" t="s">
        <v>1016</v>
      </c>
      <c r="E216" s="577" t="s">
        <v>93</v>
      </c>
      <c r="F216" s="90">
        <f>10750*1.0936</f>
        <v>11756.199999999999</v>
      </c>
      <c r="G216" s="91" t="s">
        <v>215</v>
      </c>
      <c r="H216" s="109"/>
      <c r="I216" s="80">
        <v>0.8</v>
      </c>
      <c r="J216" s="81">
        <v>750</v>
      </c>
      <c r="K216" s="81">
        <f t="shared" ref="K216:K217" si="45">I216*J216</f>
        <v>600</v>
      </c>
      <c r="L216" s="79"/>
      <c r="M216" s="79"/>
      <c r="N216" s="107"/>
    </row>
    <row r="217" spans="1:14" ht="14.1" customHeight="1">
      <c r="A217" s="577"/>
      <c r="B217" s="577"/>
      <c r="C217" s="577"/>
      <c r="D217" s="577"/>
      <c r="E217" s="273"/>
      <c r="F217" s="108"/>
      <c r="G217" s="91" t="s">
        <v>209</v>
      </c>
      <c r="H217" s="79"/>
      <c r="I217" s="80">
        <v>2.2999999999999998</v>
      </c>
      <c r="J217" s="81">
        <v>350</v>
      </c>
      <c r="K217" s="81">
        <f t="shared" si="45"/>
        <v>804.99999999999989</v>
      </c>
      <c r="L217" s="79"/>
      <c r="M217" s="79"/>
      <c r="N217" s="107"/>
    </row>
    <row r="218" spans="1:14" ht="14.1" customHeight="1">
      <c r="A218" s="577"/>
      <c r="B218" s="577"/>
      <c r="C218" s="577"/>
      <c r="D218" s="577"/>
      <c r="E218" s="273"/>
      <c r="F218" s="108"/>
      <c r="G218" s="91" t="s">
        <v>677</v>
      </c>
      <c r="H218" s="112"/>
      <c r="I218" s="113">
        <v>0.4</v>
      </c>
      <c r="J218" s="81">
        <v>680</v>
      </c>
      <c r="K218" s="81">
        <f t="shared" ref="K218" si="46">I218*J218</f>
        <v>272</v>
      </c>
      <c r="L218" s="79"/>
      <c r="M218" s="79"/>
      <c r="N218" s="107"/>
    </row>
    <row r="219" spans="1:14" ht="14.1" customHeight="1">
      <c r="A219" s="577"/>
      <c r="B219" s="577"/>
      <c r="C219" s="577"/>
      <c r="D219" s="577"/>
      <c r="E219" s="273"/>
      <c r="F219" s="108"/>
      <c r="G219" s="578" t="s">
        <v>211</v>
      </c>
      <c r="H219" s="79"/>
      <c r="I219" s="80">
        <v>30</v>
      </c>
      <c r="J219" s="81">
        <v>120</v>
      </c>
      <c r="K219" s="81">
        <f>I219*J219</f>
        <v>3600</v>
      </c>
      <c r="L219" s="79"/>
      <c r="M219" s="79"/>
      <c r="N219" s="107"/>
    </row>
    <row r="220" spans="1:14" ht="14.1" customHeight="1">
      <c r="A220" s="577"/>
      <c r="B220" s="577"/>
      <c r="C220" s="577"/>
      <c r="D220" s="577"/>
      <c r="E220" s="273"/>
      <c r="F220" s="108"/>
      <c r="G220" s="578" t="s">
        <v>45</v>
      </c>
      <c r="H220" s="79"/>
      <c r="I220" s="80">
        <v>3</v>
      </c>
      <c r="J220" s="81">
        <v>45</v>
      </c>
      <c r="K220" s="81">
        <f t="shared" ref="K220:K221" si="47">I220*J220</f>
        <v>135</v>
      </c>
      <c r="L220" s="79"/>
      <c r="M220" s="79"/>
      <c r="N220" s="107"/>
    </row>
    <row r="221" spans="1:14" ht="14.1" customHeight="1">
      <c r="A221" s="577"/>
      <c r="B221" s="577"/>
      <c r="C221" s="577"/>
      <c r="D221" s="577"/>
      <c r="E221" s="273"/>
      <c r="F221" s="108"/>
      <c r="G221" s="578" t="s">
        <v>213</v>
      </c>
      <c r="H221" s="79"/>
      <c r="I221" s="80">
        <v>3</v>
      </c>
      <c r="J221" s="81">
        <v>348</v>
      </c>
      <c r="K221" s="81">
        <f t="shared" si="47"/>
        <v>1044</v>
      </c>
      <c r="L221" s="79"/>
      <c r="M221" s="79"/>
      <c r="N221" s="107"/>
    </row>
    <row r="222" spans="1:14" ht="14.1" customHeight="1">
      <c r="A222" s="120"/>
      <c r="B222" s="120"/>
      <c r="C222" s="120"/>
      <c r="D222" s="120"/>
      <c r="E222" s="260" t="s">
        <v>9</v>
      </c>
      <c r="F222" s="108">
        <f>SUM(F216:F221)</f>
        <v>11756.199999999999</v>
      </c>
      <c r="G222" s="260"/>
      <c r="H222" s="260"/>
      <c r="I222" s="81"/>
      <c r="J222" s="81"/>
      <c r="K222" s="103">
        <f>SUM(K216:K221)</f>
        <v>6456</v>
      </c>
      <c r="L222" s="103">
        <f>K222/F222</f>
        <v>0.54915704054031067</v>
      </c>
      <c r="M222" s="79"/>
      <c r="N222" s="107"/>
    </row>
    <row r="223" spans="1:14" ht="14.1" customHeight="1">
      <c r="A223" s="107"/>
      <c r="B223" s="107"/>
      <c r="C223" s="107"/>
      <c r="D223" s="133" t="s">
        <v>30</v>
      </c>
      <c r="E223" s="133"/>
      <c r="F223" s="134">
        <f>F197+F206+F215+F222</f>
        <v>22714.072</v>
      </c>
      <c r="G223" s="135"/>
      <c r="H223" s="135"/>
      <c r="I223" s="135"/>
      <c r="J223" s="135"/>
      <c r="K223" s="134">
        <f>K197+K206+K215+K222</f>
        <v>116305.28</v>
      </c>
      <c r="L223" s="151">
        <f>K223/F223</f>
        <v>5.1204064158993594</v>
      </c>
      <c r="M223" s="107"/>
      <c r="N223" s="107"/>
    </row>
    <row r="224" spans="1:14" s="71" customFormat="1" ht="14.1" customHeight="1"/>
    <row r="225" spans="1:13" ht="14.1" customHeight="1"/>
    <row r="226" spans="1:13" ht="14.1" customHeight="1">
      <c r="B226" s="28"/>
      <c r="C226" s="28"/>
      <c r="D226" s="133" t="s">
        <v>1009</v>
      </c>
      <c r="E226" s="405">
        <f>F106+F223</f>
        <v>27979.756000000001</v>
      </c>
      <c r="F226" s="133"/>
      <c r="G226" s="134">
        <f>K18+K33+K42+K48+K106+K153+K186+K223</f>
        <v>365077.04700000002</v>
      </c>
      <c r="H226" s="135"/>
      <c r="I226" s="135"/>
      <c r="J226" s="135"/>
      <c r="K226" s="135"/>
      <c r="L226" s="134">
        <f>G226/E226</f>
        <v>13.047899595693401</v>
      </c>
    </row>
    <row r="227" spans="1:13" ht="14.1" customHeight="1">
      <c r="B227" s="28"/>
      <c r="C227" s="28"/>
      <c r="D227" s="109" t="s">
        <v>855</v>
      </c>
      <c r="E227" s="406"/>
      <c r="F227" s="109"/>
      <c r="G227" s="359">
        <f>K51+K52+K53+K54+K55+K56+K57+K58+K62+K63+K64+K68+K69+K70+K74+K75+K76+K80+K81+K82+K86+K87+K88+K92+K93+K94+K98+K99+K100+K101+K102+K189+K190+K191+K198+K199+K200+K207+K208+K209+K216+K217+K218</f>
        <v>73355.446999999986</v>
      </c>
      <c r="H227" s="370"/>
      <c r="I227" s="359">
        <f>'17'!I195+'18'!G227</f>
        <v>1458062.9750000001</v>
      </c>
      <c r="J227" s="438">
        <f>G227+M240</f>
        <v>73570.756999999983</v>
      </c>
      <c r="K227" s="360"/>
      <c r="L227" s="396"/>
    </row>
    <row r="228" spans="1:13" ht="14.1" customHeight="1">
      <c r="B228" s="28"/>
      <c r="C228" s="28"/>
      <c r="D228" s="323" t="s">
        <v>854</v>
      </c>
      <c r="E228" s="361"/>
      <c r="F228" s="323"/>
      <c r="G228" s="397">
        <f>G226-G227</f>
        <v>291721.60000000003</v>
      </c>
      <c r="H228" s="398"/>
      <c r="I228" s="359">
        <f>'17'!I196+'18'!G228</f>
        <v>3333482.8810000001</v>
      </c>
      <c r="J228" s="400"/>
      <c r="K228" s="400"/>
      <c r="L228" s="401"/>
    </row>
    <row r="229" spans="1:13" ht="14.1" customHeight="1">
      <c r="B229" s="28"/>
      <c r="C229" s="28"/>
      <c r="D229" s="109" t="s">
        <v>853</v>
      </c>
      <c r="E229" s="407"/>
      <c r="F229" s="109"/>
      <c r="G229" s="410">
        <f>SUM(G227:G228)</f>
        <v>365077.04700000002</v>
      </c>
      <c r="H229" s="402"/>
      <c r="I229" s="403">
        <f>'01'!G248+'02'!G295+'03'!G388+'04'!G298</f>
        <v>0</v>
      </c>
      <c r="J229" s="402"/>
      <c r="K229" s="402"/>
      <c r="L229" s="404">
        <f>G229/E226</f>
        <v>13.047899595693401</v>
      </c>
    </row>
    <row r="230" spans="1:13" ht="14.1" customHeight="1">
      <c r="B230" s="28"/>
      <c r="C230" s="28"/>
      <c r="D230" s="395" t="s">
        <v>906</v>
      </c>
      <c r="E230" s="408"/>
      <c r="F230" s="109"/>
      <c r="G230" s="409">
        <f>M240</f>
        <v>215.31</v>
      </c>
      <c r="H230" s="392"/>
      <c r="I230" s="391"/>
      <c r="J230" s="391"/>
      <c r="K230" s="393"/>
    </row>
    <row r="231" spans="1:13" ht="14.1" customHeight="1">
      <c r="B231" s="28"/>
      <c r="C231" s="28"/>
      <c r="D231" s="29"/>
      <c r="E231" s="29"/>
      <c r="F231" s="29"/>
      <c r="G231" s="29"/>
      <c r="H231" s="30"/>
      <c r="I231" s="29"/>
      <c r="J231" s="29"/>
      <c r="K231" s="29"/>
      <c r="L231" s="29"/>
    </row>
    <row r="232" spans="1:13" ht="14.1" customHeight="1">
      <c r="B232" s="28"/>
      <c r="C232" s="28"/>
      <c r="D232" s="829" t="s">
        <v>852</v>
      </c>
      <c r="E232" s="829"/>
      <c r="F232" s="357">
        <f>G248</f>
        <v>161480</v>
      </c>
      <c r="G232" s="29"/>
      <c r="H232" s="500" t="s">
        <v>908</v>
      </c>
      <c r="I232" s="830" t="s">
        <v>1097</v>
      </c>
      <c r="J232" s="831"/>
      <c r="K232" s="80">
        <v>8.5999999999999993E-2</v>
      </c>
      <c r="L232" s="81">
        <v>645</v>
      </c>
      <c r="M232" s="81">
        <f t="shared" ref="M232" si="48">K232*L232</f>
        <v>55.47</v>
      </c>
    </row>
    <row r="233" spans="1:13" ht="14.1" customHeight="1">
      <c r="B233" s="28"/>
      <c r="C233" s="28"/>
      <c r="D233" s="829" t="s">
        <v>835</v>
      </c>
      <c r="E233" s="829"/>
      <c r="F233" s="357">
        <f>G238+G239</f>
        <v>32116</v>
      </c>
      <c r="G233" s="29"/>
      <c r="H233" s="500" t="s">
        <v>909</v>
      </c>
      <c r="I233" s="830" t="s">
        <v>196</v>
      </c>
      <c r="J233" s="831"/>
      <c r="K233" s="80">
        <v>0.18</v>
      </c>
      <c r="L233" s="81">
        <v>888</v>
      </c>
      <c r="M233" s="81">
        <f t="shared" ref="M233:M237" si="49">K233*L233</f>
        <v>159.84</v>
      </c>
    </row>
    <row r="234" spans="1:13" ht="14.1" customHeight="1">
      <c r="B234" s="28"/>
      <c r="C234" s="28"/>
      <c r="D234" s="829" t="s">
        <v>836</v>
      </c>
      <c r="E234" s="829"/>
      <c r="F234" s="357">
        <f>SUM(F232:F233)</f>
        <v>193596</v>
      </c>
      <c r="G234" s="29"/>
      <c r="H234" s="500" t="s">
        <v>910</v>
      </c>
      <c r="I234" s="830" t="s">
        <v>192</v>
      </c>
      <c r="J234" s="831"/>
      <c r="K234" s="80"/>
      <c r="L234" s="81">
        <v>1126</v>
      </c>
      <c r="M234" s="81">
        <f t="shared" si="49"/>
        <v>0</v>
      </c>
    </row>
    <row r="235" spans="1:13" ht="14.1" customHeight="1">
      <c r="B235" s="28"/>
      <c r="C235" s="28"/>
      <c r="D235" s="368" t="s">
        <v>847</v>
      </c>
      <c r="E235" s="368"/>
      <c r="F235" s="357">
        <f>F232-G228</f>
        <v>-130241.60000000003</v>
      </c>
      <c r="G235" s="29"/>
      <c r="H235" s="500" t="s">
        <v>908</v>
      </c>
      <c r="I235" s="832" t="s">
        <v>460</v>
      </c>
      <c r="J235" s="833"/>
      <c r="K235" s="80"/>
      <c r="L235" s="81">
        <v>920</v>
      </c>
      <c r="M235" s="81">
        <f t="shared" si="49"/>
        <v>0</v>
      </c>
    </row>
    <row r="236" spans="1:13" ht="14.1" customHeight="1">
      <c r="B236" s="28"/>
      <c r="C236" s="28"/>
      <c r="D236" s="29"/>
      <c r="E236" s="29"/>
      <c r="F236" s="29"/>
      <c r="G236" s="29"/>
      <c r="H236" s="500" t="s">
        <v>912</v>
      </c>
      <c r="I236" s="834" t="s">
        <v>315</v>
      </c>
      <c r="J236" s="835"/>
      <c r="K236" s="80"/>
      <c r="L236" s="81">
        <v>2184</v>
      </c>
      <c r="M236" s="81">
        <f t="shared" si="49"/>
        <v>0</v>
      </c>
    </row>
    <row r="237" spans="1:13" ht="14.1" customHeight="1">
      <c r="B237" s="836" t="s">
        <v>833</v>
      </c>
      <c r="C237" s="837"/>
      <c r="D237" s="273" t="s">
        <v>844</v>
      </c>
      <c r="E237" s="273" t="s">
        <v>845</v>
      </c>
      <c r="F237" s="273" t="s">
        <v>846</v>
      </c>
      <c r="G237" s="273" t="s">
        <v>5</v>
      </c>
      <c r="H237" s="500" t="s">
        <v>911</v>
      </c>
      <c r="I237" s="830" t="s">
        <v>286</v>
      </c>
      <c r="J237" s="831"/>
      <c r="K237" s="80"/>
      <c r="L237" s="81">
        <v>2065</v>
      </c>
      <c r="M237" s="81">
        <f t="shared" si="49"/>
        <v>0</v>
      </c>
    </row>
    <row r="238" spans="1:13" ht="14.1" customHeight="1">
      <c r="B238" s="28"/>
      <c r="C238" s="28"/>
      <c r="D238" s="273" t="s">
        <v>837</v>
      </c>
      <c r="E238" s="109">
        <v>15.5</v>
      </c>
      <c r="F238" s="332">
        <v>2072</v>
      </c>
      <c r="G238" s="329">
        <f>F238*E238</f>
        <v>32116</v>
      </c>
      <c r="H238" s="500" t="s">
        <v>909</v>
      </c>
      <c r="I238" s="838"/>
      <c r="J238" s="839"/>
      <c r="K238" s="2"/>
      <c r="L238" s="2"/>
      <c r="M238" s="388"/>
    </row>
    <row r="239" spans="1:13" ht="14.1" customHeight="1">
      <c r="B239" s="28"/>
      <c r="C239" s="28"/>
      <c r="D239" s="273" t="s">
        <v>849</v>
      </c>
      <c r="E239" s="109">
        <v>34</v>
      </c>
      <c r="F239" s="332"/>
      <c r="G239" s="329">
        <f t="shared" ref="G239:G247" si="50">F239*E239</f>
        <v>0</v>
      </c>
      <c r="H239" s="500" t="s">
        <v>911</v>
      </c>
      <c r="I239" s="841"/>
      <c r="J239" s="842"/>
      <c r="K239" s="394"/>
      <c r="L239" s="394"/>
      <c r="M239" s="2"/>
    </row>
    <row r="240" spans="1:13" ht="14.1" customHeight="1">
      <c r="A240" s="68"/>
      <c r="B240" s="29"/>
      <c r="C240" s="29"/>
      <c r="D240" s="322" t="s">
        <v>843</v>
      </c>
      <c r="E240" s="317"/>
      <c r="F240" s="321">
        <f>SUM(F238:F239)</f>
        <v>2072</v>
      </c>
      <c r="G240" s="320">
        <f>SUM(G238:G239)</f>
        <v>32116</v>
      </c>
      <c r="H240" s="29"/>
      <c r="I240" s="844" t="s">
        <v>906</v>
      </c>
      <c r="J240" s="845"/>
      <c r="K240" s="490">
        <f>SUM(K232:K239)</f>
        <v>0.26600000000000001</v>
      </c>
      <c r="L240" s="491"/>
      <c r="M240" s="489">
        <f>SUM(M232:M239)</f>
        <v>215.31</v>
      </c>
    </row>
    <row r="241" spans="2:13" ht="14.1" customHeight="1">
      <c r="B241" s="28"/>
      <c r="C241" s="28"/>
      <c r="D241" s="390" t="s">
        <v>968</v>
      </c>
      <c r="E241" s="109">
        <v>360</v>
      </c>
      <c r="F241" s="332">
        <v>100</v>
      </c>
      <c r="G241" s="329">
        <f t="shared" si="50"/>
        <v>36000</v>
      </c>
      <c r="H241" s="29"/>
      <c r="I241" s="29"/>
      <c r="J241" s="29"/>
      <c r="K241" s="29"/>
      <c r="L241" s="29"/>
      <c r="M241" s="263">
        <f>G227+M240</f>
        <v>73570.756999999983</v>
      </c>
    </row>
    <row r="242" spans="2:13" ht="14.1" customHeight="1">
      <c r="B242" s="28"/>
      <c r="C242" s="28"/>
      <c r="D242" s="273" t="s">
        <v>1067</v>
      </c>
      <c r="E242" s="389">
        <v>416</v>
      </c>
      <c r="F242" s="332">
        <v>180</v>
      </c>
      <c r="G242" s="329">
        <f t="shared" si="50"/>
        <v>74880</v>
      </c>
      <c r="H242" s="29"/>
      <c r="I242" s="29"/>
      <c r="J242" s="29"/>
      <c r="K242" s="29"/>
      <c r="L242" s="29"/>
    </row>
    <row r="243" spans="2:13" ht="14.1" customHeight="1">
      <c r="B243" s="28"/>
      <c r="C243" s="28"/>
      <c r="D243" s="273" t="s">
        <v>907</v>
      </c>
      <c r="E243" s="389">
        <v>46</v>
      </c>
      <c r="F243" s="332">
        <v>300</v>
      </c>
      <c r="G243" s="329">
        <f t="shared" si="50"/>
        <v>13800</v>
      </c>
      <c r="H243" s="29"/>
      <c r="I243" s="29"/>
      <c r="J243" s="29"/>
      <c r="K243" s="29"/>
      <c r="L243" s="29"/>
    </row>
    <row r="244" spans="2:13" ht="14.1" customHeight="1">
      <c r="B244" s="28"/>
      <c r="C244" s="28"/>
      <c r="D244" s="273" t="s">
        <v>27</v>
      </c>
      <c r="E244" s="109">
        <v>22</v>
      </c>
      <c r="F244" s="332"/>
      <c r="G244" s="329">
        <f t="shared" si="50"/>
        <v>0</v>
      </c>
      <c r="H244" s="29"/>
      <c r="I244" s="29"/>
      <c r="J244" s="29"/>
      <c r="K244" s="29"/>
      <c r="L244" s="29"/>
    </row>
    <row r="245" spans="2:13" ht="14.1" customHeight="1">
      <c r="B245" s="28"/>
      <c r="C245" s="28"/>
      <c r="D245" s="273" t="s">
        <v>1062</v>
      </c>
      <c r="E245" s="109">
        <v>34</v>
      </c>
      <c r="F245" s="332"/>
      <c r="G245" s="329">
        <f t="shared" si="50"/>
        <v>0</v>
      </c>
      <c r="H245" s="28"/>
      <c r="I245" s="28"/>
      <c r="J245" s="28"/>
      <c r="K245" s="28"/>
      <c r="L245" s="28"/>
    </row>
    <row r="246" spans="2:13" ht="14.1" customHeight="1">
      <c r="B246" s="28"/>
      <c r="C246" s="28"/>
      <c r="D246" s="273" t="s">
        <v>24</v>
      </c>
      <c r="E246" s="109">
        <v>74</v>
      </c>
      <c r="F246" s="535">
        <v>100</v>
      </c>
      <c r="G246" s="329">
        <f t="shared" si="50"/>
        <v>7400</v>
      </c>
      <c r="H246" s="28"/>
      <c r="I246" s="28"/>
      <c r="J246" s="28"/>
      <c r="K246" s="28"/>
      <c r="L246" s="28"/>
    </row>
    <row r="247" spans="2:13" ht="14.1" customHeight="1">
      <c r="B247" s="28"/>
      <c r="C247" s="28"/>
      <c r="D247" s="534" t="s">
        <v>185</v>
      </c>
      <c r="E247" s="109">
        <v>490</v>
      </c>
      <c r="F247" s="332">
        <v>60</v>
      </c>
      <c r="G247" s="329">
        <f t="shared" si="50"/>
        <v>29400</v>
      </c>
      <c r="H247" s="28"/>
      <c r="I247" s="28"/>
      <c r="J247" s="28"/>
      <c r="K247" s="28"/>
      <c r="L247" s="28"/>
    </row>
    <row r="248" spans="2:13" ht="14.1" customHeight="1">
      <c r="B248" s="28"/>
      <c r="C248" s="28"/>
      <c r="D248" s="331" t="s">
        <v>843</v>
      </c>
      <c r="E248" s="109"/>
      <c r="F248" s="332">
        <f>SUM(F241:F247)</f>
        <v>740</v>
      </c>
      <c r="G248" s="329">
        <f>SUM(G241:G247)</f>
        <v>161480</v>
      </c>
    </row>
    <row r="249" spans="2:13" ht="14.1" customHeight="1">
      <c r="B249" s="28"/>
      <c r="C249" s="28"/>
      <c r="D249" s="322" t="s">
        <v>969</v>
      </c>
      <c r="E249" s="317"/>
      <c r="F249" s="321">
        <f>F240+F248</f>
        <v>2812</v>
      </c>
      <c r="G249" s="320">
        <f>G240+G248</f>
        <v>193596</v>
      </c>
    </row>
    <row r="250" spans="2:13" ht="14.1" customHeight="1"/>
    <row r="251" spans="2:13" ht="14.1" customHeight="1"/>
    <row r="252" spans="2:13" ht="14.1" customHeight="1"/>
    <row r="253" spans="2:13" ht="14.1" customHeight="1"/>
    <row r="254" spans="2:13" ht="14.1" customHeight="1"/>
    <row r="255" spans="2:13" ht="14.1" customHeight="1"/>
    <row r="256" spans="2:13" ht="14.1" customHeight="1"/>
    <row r="257" spans="1:13" ht="14.1" customHeight="1"/>
    <row r="258" spans="1:13" ht="14.1" customHeight="1"/>
    <row r="259" spans="1:13" ht="14.1" customHeight="1"/>
    <row r="260" spans="1:13" ht="14.1" customHeight="1"/>
    <row r="261" spans="1:13" ht="14.1" customHeight="1"/>
    <row r="262" spans="1:13" ht="14.1" customHeight="1"/>
    <row r="263" spans="1:13" ht="14.1" customHeight="1"/>
    <row r="264" spans="1:13" s="64" customFormat="1" ht="14.1" customHeight="1">
      <c r="A264" s="840" t="s">
        <v>240</v>
      </c>
      <c r="B264" s="840"/>
      <c r="C264" s="840" t="s">
        <v>765</v>
      </c>
      <c r="D264" s="840"/>
      <c r="E264" s="840" t="s">
        <v>764</v>
      </c>
      <c r="F264" s="840"/>
      <c r="G264" s="380" t="s">
        <v>66</v>
      </c>
      <c r="H264" s="840" t="s">
        <v>411</v>
      </c>
      <c r="I264" s="840"/>
      <c r="J264" s="840"/>
      <c r="K264" s="840" t="s">
        <v>68</v>
      </c>
      <c r="L264" s="840"/>
      <c r="M264" s="840"/>
    </row>
  </sheetData>
  <mergeCells count="29">
    <mergeCell ref="A264:B264"/>
    <mergeCell ref="C264:D264"/>
    <mergeCell ref="E264:F264"/>
    <mergeCell ref="H264:J264"/>
    <mergeCell ref="K264:M264"/>
    <mergeCell ref="B237:C237"/>
    <mergeCell ref="I237:J237"/>
    <mergeCell ref="I238:J238"/>
    <mergeCell ref="I239:J239"/>
    <mergeCell ref="I240:J240"/>
    <mergeCell ref="A1:M1"/>
    <mergeCell ref="A2:M2"/>
    <mergeCell ref="A3:M3"/>
    <mergeCell ref="D232:E232"/>
    <mergeCell ref="D233:E233"/>
    <mergeCell ref="I232:J232"/>
    <mergeCell ref="I233:J233"/>
    <mergeCell ref="K154:M154"/>
    <mergeCell ref="K4:M4"/>
    <mergeCell ref="K19:M19"/>
    <mergeCell ref="K34:M34"/>
    <mergeCell ref="K43:M43"/>
    <mergeCell ref="K49:M49"/>
    <mergeCell ref="K107:M107"/>
    <mergeCell ref="D234:E234"/>
    <mergeCell ref="I234:J234"/>
    <mergeCell ref="I235:J235"/>
    <mergeCell ref="I236:J236"/>
    <mergeCell ref="K187:M187"/>
  </mergeCells>
  <pageMargins left="0.45" right="0.2" top="0.25" bottom="0.25" header="0.3" footer="0.3"/>
  <pageSetup scale="8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230"/>
  <sheetViews>
    <sheetView topLeftCell="A88" workbookViewId="0">
      <selection activeCell="B100" sqref="B100:F100"/>
    </sheetView>
  </sheetViews>
  <sheetFormatPr defaultRowHeight="15"/>
  <cols>
    <col min="1" max="1" width="8.140625" customWidth="1"/>
    <col min="2" max="2" width="10.7109375" customWidth="1"/>
    <col min="3" max="3" width="12.5703125" bestFit="1" customWidth="1"/>
    <col min="4" max="4" width="20.28515625" customWidth="1"/>
    <col min="5" max="5" width="12.7109375" bestFit="1" customWidth="1"/>
    <col min="6" max="6" width="10.5703125" bestFit="1" customWidth="1"/>
    <col min="7" max="7" width="24.42578125" bestFit="1" customWidth="1"/>
    <col min="8" max="8" width="6.42578125" bestFit="1" customWidth="1"/>
    <col min="9" max="9" width="11" bestFit="1" customWidth="1"/>
    <col min="10" max="10" width="10.5703125" bestFit="1" customWidth="1"/>
    <col min="11" max="11" width="11.5703125" bestFit="1" customWidth="1"/>
    <col min="12" max="12" width="9.42578125" customWidth="1"/>
    <col min="13" max="13" width="10.7109375" customWidth="1"/>
    <col min="14" max="14" width="12.7109375" customWidth="1"/>
  </cols>
  <sheetData>
    <row r="1" spans="1:14" ht="18.75">
      <c r="A1" s="846" t="s">
        <v>146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351"/>
    </row>
    <row r="2" spans="1:14">
      <c r="A2" s="827" t="s">
        <v>147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384"/>
    </row>
    <row r="3" spans="1:14" s="9" customFormat="1">
      <c r="A3" s="828" t="s">
        <v>148</v>
      </c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  <c r="M3" s="828"/>
      <c r="N3" s="385"/>
    </row>
    <row r="4" spans="1:14">
      <c r="A4" s="70" t="s">
        <v>21</v>
      </c>
      <c r="B4" s="70"/>
      <c r="C4" s="70"/>
      <c r="D4" s="70"/>
      <c r="E4" s="70"/>
      <c r="F4" s="71"/>
      <c r="G4" s="71"/>
      <c r="H4" s="71"/>
      <c r="I4" s="71"/>
      <c r="J4" s="71"/>
      <c r="K4" s="824" t="s">
        <v>1147</v>
      </c>
      <c r="L4" s="824"/>
      <c r="M4" s="824"/>
      <c r="N4" s="71"/>
    </row>
    <row r="5" spans="1:14">
      <c r="A5" s="172" t="s">
        <v>0</v>
      </c>
      <c r="B5" s="172" t="s">
        <v>7</v>
      </c>
      <c r="C5" s="172" t="s">
        <v>13</v>
      </c>
      <c r="D5" s="172" t="s">
        <v>14</v>
      </c>
      <c r="E5" s="172" t="s">
        <v>8</v>
      </c>
      <c r="F5" s="172" t="s">
        <v>1</v>
      </c>
      <c r="G5" s="172" t="s">
        <v>2</v>
      </c>
      <c r="H5" s="172" t="s">
        <v>15</v>
      </c>
      <c r="I5" s="172" t="s">
        <v>3</v>
      </c>
      <c r="J5" s="172" t="s">
        <v>4</v>
      </c>
      <c r="K5" s="172" t="s">
        <v>5</v>
      </c>
      <c r="L5" s="172" t="s">
        <v>12</v>
      </c>
      <c r="M5" s="172" t="s">
        <v>6</v>
      </c>
      <c r="N5" s="71"/>
    </row>
    <row r="6" spans="1:14">
      <c r="A6" s="120">
        <v>1</v>
      </c>
      <c r="B6" s="556" t="s">
        <v>1131</v>
      </c>
      <c r="C6" s="556" t="s">
        <v>217</v>
      </c>
      <c r="D6" s="556" t="s">
        <v>514</v>
      </c>
      <c r="E6" s="120"/>
      <c r="F6" s="90">
        <f>6500*1.0936</f>
        <v>7108.4</v>
      </c>
      <c r="G6" s="120" t="s">
        <v>170</v>
      </c>
      <c r="H6" s="79"/>
      <c r="I6" s="80">
        <v>8</v>
      </c>
      <c r="J6" s="81">
        <v>227</v>
      </c>
      <c r="K6" s="81">
        <f t="shared" ref="K6:K7" si="0">I6*J6</f>
        <v>1816</v>
      </c>
      <c r="L6" s="79"/>
      <c r="M6" s="156">
        <f>I6+I10+I14+I18</f>
        <v>62</v>
      </c>
      <c r="N6" s="120" t="s">
        <v>173</v>
      </c>
    </row>
    <row r="7" spans="1:14">
      <c r="A7" s="120"/>
      <c r="B7" s="120"/>
      <c r="C7" s="120"/>
      <c r="D7" s="120"/>
      <c r="E7" s="120"/>
      <c r="F7" s="120"/>
      <c r="G7" s="120" t="s">
        <v>171</v>
      </c>
      <c r="H7" s="79"/>
      <c r="I7" s="80">
        <v>5</v>
      </c>
      <c r="J7" s="81">
        <v>416</v>
      </c>
      <c r="K7" s="81">
        <f t="shared" si="0"/>
        <v>2080</v>
      </c>
      <c r="L7" s="79"/>
      <c r="M7" s="156" t="e">
        <f>I7+I11+I15+I19+I31+I37+#REF!</f>
        <v>#REF!</v>
      </c>
      <c r="N7" s="120" t="s">
        <v>174</v>
      </c>
    </row>
    <row r="8" spans="1:14">
      <c r="A8" s="120"/>
      <c r="B8" s="120"/>
      <c r="C8" s="120"/>
      <c r="D8" s="120"/>
      <c r="E8" s="120"/>
      <c r="F8" s="87"/>
      <c r="G8" s="120" t="s">
        <v>172</v>
      </c>
      <c r="H8" s="79"/>
      <c r="I8" s="80">
        <v>3</v>
      </c>
      <c r="J8" s="81">
        <v>165</v>
      </c>
      <c r="K8" s="81">
        <f>I8*J8</f>
        <v>495</v>
      </c>
      <c r="L8" s="79"/>
      <c r="M8" s="156" t="e">
        <f>I8+I12+I16+I20+I32+I38+#REF!</f>
        <v>#REF!</v>
      </c>
      <c r="N8" s="120" t="s">
        <v>172</v>
      </c>
    </row>
    <row r="9" spans="1:14">
      <c r="A9" s="120"/>
      <c r="B9" s="120"/>
      <c r="C9" s="120"/>
      <c r="D9" s="120"/>
      <c r="E9" s="177" t="s">
        <v>9</v>
      </c>
      <c r="F9" s="108">
        <f>SUM(F6:F8)</f>
        <v>7108.4</v>
      </c>
      <c r="G9" s="177"/>
      <c r="H9" s="177"/>
      <c r="I9" s="80"/>
      <c r="J9" s="81"/>
      <c r="K9" s="103">
        <f>SUM(K6:K8)</f>
        <v>4391</v>
      </c>
      <c r="L9" s="103">
        <f>K9/F9</f>
        <v>0.61771988070451866</v>
      </c>
      <c r="M9" s="156" t="e">
        <f>I29+I35+#REF!+I44+I47+I50+I53</f>
        <v>#REF!</v>
      </c>
      <c r="N9" s="120" t="s">
        <v>24</v>
      </c>
    </row>
    <row r="10" spans="1:14">
      <c r="A10" s="120">
        <v>2</v>
      </c>
      <c r="B10" s="556" t="s">
        <v>1149</v>
      </c>
      <c r="C10" s="556" t="s">
        <v>217</v>
      </c>
      <c r="D10" s="556" t="s">
        <v>514</v>
      </c>
      <c r="E10" s="556"/>
      <c r="F10" s="90">
        <f>15286*1.0936</f>
        <v>16716.7696</v>
      </c>
      <c r="G10" s="120" t="s">
        <v>170</v>
      </c>
      <c r="H10" s="79"/>
      <c r="I10" s="80">
        <v>18</v>
      </c>
      <c r="J10" s="81">
        <v>227</v>
      </c>
      <c r="K10" s="81">
        <f t="shared" ref="K10:K11" si="1">I10*J10</f>
        <v>4086</v>
      </c>
      <c r="L10" s="79"/>
      <c r="M10" s="156" t="e">
        <f>I30+I36+#REF!</f>
        <v>#REF!</v>
      </c>
      <c r="N10" s="120" t="s">
        <v>175</v>
      </c>
    </row>
    <row r="11" spans="1:14">
      <c r="A11" s="120"/>
      <c r="B11" s="120"/>
      <c r="C11" s="120"/>
      <c r="D11" s="120"/>
      <c r="E11" s="120"/>
      <c r="F11" s="87"/>
      <c r="G11" s="120" t="s">
        <v>171</v>
      </c>
      <c r="H11" s="79"/>
      <c r="I11" s="80">
        <v>12</v>
      </c>
      <c r="J11" s="81">
        <v>416</v>
      </c>
      <c r="K11" s="81">
        <f t="shared" si="1"/>
        <v>4992</v>
      </c>
      <c r="L11" s="79"/>
      <c r="M11" s="156" t="e">
        <f>I33+I39+#REF!</f>
        <v>#REF!</v>
      </c>
      <c r="N11" s="83" t="s">
        <v>176</v>
      </c>
    </row>
    <row r="12" spans="1:14">
      <c r="A12" s="120"/>
      <c r="B12" s="120"/>
      <c r="C12" s="120"/>
      <c r="D12" s="120"/>
      <c r="E12" s="120"/>
      <c r="F12" s="87"/>
      <c r="G12" s="120" t="s">
        <v>172</v>
      </c>
      <c r="H12" s="79"/>
      <c r="I12" s="80">
        <v>6</v>
      </c>
      <c r="J12" s="81">
        <v>165</v>
      </c>
      <c r="K12" s="81">
        <f>I12*J12</f>
        <v>990</v>
      </c>
      <c r="L12" s="79"/>
      <c r="M12" s="156">
        <f>I45+I48+I51+I54</f>
        <v>66</v>
      </c>
      <c r="N12" s="84" t="s">
        <v>10</v>
      </c>
    </row>
    <row r="13" spans="1:14">
      <c r="A13" s="120"/>
      <c r="B13" s="120"/>
      <c r="C13" s="120"/>
      <c r="D13" s="120"/>
      <c r="E13" s="177" t="s">
        <v>9</v>
      </c>
      <c r="F13" s="108">
        <f>SUM(F10:F12)</f>
        <v>16716.7696</v>
      </c>
      <c r="G13" s="177"/>
      <c r="H13" s="177"/>
      <c r="I13" s="80"/>
      <c r="J13" s="81"/>
      <c r="K13" s="103">
        <f>SUM(K10:K12)</f>
        <v>10068</v>
      </c>
      <c r="L13" s="103">
        <f>K13/F13</f>
        <v>0.60226947196783764</v>
      </c>
      <c r="M13" s="79"/>
      <c r="N13" s="71"/>
    </row>
    <row r="14" spans="1:14">
      <c r="A14" s="120">
        <v>3</v>
      </c>
      <c r="B14" s="556" t="s">
        <v>1148</v>
      </c>
      <c r="C14" s="556" t="s">
        <v>217</v>
      </c>
      <c r="D14" s="556" t="s">
        <v>514</v>
      </c>
      <c r="E14" s="556"/>
      <c r="F14" s="90">
        <f>4770*1.0936</f>
        <v>5216.4719999999998</v>
      </c>
      <c r="G14" s="120" t="s">
        <v>170</v>
      </c>
      <c r="H14" s="79"/>
      <c r="I14" s="80">
        <v>6</v>
      </c>
      <c r="J14" s="81">
        <v>227</v>
      </c>
      <c r="K14" s="81">
        <f t="shared" ref="K14:K15" si="2">I14*J14</f>
        <v>1362</v>
      </c>
      <c r="L14" s="103"/>
      <c r="M14" s="79"/>
      <c r="N14" s="71"/>
    </row>
    <row r="15" spans="1:14">
      <c r="A15" s="120"/>
      <c r="B15" s="120"/>
      <c r="C15" s="120"/>
      <c r="D15" s="120"/>
      <c r="E15" s="177"/>
      <c r="F15" s="108"/>
      <c r="G15" s="120" t="s">
        <v>171</v>
      </c>
      <c r="H15" s="79"/>
      <c r="I15" s="80">
        <v>3</v>
      </c>
      <c r="J15" s="81">
        <v>416</v>
      </c>
      <c r="K15" s="81">
        <f t="shared" si="2"/>
        <v>1248</v>
      </c>
      <c r="L15" s="103"/>
      <c r="M15" s="79"/>
      <c r="N15" s="71"/>
    </row>
    <row r="16" spans="1:14">
      <c r="A16" s="120"/>
      <c r="B16" s="120"/>
      <c r="C16" s="120"/>
      <c r="D16" s="120"/>
      <c r="E16" s="177"/>
      <c r="F16" s="108"/>
      <c r="G16" s="120" t="s">
        <v>172</v>
      </c>
      <c r="H16" s="79"/>
      <c r="I16" s="80">
        <v>2</v>
      </c>
      <c r="J16" s="81">
        <v>165</v>
      </c>
      <c r="K16" s="81">
        <f>I16*J16</f>
        <v>330</v>
      </c>
      <c r="L16" s="103"/>
      <c r="M16" s="79"/>
      <c r="N16" s="71"/>
    </row>
    <row r="17" spans="1:15">
      <c r="A17" s="120"/>
      <c r="B17" s="120"/>
      <c r="C17" s="120"/>
      <c r="D17" s="120"/>
      <c r="E17" s="177" t="s">
        <v>9</v>
      </c>
      <c r="F17" s="108">
        <f>SUM(F14:F16)</f>
        <v>5216.4719999999998</v>
      </c>
      <c r="G17" s="177"/>
      <c r="H17" s="177"/>
      <c r="I17" s="80"/>
      <c r="J17" s="81"/>
      <c r="K17" s="103">
        <f>SUM(K14:K16)</f>
        <v>2940</v>
      </c>
      <c r="L17" s="103">
        <f>K17/F17</f>
        <v>0.56359930619775211</v>
      </c>
      <c r="M17" s="79"/>
      <c r="N17" s="71"/>
    </row>
    <row r="18" spans="1:15">
      <c r="A18" s="120">
        <v>4</v>
      </c>
      <c r="B18" s="556" t="s">
        <v>1077</v>
      </c>
      <c r="C18" s="89" t="s">
        <v>1150</v>
      </c>
      <c r="D18" s="89" t="s">
        <v>1151</v>
      </c>
      <c r="E18" s="120"/>
      <c r="F18" s="90">
        <f>15042*1.0936</f>
        <v>16449.931199999999</v>
      </c>
      <c r="G18" s="120" t="s">
        <v>170</v>
      </c>
      <c r="H18" s="79"/>
      <c r="I18" s="80">
        <v>30</v>
      </c>
      <c r="J18" s="81">
        <v>227</v>
      </c>
      <c r="K18" s="81">
        <f t="shared" ref="K18:K19" si="3">I18*J18</f>
        <v>6810</v>
      </c>
      <c r="L18" s="79"/>
      <c r="M18" s="79"/>
    </row>
    <row r="19" spans="1:15">
      <c r="A19" s="120"/>
      <c r="B19" s="120"/>
      <c r="C19" s="120"/>
      <c r="D19" s="120"/>
      <c r="E19" s="120"/>
      <c r="F19" s="87"/>
      <c r="G19" s="120" t="s">
        <v>171</v>
      </c>
      <c r="H19" s="79"/>
      <c r="I19" s="80">
        <v>20</v>
      </c>
      <c r="J19" s="81">
        <v>416</v>
      </c>
      <c r="K19" s="81">
        <f t="shared" si="3"/>
        <v>8320</v>
      </c>
      <c r="L19" s="79"/>
      <c r="M19" s="79"/>
    </row>
    <row r="20" spans="1:15">
      <c r="A20" s="120"/>
      <c r="B20" s="120"/>
      <c r="C20" s="120"/>
      <c r="D20" s="120"/>
      <c r="E20" s="120"/>
      <c r="F20" s="87"/>
      <c r="G20" s="120" t="s">
        <v>172</v>
      </c>
      <c r="H20" s="79"/>
      <c r="I20" s="80">
        <v>15</v>
      </c>
      <c r="J20" s="81">
        <v>165</v>
      </c>
      <c r="K20" s="81">
        <f>I20*J20</f>
        <v>2475</v>
      </c>
      <c r="L20" s="79"/>
      <c r="M20" s="79"/>
    </row>
    <row r="21" spans="1:15">
      <c r="A21" s="120"/>
      <c r="B21" s="120"/>
      <c r="C21" s="120"/>
      <c r="D21" s="120"/>
      <c r="E21" s="273" t="s">
        <v>9</v>
      </c>
      <c r="F21" s="108">
        <f>SUM(F18:F20)</f>
        <v>16449.931199999999</v>
      </c>
      <c r="G21" s="273"/>
      <c r="H21" s="273"/>
      <c r="I21" s="80"/>
      <c r="J21" s="81"/>
      <c r="K21" s="103">
        <f>SUM(K18:K20)</f>
        <v>17605</v>
      </c>
      <c r="L21" s="103">
        <f>K21/F21</f>
        <v>1.0702172420028115</v>
      </c>
      <c r="M21" s="79"/>
    </row>
    <row r="22" spans="1:15">
      <c r="A22" s="556">
        <v>5</v>
      </c>
      <c r="B22" s="556" t="s">
        <v>892</v>
      </c>
      <c r="C22" s="89" t="s">
        <v>766</v>
      </c>
      <c r="D22" s="89" t="s">
        <v>465</v>
      </c>
      <c r="E22" s="229"/>
      <c r="F22" s="90">
        <f>2790*1.0936</f>
        <v>3051.1439999999998</v>
      </c>
      <c r="G22" s="556" t="s">
        <v>170</v>
      </c>
      <c r="H22" s="79"/>
      <c r="I22" s="80">
        <v>4</v>
      </c>
      <c r="J22" s="81">
        <v>227</v>
      </c>
      <c r="K22" s="81">
        <f t="shared" ref="K22:K23" si="4">I22*J22</f>
        <v>908</v>
      </c>
      <c r="L22" s="79"/>
      <c r="M22" s="79"/>
      <c r="O22" s="585"/>
    </row>
    <row r="23" spans="1:15">
      <c r="A23" s="556"/>
      <c r="B23" s="556" t="s">
        <v>269</v>
      </c>
      <c r="C23" s="556"/>
      <c r="D23" s="556"/>
      <c r="E23" s="556"/>
      <c r="F23" s="90">
        <f>181*1.0936</f>
        <v>197.94159999999999</v>
      </c>
      <c r="G23" s="556" t="s">
        <v>171</v>
      </c>
      <c r="H23" s="79"/>
      <c r="I23" s="80">
        <v>2</v>
      </c>
      <c r="J23" s="81">
        <v>416</v>
      </c>
      <c r="K23" s="81">
        <f t="shared" si="4"/>
        <v>832</v>
      </c>
      <c r="L23" s="79"/>
      <c r="M23" s="79"/>
    </row>
    <row r="24" spans="1:15">
      <c r="A24" s="556"/>
      <c r="B24" s="556"/>
      <c r="C24" s="556"/>
      <c r="D24" s="556"/>
      <c r="E24" s="556"/>
      <c r="F24" s="87"/>
      <c r="G24" s="556" t="s">
        <v>172</v>
      </c>
      <c r="H24" s="79"/>
      <c r="I24" s="80">
        <v>1.5</v>
      </c>
      <c r="J24" s="81">
        <v>165</v>
      </c>
      <c r="K24" s="81">
        <f>I24*J24</f>
        <v>247.5</v>
      </c>
      <c r="L24" s="79"/>
      <c r="M24" s="79"/>
    </row>
    <row r="25" spans="1:15">
      <c r="A25" s="120"/>
      <c r="B25" s="120"/>
      <c r="C25" s="120"/>
      <c r="D25" s="120"/>
      <c r="E25" s="177" t="s">
        <v>9</v>
      </c>
      <c r="F25" s="108">
        <f>SUM(F22:F24)</f>
        <v>3249.0855999999999</v>
      </c>
      <c r="G25" s="177"/>
      <c r="H25" s="177"/>
      <c r="I25" s="80"/>
      <c r="J25" s="81"/>
      <c r="K25" s="103">
        <f>SUM(K22:K24)</f>
        <v>1987.5</v>
      </c>
      <c r="L25" s="103">
        <f>K25/F25</f>
        <v>0.61171056865968687</v>
      </c>
      <c r="M25" s="79"/>
    </row>
    <row r="26" spans="1:15">
      <c r="A26" s="107"/>
      <c r="B26" s="107"/>
      <c r="C26" s="107"/>
      <c r="D26" s="126" t="s">
        <v>30</v>
      </c>
      <c r="E26" s="126"/>
      <c r="F26" s="127">
        <f>F9+F13+F17+F21+F25</f>
        <v>48740.6584</v>
      </c>
      <c r="G26" s="128"/>
      <c r="H26" s="128"/>
      <c r="I26" s="128"/>
      <c r="J26" s="128"/>
      <c r="K26" s="127">
        <f>K9+K13+K17+K21+K25</f>
        <v>36991.5</v>
      </c>
      <c r="L26" s="129">
        <f>K26/F26</f>
        <v>0.75894543106951551</v>
      </c>
      <c r="M26" s="107"/>
    </row>
    <row r="27" spans="1:15">
      <c r="A27" s="70" t="s">
        <v>23</v>
      </c>
      <c r="B27" s="70"/>
      <c r="C27" s="70"/>
      <c r="D27" s="70"/>
      <c r="E27" s="70"/>
      <c r="F27" s="71"/>
      <c r="G27" s="71"/>
      <c r="H27" s="71"/>
      <c r="I27" s="71"/>
      <c r="J27" s="71"/>
      <c r="K27" s="824" t="s">
        <v>1147</v>
      </c>
      <c r="L27" s="824"/>
      <c r="M27" s="824"/>
    </row>
    <row r="28" spans="1:15">
      <c r="A28" s="172" t="s">
        <v>0</v>
      </c>
      <c r="B28" s="172" t="s">
        <v>7</v>
      </c>
      <c r="C28" s="172" t="s">
        <v>13</v>
      </c>
      <c r="D28" s="172" t="s">
        <v>14</v>
      </c>
      <c r="E28" s="172" t="s">
        <v>8</v>
      </c>
      <c r="F28" s="172" t="s">
        <v>1</v>
      </c>
      <c r="G28" s="172" t="s">
        <v>2</v>
      </c>
      <c r="H28" s="172" t="s">
        <v>15</v>
      </c>
      <c r="I28" s="172" t="s">
        <v>3</v>
      </c>
      <c r="J28" s="172" t="s">
        <v>4</v>
      </c>
      <c r="K28" s="172" t="s">
        <v>5</v>
      </c>
      <c r="L28" s="172" t="s">
        <v>12</v>
      </c>
      <c r="M28" s="172" t="s">
        <v>6</v>
      </c>
    </row>
    <row r="29" spans="1:15">
      <c r="A29" s="85">
        <v>1</v>
      </c>
      <c r="B29" s="556" t="s">
        <v>1120</v>
      </c>
      <c r="C29" s="556" t="s">
        <v>121</v>
      </c>
      <c r="D29" s="556" t="s">
        <v>369</v>
      </c>
      <c r="E29" s="558"/>
      <c r="F29" s="87">
        <f>15570*1.0936</f>
        <v>17027.351999999999</v>
      </c>
      <c r="G29" s="120" t="s">
        <v>24</v>
      </c>
      <c r="H29" s="79"/>
      <c r="I29" s="80">
        <v>190</v>
      </c>
      <c r="J29" s="81">
        <v>74</v>
      </c>
      <c r="K29" s="81">
        <f t="shared" ref="K29:K31" si="5">I29*J29</f>
        <v>14060</v>
      </c>
      <c r="L29" s="102"/>
      <c r="M29" s="124"/>
    </row>
    <row r="30" spans="1:15">
      <c r="A30" s="85"/>
      <c r="B30" s="120"/>
      <c r="C30" s="120"/>
      <c r="D30" s="120"/>
      <c r="E30" s="120"/>
      <c r="F30" s="87"/>
      <c r="G30" s="88" t="s">
        <v>18</v>
      </c>
      <c r="H30" s="79"/>
      <c r="I30" s="80">
        <v>75</v>
      </c>
      <c r="J30" s="81">
        <v>46</v>
      </c>
      <c r="K30" s="81">
        <f t="shared" si="5"/>
        <v>3450</v>
      </c>
      <c r="L30" s="102"/>
      <c r="M30" s="102"/>
    </row>
    <row r="31" spans="1:15">
      <c r="A31" s="85"/>
      <c r="B31" s="120"/>
      <c r="C31" s="120"/>
      <c r="D31" s="120"/>
      <c r="E31" s="120"/>
      <c r="F31" s="87"/>
      <c r="G31" s="120" t="s">
        <v>171</v>
      </c>
      <c r="H31" s="79"/>
      <c r="I31" s="80">
        <v>40</v>
      </c>
      <c r="J31" s="81">
        <v>416</v>
      </c>
      <c r="K31" s="81">
        <f t="shared" si="5"/>
        <v>16640</v>
      </c>
      <c r="L31" s="102"/>
      <c r="M31" s="102"/>
    </row>
    <row r="32" spans="1:15">
      <c r="A32" s="85"/>
      <c r="B32" s="120"/>
      <c r="C32" s="120"/>
      <c r="D32" s="120"/>
      <c r="E32" s="120"/>
      <c r="F32" s="87"/>
      <c r="G32" s="120" t="s">
        <v>172</v>
      </c>
      <c r="H32" s="79"/>
      <c r="I32" s="80">
        <v>35</v>
      </c>
      <c r="J32" s="81">
        <v>165</v>
      </c>
      <c r="K32" s="81">
        <f>I32*J32</f>
        <v>5775</v>
      </c>
      <c r="L32" s="102"/>
      <c r="M32" s="102"/>
    </row>
    <row r="33" spans="1:13">
      <c r="A33" s="85"/>
      <c r="B33" s="120"/>
      <c r="C33" s="120"/>
      <c r="D33" s="120"/>
      <c r="E33" s="120"/>
      <c r="F33" s="87"/>
      <c r="G33" s="83" t="s">
        <v>181</v>
      </c>
      <c r="H33" s="79"/>
      <c r="I33" s="80">
        <v>40</v>
      </c>
      <c r="J33" s="81">
        <v>165</v>
      </c>
      <c r="K33" s="81">
        <f t="shared" ref="K33" si="6">I33*J33</f>
        <v>6600</v>
      </c>
      <c r="L33" s="102"/>
      <c r="M33" s="102"/>
    </row>
    <row r="34" spans="1:13">
      <c r="A34" s="85"/>
      <c r="B34" s="85"/>
      <c r="C34" s="85"/>
      <c r="D34" s="85"/>
      <c r="E34" s="172" t="s">
        <v>9</v>
      </c>
      <c r="F34" s="110">
        <f>SUM(F29:F33)</f>
        <v>17027.351999999999</v>
      </c>
      <c r="G34" s="172"/>
      <c r="H34" s="172"/>
      <c r="I34" s="125"/>
      <c r="J34" s="97"/>
      <c r="K34" s="111">
        <f>SUM(K29:K33)</f>
        <v>46525</v>
      </c>
      <c r="L34" s="111">
        <f>K34/F34</f>
        <v>2.7323684857163935</v>
      </c>
      <c r="M34" s="102"/>
    </row>
    <row r="35" spans="1:13">
      <c r="A35" s="85">
        <v>2</v>
      </c>
      <c r="B35" s="556" t="s">
        <v>1131</v>
      </c>
      <c r="C35" s="556" t="s">
        <v>217</v>
      </c>
      <c r="D35" s="556" t="s">
        <v>514</v>
      </c>
      <c r="E35" s="556"/>
      <c r="F35" s="90">
        <f>30000*1.0936</f>
        <v>32808</v>
      </c>
      <c r="G35" s="120" t="s">
        <v>24</v>
      </c>
      <c r="H35" s="79"/>
      <c r="I35" s="80">
        <v>390</v>
      </c>
      <c r="J35" s="81">
        <v>74</v>
      </c>
      <c r="K35" s="81">
        <f t="shared" ref="K35:K37" si="7">I35*J35</f>
        <v>28860</v>
      </c>
      <c r="L35" s="102"/>
      <c r="M35" s="102"/>
    </row>
    <row r="36" spans="1:13">
      <c r="A36" s="85"/>
      <c r="B36" s="556" t="s">
        <v>269</v>
      </c>
      <c r="C36" s="556"/>
      <c r="D36" s="556"/>
      <c r="E36" s="556"/>
      <c r="F36" s="90">
        <f>93*1.0936</f>
        <v>101.70479999999999</v>
      </c>
      <c r="G36" s="88" t="s">
        <v>18</v>
      </c>
      <c r="H36" s="79"/>
      <c r="I36" s="80">
        <v>150</v>
      </c>
      <c r="J36" s="81">
        <v>46</v>
      </c>
      <c r="K36" s="81">
        <f t="shared" si="7"/>
        <v>6900</v>
      </c>
      <c r="L36" s="102"/>
      <c r="M36" s="102"/>
    </row>
    <row r="37" spans="1:13">
      <c r="A37" s="85"/>
      <c r="B37" s="120"/>
      <c r="C37" s="120"/>
      <c r="D37" s="120"/>
      <c r="E37" s="120"/>
      <c r="F37" s="87"/>
      <c r="G37" s="120" t="s">
        <v>171</v>
      </c>
      <c r="H37" s="79"/>
      <c r="I37" s="80">
        <v>80</v>
      </c>
      <c r="J37" s="81">
        <v>416</v>
      </c>
      <c r="K37" s="81">
        <f t="shared" si="7"/>
        <v>33280</v>
      </c>
      <c r="L37" s="102"/>
      <c r="M37" s="102"/>
    </row>
    <row r="38" spans="1:13">
      <c r="A38" s="85"/>
      <c r="B38" s="120"/>
      <c r="C38" s="120"/>
      <c r="D38" s="120"/>
      <c r="E38" s="120"/>
      <c r="F38" s="87"/>
      <c r="G38" s="120" t="s">
        <v>172</v>
      </c>
      <c r="H38" s="79"/>
      <c r="I38" s="80">
        <v>70</v>
      </c>
      <c r="J38" s="81">
        <v>165</v>
      </c>
      <c r="K38" s="81">
        <f>I38*J38</f>
        <v>11550</v>
      </c>
      <c r="L38" s="102"/>
      <c r="M38" s="102"/>
    </row>
    <row r="39" spans="1:13">
      <c r="A39" s="85"/>
      <c r="B39" s="120"/>
      <c r="C39" s="120"/>
      <c r="D39" s="120"/>
      <c r="E39" s="120"/>
      <c r="F39" s="87"/>
      <c r="G39" s="83" t="s">
        <v>181</v>
      </c>
      <c r="H39" s="79"/>
      <c r="I39" s="80">
        <v>60</v>
      </c>
      <c r="J39" s="81">
        <v>165</v>
      </c>
      <c r="K39" s="81">
        <f t="shared" ref="K39" si="8">I39*J39</f>
        <v>9900</v>
      </c>
      <c r="L39" s="102"/>
      <c r="M39" s="102"/>
    </row>
    <row r="40" spans="1:13">
      <c r="A40" s="85"/>
      <c r="B40" s="120"/>
      <c r="C40" s="120"/>
      <c r="D40" s="120"/>
      <c r="E40" s="172" t="s">
        <v>9</v>
      </c>
      <c r="F40" s="110">
        <f>SUM(F35:F39)</f>
        <v>32909.7048</v>
      </c>
      <c r="G40" s="172"/>
      <c r="H40" s="172"/>
      <c r="I40" s="125"/>
      <c r="J40" s="97"/>
      <c r="K40" s="111">
        <f>SUM(K35:K39)</f>
        <v>90490</v>
      </c>
      <c r="L40" s="111">
        <f>K40/F40</f>
        <v>2.749644840326857</v>
      </c>
      <c r="M40" s="102"/>
    </row>
    <row r="41" spans="1:13">
      <c r="A41" s="131"/>
      <c r="B41" s="131"/>
      <c r="C41" s="131"/>
      <c r="D41" s="172" t="s">
        <v>30</v>
      </c>
      <c r="E41" s="172"/>
      <c r="F41" s="127">
        <f>F34+F40</f>
        <v>49937.056799999998</v>
      </c>
      <c r="G41" s="132"/>
      <c r="H41" s="132"/>
      <c r="I41" s="132"/>
      <c r="J41" s="132"/>
      <c r="K41" s="127">
        <f>K34+K40</f>
        <v>137015</v>
      </c>
      <c r="L41" s="129">
        <f>K41/F41</f>
        <v>2.7437540131520128</v>
      </c>
      <c r="M41" s="102"/>
    </row>
    <row r="42" spans="1:13">
      <c r="A42" s="70" t="s">
        <v>22</v>
      </c>
      <c r="B42" s="70"/>
      <c r="C42" s="70"/>
      <c r="D42" s="70"/>
      <c r="E42" s="70"/>
      <c r="F42" s="71"/>
      <c r="G42" s="71"/>
      <c r="H42" s="71"/>
      <c r="I42" s="71"/>
      <c r="J42" s="71"/>
      <c r="K42" s="824" t="s">
        <v>1147</v>
      </c>
      <c r="L42" s="824"/>
      <c r="M42" s="824"/>
    </row>
    <row r="43" spans="1:13">
      <c r="A43" s="172" t="s">
        <v>0</v>
      </c>
      <c r="B43" s="172" t="s">
        <v>7</v>
      </c>
      <c r="C43" s="172" t="s">
        <v>13</v>
      </c>
      <c r="D43" s="172" t="s">
        <v>14</v>
      </c>
      <c r="E43" s="172" t="s">
        <v>8</v>
      </c>
      <c r="F43" s="172" t="s">
        <v>1</v>
      </c>
      <c r="G43" s="172" t="s">
        <v>2</v>
      </c>
      <c r="H43" s="172" t="s">
        <v>15</v>
      </c>
      <c r="I43" s="172" t="s">
        <v>3</v>
      </c>
      <c r="J43" s="172" t="s">
        <v>4</v>
      </c>
      <c r="K43" s="172" t="s">
        <v>5</v>
      </c>
      <c r="L43" s="172" t="s">
        <v>12</v>
      </c>
      <c r="M43" s="172" t="s">
        <v>6</v>
      </c>
    </row>
    <row r="44" spans="1:13">
      <c r="A44" s="85">
        <v>1</v>
      </c>
      <c r="B44" s="556" t="s">
        <v>1152</v>
      </c>
      <c r="C44" s="556" t="s">
        <v>121</v>
      </c>
      <c r="D44" s="556" t="s">
        <v>369</v>
      </c>
      <c r="E44" s="558"/>
      <c r="F44" s="87">
        <f>15640*1.0936</f>
        <v>17103.903999999999</v>
      </c>
      <c r="G44" s="120" t="s">
        <v>24</v>
      </c>
      <c r="H44" s="79"/>
      <c r="I44" s="80">
        <v>240</v>
      </c>
      <c r="J44" s="81">
        <v>74</v>
      </c>
      <c r="K44" s="81">
        <f t="shared" ref="K44:K45" si="9">I44*J44</f>
        <v>17760</v>
      </c>
      <c r="L44" s="102"/>
      <c r="M44" s="124"/>
    </row>
    <row r="45" spans="1:13">
      <c r="A45" s="85"/>
      <c r="B45" s="120"/>
      <c r="C45" s="120"/>
      <c r="D45" s="120"/>
      <c r="E45" s="85"/>
      <c r="F45" s="98"/>
      <c r="G45" s="84" t="s">
        <v>10</v>
      </c>
      <c r="H45" s="79"/>
      <c r="I45" s="80">
        <v>25</v>
      </c>
      <c r="J45" s="81">
        <v>120</v>
      </c>
      <c r="K45" s="81">
        <f t="shared" si="9"/>
        <v>3000</v>
      </c>
      <c r="L45" s="102"/>
      <c r="M45" s="102"/>
    </row>
    <row r="46" spans="1:13">
      <c r="A46" s="85"/>
      <c r="B46" s="120"/>
      <c r="C46" s="120"/>
      <c r="D46" s="120"/>
      <c r="E46" s="172" t="s">
        <v>9</v>
      </c>
      <c r="F46" s="110">
        <f>SUM(F44:F45)</f>
        <v>17103.903999999999</v>
      </c>
      <c r="G46" s="172"/>
      <c r="H46" s="172"/>
      <c r="I46" s="125"/>
      <c r="J46" s="97"/>
      <c r="K46" s="111">
        <f>SUM(K44:K45)</f>
        <v>20760</v>
      </c>
      <c r="L46" s="111">
        <f>K46/F46</f>
        <v>1.2137579818034527</v>
      </c>
      <c r="M46" s="102"/>
    </row>
    <row r="47" spans="1:13">
      <c r="A47" s="85">
        <v>2</v>
      </c>
      <c r="B47" s="556" t="s">
        <v>1131</v>
      </c>
      <c r="C47" s="556" t="s">
        <v>217</v>
      </c>
      <c r="D47" s="556" t="s">
        <v>514</v>
      </c>
      <c r="E47" s="556"/>
      <c r="F47" s="90">
        <f>21400*1.0936</f>
        <v>23403.039999999997</v>
      </c>
      <c r="G47" s="120" t="s">
        <v>24</v>
      </c>
      <c r="H47" s="79"/>
      <c r="I47" s="80">
        <v>320</v>
      </c>
      <c r="J47" s="81">
        <v>74</v>
      </c>
      <c r="K47" s="81">
        <f t="shared" ref="K47:K48" si="10">I47*J47</f>
        <v>23680</v>
      </c>
      <c r="L47" s="102"/>
      <c r="M47" s="102"/>
    </row>
    <row r="48" spans="1:13">
      <c r="A48" s="85"/>
      <c r="B48" s="120"/>
      <c r="C48" s="120"/>
      <c r="D48" s="120"/>
      <c r="E48" s="85"/>
      <c r="F48" s="98"/>
      <c r="G48" s="84" t="s">
        <v>10</v>
      </c>
      <c r="H48" s="79"/>
      <c r="I48" s="80">
        <v>25</v>
      </c>
      <c r="J48" s="81">
        <v>120</v>
      </c>
      <c r="K48" s="81">
        <f t="shared" si="10"/>
        <v>3000</v>
      </c>
      <c r="L48" s="102"/>
      <c r="M48" s="102"/>
    </row>
    <row r="49" spans="1:13">
      <c r="A49" s="85"/>
      <c r="B49" s="120"/>
      <c r="C49" s="120"/>
      <c r="D49" s="120"/>
      <c r="E49" s="172" t="s">
        <v>9</v>
      </c>
      <c r="F49" s="110">
        <f>SUM(F47:F48)</f>
        <v>23403.039999999997</v>
      </c>
      <c r="G49" s="172"/>
      <c r="H49" s="172"/>
      <c r="I49" s="125"/>
      <c r="J49" s="97"/>
      <c r="K49" s="111">
        <f>SUM(K47:K48)</f>
        <v>26680</v>
      </c>
      <c r="L49" s="111">
        <f>K49/F49</f>
        <v>1.1400228346402861</v>
      </c>
      <c r="M49" s="102"/>
    </row>
    <row r="50" spans="1:13">
      <c r="A50" s="85">
        <v>3</v>
      </c>
      <c r="B50" s="556" t="s">
        <v>1013</v>
      </c>
      <c r="C50" s="556" t="s">
        <v>766</v>
      </c>
      <c r="D50" s="556" t="s">
        <v>465</v>
      </c>
      <c r="E50" s="558"/>
      <c r="F50" s="98">
        <f>10540*1.0936</f>
        <v>11526.544</v>
      </c>
      <c r="G50" s="120" t="s">
        <v>24</v>
      </c>
      <c r="H50" s="79"/>
      <c r="I50" s="80">
        <v>160</v>
      </c>
      <c r="J50" s="81">
        <v>74</v>
      </c>
      <c r="K50" s="81">
        <f t="shared" ref="K50:K51" si="11">I50*J50</f>
        <v>11840</v>
      </c>
      <c r="L50" s="111"/>
      <c r="M50" s="102"/>
    </row>
    <row r="51" spans="1:13">
      <c r="A51" s="85"/>
      <c r="B51" s="120"/>
      <c r="C51" s="120"/>
      <c r="D51" s="120"/>
      <c r="E51" s="172"/>
      <c r="F51" s="110"/>
      <c r="G51" s="84" t="s">
        <v>10</v>
      </c>
      <c r="H51" s="79"/>
      <c r="I51" s="80">
        <v>15</v>
      </c>
      <c r="J51" s="81">
        <v>120</v>
      </c>
      <c r="K51" s="81">
        <f t="shared" si="11"/>
        <v>1800</v>
      </c>
      <c r="L51" s="111"/>
      <c r="M51" s="102"/>
    </row>
    <row r="52" spans="1:13">
      <c r="A52" s="85"/>
      <c r="B52" s="120"/>
      <c r="C52" s="120"/>
      <c r="D52" s="120"/>
      <c r="E52" s="172" t="s">
        <v>9</v>
      </c>
      <c r="F52" s="110">
        <f>SUM(F50:F51)</f>
        <v>11526.544</v>
      </c>
      <c r="G52" s="172"/>
      <c r="H52" s="172"/>
      <c r="I52" s="125"/>
      <c r="J52" s="97"/>
      <c r="K52" s="111">
        <f>SUM(K50:K51)</f>
        <v>13640</v>
      </c>
      <c r="L52" s="111">
        <f>K52/F52</f>
        <v>1.1833555660742716</v>
      </c>
      <c r="M52" s="102"/>
    </row>
    <row r="53" spans="1:13">
      <c r="A53" s="85">
        <v>4</v>
      </c>
      <c r="B53" s="556" t="s">
        <v>1153</v>
      </c>
      <c r="C53" s="556" t="s">
        <v>516</v>
      </c>
      <c r="D53" s="556" t="s">
        <v>1109</v>
      </c>
      <c r="E53" s="556"/>
      <c r="F53" s="90">
        <f>537*1.0936</f>
        <v>587.26319999999998</v>
      </c>
      <c r="G53" s="120" t="s">
        <v>24</v>
      </c>
      <c r="H53" s="79"/>
      <c r="I53" s="80">
        <v>8</v>
      </c>
      <c r="J53" s="81">
        <v>74</v>
      </c>
      <c r="K53" s="81">
        <f t="shared" ref="K53:K54" si="12">I53*J53</f>
        <v>592</v>
      </c>
      <c r="L53" s="102"/>
      <c r="M53" s="102"/>
    </row>
    <row r="54" spans="1:13">
      <c r="A54" s="85"/>
      <c r="B54" s="120"/>
      <c r="C54" s="120"/>
      <c r="D54" s="120"/>
      <c r="E54" s="120"/>
      <c r="F54" s="87"/>
      <c r="G54" s="84" t="s">
        <v>10</v>
      </c>
      <c r="H54" s="79"/>
      <c r="I54" s="80">
        <v>1</v>
      </c>
      <c r="J54" s="81">
        <v>120</v>
      </c>
      <c r="K54" s="81">
        <f t="shared" si="12"/>
        <v>120</v>
      </c>
      <c r="L54" s="102"/>
      <c r="M54" s="102"/>
    </row>
    <row r="55" spans="1:13">
      <c r="A55" s="85"/>
      <c r="B55" s="120"/>
      <c r="C55" s="120"/>
      <c r="D55" s="120"/>
      <c r="E55" s="555" t="s">
        <v>9</v>
      </c>
      <c r="F55" s="110">
        <f>SUM(F53:F54)</f>
        <v>587.26319999999998</v>
      </c>
      <c r="G55" s="555"/>
      <c r="H55" s="555"/>
      <c r="I55" s="125"/>
      <c r="J55" s="97"/>
      <c r="K55" s="111">
        <f>SUM(K53:K54)</f>
        <v>712</v>
      </c>
      <c r="L55" s="111">
        <f>K55/F55</f>
        <v>1.2124035696430493</v>
      </c>
      <c r="M55" s="102"/>
    </row>
    <row r="56" spans="1:13">
      <c r="A56" s="85">
        <v>5</v>
      </c>
      <c r="B56" s="556" t="s">
        <v>1122</v>
      </c>
      <c r="C56" s="556" t="s">
        <v>1033</v>
      </c>
      <c r="D56" s="556" t="s">
        <v>1034</v>
      </c>
      <c r="E56" s="556"/>
      <c r="F56" s="90">
        <f>4160*1.0936</f>
        <v>4549.3759999999993</v>
      </c>
      <c r="G56" s="556" t="s">
        <v>24</v>
      </c>
      <c r="H56" s="79"/>
      <c r="I56" s="80">
        <v>60</v>
      </c>
      <c r="J56" s="81">
        <v>74</v>
      </c>
      <c r="K56" s="81">
        <f t="shared" ref="K56:K57" si="13">I56*J56</f>
        <v>4440</v>
      </c>
      <c r="L56" s="102"/>
      <c r="M56" s="102"/>
    </row>
    <row r="57" spans="1:13">
      <c r="A57" s="85"/>
      <c r="B57" s="120"/>
      <c r="C57" s="120"/>
      <c r="D57" s="120"/>
      <c r="E57" s="120"/>
      <c r="F57" s="38"/>
      <c r="G57" s="430" t="s">
        <v>10</v>
      </c>
      <c r="H57" s="79"/>
      <c r="I57" s="80">
        <v>10</v>
      </c>
      <c r="J57" s="81">
        <v>120</v>
      </c>
      <c r="K57" s="81">
        <f t="shared" si="13"/>
        <v>1200</v>
      </c>
      <c r="L57" s="102"/>
      <c r="M57" s="102"/>
    </row>
    <row r="58" spans="1:13">
      <c r="A58" s="85"/>
      <c r="B58" s="120"/>
      <c r="C58" s="120"/>
      <c r="D58" s="120"/>
      <c r="E58" s="555" t="s">
        <v>9</v>
      </c>
      <c r="F58" s="110">
        <f>SUM(F56:F57)</f>
        <v>4549.3759999999993</v>
      </c>
      <c r="G58" s="555"/>
      <c r="H58" s="555"/>
      <c r="I58" s="125"/>
      <c r="J58" s="97"/>
      <c r="K58" s="111">
        <f>SUM(K56:K57)</f>
        <v>5640</v>
      </c>
      <c r="L58" s="111">
        <f>K58/F58</f>
        <v>1.2397304597377752</v>
      </c>
      <c r="M58" s="102"/>
    </row>
    <row r="59" spans="1:13">
      <c r="A59" s="558">
        <v>6</v>
      </c>
      <c r="B59" s="556" t="s">
        <v>1080</v>
      </c>
      <c r="C59" s="556" t="s">
        <v>515</v>
      </c>
      <c r="D59" s="556" t="s">
        <v>521</v>
      </c>
      <c r="E59" s="558"/>
      <c r="F59" s="90">
        <f>1640*1.0936</f>
        <v>1793.5039999999999</v>
      </c>
      <c r="G59" s="556" t="s">
        <v>24</v>
      </c>
      <c r="H59" s="79"/>
      <c r="I59" s="80">
        <v>25</v>
      </c>
      <c r="J59" s="81">
        <v>74</v>
      </c>
      <c r="K59" s="81">
        <f t="shared" ref="K59:K60" si="14">I59*J59</f>
        <v>1850</v>
      </c>
      <c r="L59" s="102"/>
      <c r="M59" s="102"/>
    </row>
    <row r="60" spans="1:13">
      <c r="A60" s="558"/>
      <c r="B60" s="556"/>
      <c r="C60" s="556"/>
      <c r="D60" s="556"/>
      <c r="E60" s="556"/>
      <c r="F60" s="38"/>
      <c r="G60" s="430" t="s">
        <v>10</v>
      </c>
      <c r="H60" s="79"/>
      <c r="I60" s="80">
        <v>3</v>
      </c>
      <c r="J60" s="81">
        <v>120</v>
      </c>
      <c r="K60" s="81">
        <f t="shared" si="14"/>
        <v>360</v>
      </c>
      <c r="L60" s="102"/>
      <c r="M60" s="102"/>
    </row>
    <row r="61" spans="1:13">
      <c r="A61" s="558"/>
      <c r="B61" s="556"/>
      <c r="C61" s="556"/>
      <c r="D61" s="556"/>
      <c r="E61" s="555" t="s">
        <v>9</v>
      </c>
      <c r="F61" s="110">
        <f>SUM(F59:F60)</f>
        <v>1793.5039999999999</v>
      </c>
      <c r="G61" s="555"/>
      <c r="H61" s="555"/>
      <c r="I61" s="125"/>
      <c r="J61" s="97"/>
      <c r="K61" s="111">
        <f>SUM(K59:K60)</f>
        <v>2210</v>
      </c>
      <c r="L61" s="111">
        <f>K61/F61</f>
        <v>1.2322247399503989</v>
      </c>
      <c r="M61" s="102"/>
    </row>
    <row r="62" spans="1:13">
      <c r="A62" s="558">
        <v>7</v>
      </c>
      <c r="B62" s="556" t="s">
        <v>1028</v>
      </c>
      <c r="C62" s="556" t="s">
        <v>302</v>
      </c>
      <c r="D62" s="556" t="s">
        <v>307</v>
      </c>
      <c r="E62" s="556"/>
      <c r="F62" s="90">
        <f>3660*1.0936</f>
        <v>4002.5759999999996</v>
      </c>
      <c r="G62" s="556" t="s">
        <v>24</v>
      </c>
      <c r="H62" s="79"/>
      <c r="I62" s="80">
        <v>50</v>
      </c>
      <c r="J62" s="81">
        <v>74</v>
      </c>
      <c r="K62" s="81">
        <f t="shared" ref="K62:K63" si="15">I62*J62</f>
        <v>3700</v>
      </c>
      <c r="L62" s="102"/>
      <c r="M62" s="102"/>
    </row>
    <row r="63" spans="1:13">
      <c r="A63" s="558"/>
      <c r="B63" s="556" t="s">
        <v>269</v>
      </c>
      <c r="C63" s="556"/>
      <c r="D63" s="556"/>
      <c r="E63" s="556"/>
      <c r="F63" s="90">
        <f>223*1.0936</f>
        <v>243.87279999999998</v>
      </c>
      <c r="G63" s="430" t="s">
        <v>10</v>
      </c>
      <c r="H63" s="79"/>
      <c r="I63" s="80">
        <v>10</v>
      </c>
      <c r="J63" s="81">
        <v>120</v>
      </c>
      <c r="K63" s="81">
        <f t="shared" si="15"/>
        <v>1200</v>
      </c>
      <c r="L63" s="102"/>
      <c r="M63" s="102"/>
    </row>
    <row r="64" spans="1:13">
      <c r="A64" s="85"/>
      <c r="B64" s="85"/>
      <c r="C64" s="85"/>
      <c r="D64" s="85"/>
      <c r="E64" s="172" t="s">
        <v>9</v>
      </c>
      <c r="F64" s="110">
        <f>SUM(F62:F63)</f>
        <v>4246.4487999999992</v>
      </c>
      <c r="G64" s="172"/>
      <c r="H64" s="172"/>
      <c r="I64" s="125"/>
      <c r="J64" s="97"/>
      <c r="K64" s="111">
        <f>SUM(K62:K63)</f>
        <v>4900</v>
      </c>
      <c r="L64" s="111">
        <f>K64/F64</f>
        <v>1.153905352632534</v>
      </c>
      <c r="M64" s="102"/>
    </row>
    <row r="65" spans="1:13">
      <c r="A65" s="71"/>
      <c r="B65" s="71"/>
      <c r="C65" s="71"/>
      <c r="D65" s="126" t="s">
        <v>30</v>
      </c>
      <c r="E65" s="126"/>
      <c r="F65" s="127">
        <f>F46+F49+F52+F55+F58+F61+F64</f>
        <v>63210.079999999994</v>
      </c>
      <c r="G65" s="128"/>
      <c r="H65" s="128"/>
      <c r="I65" s="128"/>
      <c r="J65" s="128"/>
      <c r="K65" s="127">
        <f>K46+K49+K52+K55+K58+K61+K64</f>
        <v>74542</v>
      </c>
      <c r="L65" s="129">
        <f>K65/F65</f>
        <v>1.1792739385870104</v>
      </c>
      <c r="M65" s="71"/>
    </row>
    <row r="66" spans="1:13">
      <c r="A66" s="70" t="s">
        <v>16</v>
      </c>
      <c r="B66" s="70"/>
      <c r="C66" s="70"/>
      <c r="D66" s="70"/>
      <c r="E66" s="70"/>
      <c r="F66" s="71"/>
      <c r="G66" s="71"/>
      <c r="H66" s="71"/>
      <c r="I66" s="71"/>
      <c r="J66" s="71"/>
      <c r="K66" s="824" t="s">
        <v>1147</v>
      </c>
      <c r="L66" s="824"/>
      <c r="M66" s="824"/>
    </row>
    <row r="67" spans="1:13">
      <c r="A67" s="172" t="s">
        <v>0</v>
      </c>
      <c r="B67" s="172" t="s">
        <v>7</v>
      </c>
      <c r="C67" s="172" t="s">
        <v>13</v>
      </c>
      <c r="D67" s="172" t="s">
        <v>14</v>
      </c>
      <c r="E67" s="172" t="s">
        <v>8</v>
      </c>
      <c r="F67" s="172" t="s">
        <v>1</v>
      </c>
      <c r="G67" s="172" t="s">
        <v>2</v>
      </c>
      <c r="H67" s="172" t="s">
        <v>15</v>
      </c>
      <c r="I67" s="172" t="s">
        <v>3</v>
      </c>
      <c r="J67" s="172" t="s">
        <v>4</v>
      </c>
      <c r="K67" s="172" t="s">
        <v>5</v>
      </c>
      <c r="L67" s="172" t="s">
        <v>12</v>
      </c>
      <c r="M67" s="172" t="s">
        <v>6</v>
      </c>
    </row>
    <row r="68" spans="1:13">
      <c r="A68" s="85"/>
      <c r="B68" s="120"/>
      <c r="C68" s="120"/>
      <c r="D68" s="120"/>
      <c r="E68" s="85"/>
      <c r="F68" s="98"/>
      <c r="G68" s="120" t="s">
        <v>75</v>
      </c>
      <c r="H68" s="120"/>
      <c r="I68" s="96"/>
      <c r="J68" s="94">
        <v>367</v>
      </c>
      <c r="K68" s="94">
        <f t="shared" ref="K68" si="16">I68*J68</f>
        <v>0</v>
      </c>
      <c r="L68" s="102"/>
      <c r="M68" s="139"/>
    </row>
    <row r="69" spans="1:13">
      <c r="A69" s="85"/>
      <c r="B69" s="85"/>
      <c r="C69" s="85"/>
      <c r="D69" s="85"/>
      <c r="E69" s="85"/>
      <c r="F69" s="98"/>
      <c r="G69" s="120" t="s">
        <v>70</v>
      </c>
      <c r="H69" s="79"/>
      <c r="I69" s="80"/>
      <c r="J69" s="81">
        <v>146</v>
      </c>
      <c r="K69" s="81">
        <f t="shared" ref="K69:K70" si="17">I69*J69</f>
        <v>0</v>
      </c>
      <c r="L69" s="102"/>
      <c r="M69" s="102"/>
    </row>
    <row r="70" spans="1:13">
      <c r="A70" s="85"/>
      <c r="B70" s="85"/>
      <c r="C70" s="85"/>
      <c r="D70" s="85"/>
      <c r="E70" s="85"/>
      <c r="F70" s="98"/>
      <c r="G70" s="120" t="s">
        <v>20</v>
      </c>
      <c r="H70" s="79"/>
      <c r="I70" s="80"/>
      <c r="J70" s="81">
        <v>315</v>
      </c>
      <c r="K70" s="81">
        <f t="shared" si="17"/>
        <v>0</v>
      </c>
      <c r="L70" s="102"/>
      <c r="M70" s="102"/>
    </row>
    <row r="71" spans="1:13">
      <c r="A71" s="85"/>
      <c r="B71" s="85"/>
      <c r="C71" s="85"/>
      <c r="D71" s="85"/>
      <c r="E71" s="172" t="s">
        <v>9</v>
      </c>
      <c r="F71" s="110">
        <f>SUM(F69:F70)</f>
        <v>0</v>
      </c>
      <c r="G71" s="172"/>
      <c r="H71" s="172"/>
      <c r="I71" s="125"/>
      <c r="J71" s="97"/>
      <c r="K71" s="111">
        <f>SUM(K69:K70)</f>
        <v>0</v>
      </c>
      <c r="L71" s="111" t="e">
        <f>K71/F71</f>
        <v>#DIV/0!</v>
      </c>
      <c r="M71" s="102"/>
    </row>
    <row r="72" spans="1:13">
      <c r="A72" s="176"/>
      <c r="B72" s="176"/>
      <c r="C72" s="176"/>
      <c r="D72" s="126" t="s">
        <v>30</v>
      </c>
      <c r="E72" s="126"/>
      <c r="F72" s="127">
        <f>F71</f>
        <v>0</v>
      </c>
      <c r="G72" s="128"/>
      <c r="H72" s="128"/>
      <c r="I72" s="128"/>
      <c r="J72" s="128"/>
      <c r="K72" s="127">
        <f>K71</f>
        <v>0</v>
      </c>
      <c r="L72" s="129" t="e">
        <f>K72/F72</f>
        <v>#DIV/0!</v>
      </c>
      <c r="M72" s="131"/>
    </row>
    <row r="73" spans="1:13">
      <c r="A73" s="70" t="s">
        <v>72</v>
      </c>
      <c r="B73" s="70"/>
      <c r="C73" s="70"/>
      <c r="D73" s="70"/>
      <c r="E73" s="70"/>
      <c r="F73" s="71"/>
      <c r="G73" s="71"/>
      <c r="H73" s="71"/>
      <c r="I73" s="140"/>
      <c r="J73" s="71"/>
      <c r="K73" s="824" t="s">
        <v>1147</v>
      </c>
      <c r="L73" s="824"/>
      <c r="M73" s="824"/>
    </row>
    <row r="74" spans="1:13" s="10" customFormat="1">
      <c r="A74" s="172" t="s">
        <v>0</v>
      </c>
      <c r="B74" s="172" t="s">
        <v>7</v>
      </c>
      <c r="C74" s="172" t="s">
        <v>13</v>
      </c>
      <c r="D74" s="172" t="s">
        <v>14</v>
      </c>
      <c r="E74" s="172" t="s">
        <v>8</v>
      </c>
      <c r="F74" s="172" t="s">
        <v>1</v>
      </c>
      <c r="G74" s="172" t="s">
        <v>2</v>
      </c>
      <c r="H74" s="172" t="s">
        <v>15</v>
      </c>
      <c r="I74" s="141" t="s">
        <v>3</v>
      </c>
      <c r="J74" s="172" t="s">
        <v>4</v>
      </c>
      <c r="K74" s="172" t="s">
        <v>5</v>
      </c>
      <c r="L74" s="172" t="s">
        <v>12</v>
      </c>
      <c r="M74" s="172" t="s">
        <v>6</v>
      </c>
    </row>
    <row r="75" spans="1:13">
      <c r="A75" s="85">
        <v>10361</v>
      </c>
      <c r="B75" s="564" t="s">
        <v>1041</v>
      </c>
      <c r="C75" s="89" t="s">
        <v>766</v>
      </c>
      <c r="D75" s="89" t="s">
        <v>465</v>
      </c>
      <c r="E75" s="564" t="s">
        <v>1155</v>
      </c>
      <c r="F75" s="87">
        <f>3580*1.0936</f>
        <v>3915.0879999999997</v>
      </c>
      <c r="G75" s="565" t="s">
        <v>405</v>
      </c>
      <c r="H75" s="79"/>
      <c r="I75" s="80">
        <f>0.88+0.065</f>
        <v>0.94500000000000006</v>
      </c>
      <c r="J75" s="81">
        <v>1708</v>
      </c>
      <c r="K75" s="81">
        <f t="shared" ref="K75:K79" si="18">I75*J75</f>
        <v>1614.0600000000002</v>
      </c>
      <c r="L75" s="102"/>
      <c r="M75" s="102"/>
    </row>
    <row r="76" spans="1:13">
      <c r="A76" s="85"/>
      <c r="B76" s="120"/>
      <c r="C76" s="120"/>
      <c r="D76" s="120"/>
      <c r="E76" s="563"/>
      <c r="F76" s="4"/>
      <c r="G76" s="565" t="s">
        <v>183</v>
      </c>
      <c r="H76" s="79"/>
      <c r="I76" s="80">
        <f>0.645+0.015</f>
        <v>0.66</v>
      </c>
      <c r="J76" s="81">
        <v>1600</v>
      </c>
      <c r="K76" s="81">
        <f t="shared" si="18"/>
        <v>1056</v>
      </c>
      <c r="L76" s="102"/>
      <c r="M76" s="102"/>
    </row>
    <row r="77" spans="1:13">
      <c r="A77" s="85"/>
      <c r="B77" s="85"/>
      <c r="C77" s="85"/>
      <c r="D77" s="85"/>
      <c r="E77" s="563"/>
      <c r="F77" s="4"/>
      <c r="G77" s="93" t="s">
        <v>315</v>
      </c>
      <c r="H77" s="79"/>
      <c r="I77" s="80">
        <f>4.055+0.324</f>
        <v>4.3789999999999996</v>
      </c>
      <c r="J77" s="81">
        <v>2184</v>
      </c>
      <c r="K77" s="81">
        <f t="shared" si="18"/>
        <v>9563.735999999999</v>
      </c>
      <c r="L77" s="102"/>
      <c r="M77" s="102"/>
    </row>
    <row r="78" spans="1:13">
      <c r="A78" s="85"/>
      <c r="B78" s="85"/>
      <c r="C78" s="85"/>
      <c r="D78" s="85"/>
      <c r="E78" s="563"/>
      <c r="F78" s="4"/>
      <c r="G78" s="564" t="s">
        <v>184</v>
      </c>
      <c r="H78" s="564"/>
      <c r="I78" s="80">
        <v>5</v>
      </c>
      <c r="J78" s="81">
        <v>336</v>
      </c>
      <c r="K78" s="94">
        <f t="shared" si="18"/>
        <v>1680</v>
      </c>
      <c r="L78" s="102"/>
      <c r="M78" s="102"/>
    </row>
    <row r="79" spans="1:13">
      <c r="A79" s="85"/>
      <c r="B79" s="85"/>
      <c r="C79" s="85"/>
      <c r="D79" s="85"/>
      <c r="E79" s="563"/>
      <c r="F79" s="4"/>
      <c r="G79" s="95" t="s">
        <v>185</v>
      </c>
      <c r="H79" s="79"/>
      <c r="I79" s="96">
        <v>1</v>
      </c>
      <c r="J79" s="81">
        <v>490</v>
      </c>
      <c r="K79" s="81">
        <f t="shared" si="18"/>
        <v>490</v>
      </c>
      <c r="L79" s="102"/>
      <c r="M79" s="102"/>
    </row>
    <row r="80" spans="1:13">
      <c r="A80" s="85"/>
      <c r="B80" s="85"/>
      <c r="C80" s="85"/>
      <c r="D80" s="85"/>
      <c r="E80" s="172" t="s">
        <v>9</v>
      </c>
      <c r="F80" s="110">
        <f>SUM(F73:F79)</f>
        <v>3915.0879999999997</v>
      </c>
      <c r="G80" s="172"/>
      <c r="H80" s="172"/>
      <c r="I80" s="125"/>
      <c r="J80" s="97"/>
      <c r="K80" s="111">
        <f>SUM(K75:K79)</f>
        <v>14403.795999999998</v>
      </c>
      <c r="L80" s="111">
        <f>K80/F80</f>
        <v>3.6790478272774454</v>
      </c>
      <c r="M80" s="102"/>
    </row>
    <row r="81" spans="1:13">
      <c r="A81" s="85">
        <v>10362</v>
      </c>
      <c r="B81" s="564" t="s">
        <v>767</v>
      </c>
      <c r="C81" s="89" t="s">
        <v>766</v>
      </c>
      <c r="D81" s="89" t="s">
        <v>465</v>
      </c>
      <c r="E81" s="564" t="s">
        <v>102</v>
      </c>
      <c r="F81" s="87">
        <f>5520*1.0936</f>
        <v>6036.6719999999996</v>
      </c>
      <c r="G81" s="565" t="s">
        <v>405</v>
      </c>
      <c r="H81" s="79"/>
      <c r="I81" s="80">
        <f>1.54+1.415</f>
        <v>2.9550000000000001</v>
      </c>
      <c r="J81" s="81">
        <v>1708</v>
      </c>
      <c r="K81" s="81">
        <f t="shared" ref="K81:K85" si="19">I81*J81</f>
        <v>5047.1400000000003</v>
      </c>
      <c r="L81" s="79"/>
      <c r="M81" s="102"/>
    </row>
    <row r="82" spans="1:13">
      <c r="A82" s="85"/>
      <c r="B82" s="85"/>
      <c r="C82" s="85"/>
      <c r="D82" s="85"/>
      <c r="E82" s="564"/>
      <c r="F82" s="87"/>
      <c r="G82" s="91" t="s">
        <v>192</v>
      </c>
      <c r="H82" s="79"/>
      <c r="I82" s="80">
        <f>2.415+2.274</f>
        <v>4.6890000000000001</v>
      </c>
      <c r="J82" s="81">
        <v>1126</v>
      </c>
      <c r="K82" s="81">
        <f t="shared" si="19"/>
        <v>5279.8140000000003</v>
      </c>
      <c r="L82" s="102"/>
      <c r="M82" s="102"/>
    </row>
    <row r="83" spans="1:13">
      <c r="A83" s="85"/>
      <c r="B83" s="85"/>
      <c r="C83" s="85"/>
      <c r="D83" s="85"/>
      <c r="E83" s="564"/>
      <c r="F83" s="4"/>
      <c r="G83" s="91" t="s">
        <v>193</v>
      </c>
      <c r="H83" s="79"/>
      <c r="I83" s="80">
        <f>13.6+14.835</f>
        <v>28.435000000000002</v>
      </c>
      <c r="J83" s="81">
        <v>1150</v>
      </c>
      <c r="K83" s="81">
        <f t="shared" si="19"/>
        <v>32700.250000000004</v>
      </c>
      <c r="L83" s="79"/>
      <c r="M83" s="102"/>
    </row>
    <row r="84" spans="1:13">
      <c r="A84" s="85"/>
      <c r="B84" s="85"/>
      <c r="C84" s="85"/>
      <c r="D84" s="85"/>
      <c r="E84" s="563"/>
      <c r="F84" s="98"/>
      <c r="G84" s="564" t="s">
        <v>184</v>
      </c>
      <c r="H84" s="564"/>
      <c r="I84" s="80">
        <f>5+5</f>
        <v>10</v>
      </c>
      <c r="J84" s="81">
        <v>336</v>
      </c>
      <c r="K84" s="94">
        <f t="shared" si="19"/>
        <v>3360</v>
      </c>
      <c r="L84" s="102"/>
      <c r="M84" s="102"/>
    </row>
    <row r="85" spans="1:13">
      <c r="A85" s="85"/>
      <c r="B85" s="85"/>
      <c r="C85" s="85"/>
      <c r="D85" s="85"/>
      <c r="E85" s="563"/>
      <c r="F85" s="98"/>
      <c r="G85" s="95" t="s">
        <v>185</v>
      </c>
      <c r="H85" s="79"/>
      <c r="I85" s="96">
        <f>1+1</f>
        <v>2</v>
      </c>
      <c r="J85" s="81">
        <v>490</v>
      </c>
      <c r="K85" s="81">
        <f t="shared" si="19"/>
        <v>980</v>
      </c>
      <c r="L85" s="102"/>
      <c r="M85" s="102"/>
    </row>
    <row r="86" spans="1:13">
      <c r="A86" s="85"/>
      <c r="B86" s="85"/>
      <c r="C86" s="85"/>
      <c r="D86" s="85"/>
      <c r="E86" s="172" t="s">
        <v>9</v>
      </c>
      <c r="F86" s="110">
        <f>SUM(F81:F85)</f>
        <v>6036.6719999999996</v>
      </c>
      <c r="G86" s="172"/>
      <c r="H86" s="172"/>
      <c r="I86" s="125"/>
      <c r="J86" s="97"/>
      <c r="K86" s="111">
        <f>SUM(K81:K85)</f>
        <v>47367.204000000005</v>
      </c>
      <c r="L86" s="111">
        <f>K86/F86</f>
        <v>7.8465757291434768</v>
      </c>
      <c r="M86" s="102"/>
    </row>
    <row r="87" spans="1:13">
      <c r="A87" s="85">
        <v>10356</v>
      </c>
      <c r="B87" s="564" t="s">
        <v>1156</v>
      </c>
      <c r="C87" s="89" t="s">
        <v>1026</v>
      </c>
      <c r="D87" s="89" t="s">
        <v>1176</v>
      </c>
      <c r="E87" s="564" t="s">
        <v>127</v>
      </c>
      <c r="F87" s="99">
        <f>5080*1.0936</f>
        <v>5555.4879999999994</v>
      </c>
      <c r="G87" s="91" t="s">
        <v>196</v>
      </c>
      <c r="H87" s="79"/>
      <c r="I87" s="80">
        <f>8+2.9+0.37+0.18</f>
        <v>11.45</v>
      </c>
      <c r="J87" s="81">
        <v>888</v>
      </c>
      <c r="K87" s="81">
        <f t="shared" ref="K87:K91" si="20">I87*J87</f>
        <v>10167.599999999999</v>
      </c>
      <c r="L87" s="102"/>
      <c r="M87" s="102"/>
    </row>
    <row r="88" spans="1:13">
      <c r="A88" s="85"/>
      <c r="B88" s="85"/>
      <c r="C88" s="85"/>
      <c r="D88" s="85"/>
      <c r="E88" s="85"/>
      <c r="F88" s="98"/>
      <c r="G88" s="91" t="s">
        <v>195</v>
      </c>
      <c r="H88" s="79"/>
      <c r="I88" s="80">
        <f>1.9+0.375+0.04+0.086</f>
        <v>2.4009999999999998</v>
      </c>
      <c r="J88" s="81">
        <v>645</v>
      </c>
      <c r="K88" s="81">
        <f t="shared" si="20"/>
        <v>1548.645</v>
      </c>
      <c r="L88" s="102"/>
      <c r="M88" s="102"/>
    </row>
    <row r="89" spans="1:13">
      <c r="A89" s="85"/>
      <c r="B89" s="85"/>
      <c r="C89" s="85"/>
      <c r="D89" s="85"/>
      <c r="E89" s="85"/>
      <c r="F89" s="98"/>
      <c r="G89" s="91" t="s">
        <v>282</v>
      </c>
      <c r="H89" s="79"/>
      <c r="I89" s="80">
        <f>6.5+2.825+0.315</f>
        <v>9.6399999999999988</v>
      </c>
      <c r="J89" s="81">
        <v>840</v>
      </c>
      <c r="K89" s="81">
        <f t="shared" si="20"/>
        <v>8097.5999999999985</v>
      </c>
      <c r="L89" s="102"/>
      <c r="M89" s="102"/>
    </row>
    <row r="90" spans="1:13">
      <c r="A90" s="85"/>
      <c r="B90" s="85"/>
      <c r="C90" s="85"/>
      <c r="D90" s="85"/>
      <c r="E90" s="85"/>
      <c r="F90" s="98"/>
      <c r="G90" s="564" t="s">
        <v>184</v>
      </c>
      <c r="H90" s="564"/>
      <c r="I90" s="80">
        <f>5+2.5</f>
        <v>7.5</v>
      </c>
      <c r="J90" s="81">
        <v>336</v>
      </c>
      <c r="K90" s="94">
        <f t="shared" si="20"/>
        <v>2520</v>
      </c>
      <c r="L90" s="102"/>
      <c r="M90" s="102"/>
    </row>
    <row r="91" spans="1:13">
      <c r="A91" s="563"/>
      <c r="B91" s="563"/>
      <c r="C91" s="563"/>
      <c r="D91" s="563"/>
      <c r="E91" s="563"/>
      <c r="F91" s="98"/>
      <c r="G91" s="95" t="s">
        <v>185</v>
      </c>
      <c r="H91" s="79"/>
      <c r="I91" s="96">
        <f>1+0.5</f>
        <v>1.5</v>
      </c>
      <c r="J91" s="81">
        <v>490</v>
      </c>
      <c r="K91" s="81">
        <f t="shared" si="20"/>
        <v>735</v>
      </c>
      <c r="L91" s="102"/>
      <c r="M91" s="102"/>
    </row>
    <row r="92" spans="1:13">
      <c r="A92" s="85"/>
      <c r="B92" s="85"/>
      <c r="C92" s="85"/>
      <c r="D92" s="85"/>
      <c r="E92" s="172" t="s">
        <v>9</v>
      </c>
      <c r="F92" s="110">
        <f>SUM(F87:F91)</f>
        <v>5555.4879999999994</v>
      </c>
      <c r="G92" s="172"/>
      <c r="H92" s="172"/>
      <c r="I92" s="125"/>
      <c r="J92" s="97"/>
      <c r="K92" s="111">
        <f>SUM(K87:K91)</f>
        <v>23068.844999999998</v>
      </c>
      <c r="L92" s="111">
        <f>K92/F92</f>
        <v>4.1524425937019398</v>
      </c>
      <c r="M92" s="102"/>
    </row>
    <row r="93" spans="1:13">
      <c r="A93" s="85">
        <v>10366</v>
      </c>
      <c r="B93" s="564" t="s">
        <v>1156</v>
      </c>
      <c r="C93" s="89" t="s">
        <v>1026</v>
      </c>
      <c r="D93" s="89" t="s">
        <v>1176</v>
      </c>
      <c r="E93" s="564" t="s">
        <v>102</v>
      </c>
      <c r="F93" s="99">
        <f>4320*1.0936</f>
        <v>4724.3519999999999</v>
      </c>
      <c r="G93" s="91" t="s">
        <v>281</v>
      </c>
      <c r="H93" s="79"/>
      <c r="I93" s="80">
        <f>6.202+0.525</f>
        <v>6.7270000000000003</v>
      </c>
      <c r="J93" s="81">
        <v>1035</v>
      </c>
      <c r="K93" s="81">
        <f t="shared" ref="K93:K98" si="21">I93*J93</f>
        <v>6962.4450000000006</v>
      </c>
      <c r="L93" s="102"/>
      <c r="M93" s="102"/>
    </row>
    <row r="94" spans="1:13">
      <c r="A94" s="85"/>
      <c r="B94" s="85"/>
      <c r="C94" s="85"/>
      <c r="D94" s="85"/>
      <c r="E94" s="564" t="s">
        <v>1157</v>
      </c>
      <c r="F94" s="98"/>
      <c r="G94" s="91" t="s">
        <v>286</v>
      </c>
      <c r="H94" s="79"/>
      <c r="I94" s="80">
        <f>10.78+0.55</f>
        <v>11.33</v>
      </c>
      <c r="J94" s="81">
        <v>2065</v>
      </c>
      <c r="K94" s="81">
        <f t="shared" si="21"/>
        <v>23396.45</v>
      </c>
      <c r="L94" s="102"/>
      <c r="M94" s="102"/>
    </row>
    <row r="95" spans="1:13">
      <c r="A95" s="579"/>
      <c r="B95" s="579"/>
      <c r="C95" s="579"/>
      <c r="D95" s="579"/>
      <c r="E95" s="577"/>
      <c r="F95" s="98"/>
      <c r="G95" s="91" t="s">
        <v>194</v>
      </c>
      <c r="H95" s="79"/>
      <c r="I95" s="80">
        <v>0.55000000000000004</v>
      </c>
      <c r="J95" s="81">
        <v>879</v>
      </c>
      <c r="K95" s="81">
        <f t="shared" si="21"/>
        <v>483.45000000000005</v>
      </c>
      <c r="L95" s="102"/>
      <c r="M95" s="102"/>
    </row>
    <row r="96" spans="1:13">
      <c r="A96" s="85"/>
      <c r="B96" s="85"/>
      <c r="C96" s="85"/>
      <c r="D96" s="85"/>
      <c r="E96" s="85"/>
      <c r="F96" s="98"/>
      <c r="G96" s="91" t="s">
        <v>282</v>
      </c>
      <c r="H96" s="79"/>
      <c r="I96" s="80">
        <f>17.78+3.326</f>
        <v>21.106000000000002</v>
      </c>
      <c r="J96" s="81">
        <v>840</v>
      </c>
      <c r="K96" s="81">
        <f t="shared" si="21"/>
        <v>17729.04</v>
      </c>
      <c r="L96" s="102"/>
      <c r="M96" s="102"/>
    </row>
    <row r="97" spans="1:13">
      <c r="A97" s="85"/>
      <c r="B97" s="85"/>
      <c r="C97" s="85"/>
      <c r="D97" s="85"/>
      <c r="E97" s="85"/>
      <c r="F97" s="98"/>
      <c r="G97" s="577" t="s">
        <v>184</v>
      </c>
      <c r="H97" s="79"/>
      <c r="I97" s="80">
        <v>7</v>
      </c>
      <c r="J97" s="81">
        <v>396</v>
      </c>
      <c r="K97" s="81">
        <f t="shared" si="21"/>
        <v>2772</v>
      </c>
      <c r="L97" s="102"/>
      <c r="M97" s="102"/>
    </row>
    <row r="98" spans="1:13">
      <c r="A98" s="85"/>
      <c r="B98" s="85"/>
      <c r="C98" s="85"/>
      <c r="D98" s="85"/>
      <c r="E98" s="85"/>
      <c r="F98" s="98"/>
      <c r="G98" s="95" t="s">
        <v>185</v>
      </c>
      <c r="H98" s="79"/>
      <c r="I98" s="80">
        <v>1.4</v>
      </c>
      <c r="J98" s="81">
        <v>623</v>
      </c>
      <c r="K98" s="81">
        <f t="shared" si="21"/>
        <v>872.19999999999993</v>
      </c>
      <c r="L98" s="102"/>
      <c r="M98" s="102"/>
    </row>
    <row r="99" spans="1:13">
      <c r="A99" s="85"/>
      <c r="B99" s="85"/>
      <c r="C99" s="85"/>
      <c r="D99" s="85"/>
      <c r="E99" s="172" t="s">
        <v>9</v>
      </c>
      <c r="F99" s="110">
        <f>SUM(F93:F98)</f>
        <v>4724.3519999999999</v>
      </c>
      <c r="G99" s="172"/>
      <c r="H99" s="172"/>
      <c r="I99" s="125"/>
      <c r="J99" s="97"/>
      <c r="K99" s="111">
        <f>SUM(K93:K98)</f>
        <v>52215.584999999999</v>
      </c>
      <c r="L99" s="111">
        <f>K99/F99</f>
        <v>11.052433222587986</v>
      </c>
      <c r="M99" s="102"/>
    </row>
    <row r="100" spans="1:13">
      <c r="A100" s="120">
        <v>10354</v>
      </c>
      <c r="B100" s="564" t="s">
        <v>1089</v>
      </c>
      <c r="C100" s="564" t="s">
        <v>1040</v>
      </c>
      <c r="D100" s="564" t="s">
        <v>869</v>
      </c>
      <c r="E100" s="564" t="s">
        <v>102</v>
      </c>
      <c r="F100" s="90">
        <f>5550*1.0936</f>
        <v>6069.48</v>
      </c>
      <c r="G100" s="565" t="s">
        <v>405</v>
      </c>
      <c r="H100" s="79"/>
      <c r="I100" s="80">
        <v>4.84</v>
      </c>
      <c r="J100" s="81">
        <v>1708</v>
      </c>
      <c r="K100" s="81">
        <f t="shared" ref="K100:K104" si="22">I100*J100</f>
        <v>8266.7199999999993</v>
      </c>
      <c r="L100" s="102"/>
      <c r="M100" s="102"/>
    </row>
    <row r="101" spans="1:13">
      <c r="A101" s="85"/>
      <c r="B101" s="564"/>
      <c r="C101" s="273"/>
      <c r="D101" s="273"/>
      <c r="E101" s="564"/>
      <c r="F101" s="87"/>
      <c r="G101" s="91" t="s">
        <v>281</v>
      </c>
      <c r="H101" s="79"/>
      <c r="I101" s="80">
        <v>3.76</v>
      </c>
      <c r="J101" s="81">
        <v>1035</v>
      </c>
      <c r="K101" s="81">
        <f t="shared" si="22"/>
        <v>3891.6</v>
      </c>
      <c r="L101" s="102"/>
      <c r="M101" s="102"/>
    </row>
    <row r="102" spans="1:13">
      <c r="A102" s="85"/>
      <c r="B102" s="85"/>
      <c r="C102" s="85"/>
      <c r="D102" s="85"/>
      <c r="E102" s="564"/>
      <c r="F102" s="87"/>
      <c r="G102" s="91" t="s">
        <v>282</v>
      </c>
      <c r="H102" s="79"/>
      <c r="I102" s="80">
        <v>18.3</v>
      </c>
      <c r="J102" s="81">
        <v>840</v>
      </c>
      <c r="K102" s="81">
        <f t="shared" si="22"/>
        <v>15372</v>
      </c>
      <c r="L102" s="102"/>
      <c r="M102" s="102"/>
    </row>
    <row r="103" spans="1:13">
      <c r="A103" s="85"/>
      <c r="B103" s="85"/>
      <c r="C103" s="85"/>
      <c r="D103" s="85"/>
      <c r="E103" s="564"/>
      <c r="F103" s="87"/>
      <c r="G103" s="564" t="s">
        <v>184</v>
      </c>
      <c r="H103" s="564"/>
      <c r="I103" s="80">
        <v>5</v>
      </c>
      <c r="J103" s="81">
        <v>336</v>
      </c>
      <c r="K103" s="94">
        <f t="shared" si="22"/>
        <v>1680</v>
      </c>
      <c r="L103" s="102"/>
      <c r="M103" s="102"/>
    </row>
    <row r="104" spans="1:13">
      <c r="A104" s="85"/>
      <c r="B104" s="85"/>
      <c r="C104" s="85"/>
      <c r="D104" s="85"/>
      <c r="E104" s="564"/>
      <c r="F104" s="87"/>
      <c r="G104" s="95" t="s">
        <v>185</v>
      </c>
      <c r="H104" s="79"/>
      <c r="I104" s="96">
        <v>1</v>
      </c>
      <c r="J104" s="81">
        <v>490</v>
      </c>
      <c r="K104" s="81">
        <f t="shared" si="22"/>
        <v>490</v>
      </c>
      <c r="L104" s="102"/>
      <c r="M104" s="102"/>
    </row>
    <row r="105" spans="1:13">
      <c r="A105" s="85"/>
      <c r="B105" s="85"/>
      <c r="C105" s="85"/>
      <c r="D105" s="85"/>
      <c r="E105" s="172" t="s">
        <v>9</v>
      </c>
      <c r="F105" s="110">
        <f>SUM(F100:F104)</f>
        <v>6069.48</v>
      </c>
      <c r="G105" s="172"/>
      <c r="H105" s="172"/>
      <c r="I105" s="125"/>
      <c r="J105" s="97"/>
      <c r="K105" s="111">
        <f>SUM(K100:K104)</f>
        <v>29700.32</v>
      </c>
      <c r="L105" s="111">
        <f>K105/F105</f>
        <v>4.8933879014347195</v>
      </c>
      <c r="M105" s="102"/>
    </row>
    <row r="106" spans="1:13">
      <c r="A106" s="85">
        <v>10359</v>
      </c>
      <c r="B106" s="564" t="s">
        <v>1158</v>
      </c>
      <c r="C106" s="564" t="s">
        <v>1159</v>
      </c>
      <c r="D106" s="564" t="s">
        <v>74</v>
      </c>
      <c r="E106" s="564" t="s">
        <v>1160</v>
      </c>
      <c r="F106" s="90">
        <f>50*1.0936</f>
        <v>54.679999999999993</v>
      </c>
      <c r="G106" s="91" t="s">
        <v>196</v>
      </c>
      <c r="H106" s="79"/>
      <c r="I106" s="80">
        <v>0.24</v>
      </c>
      <c r="J106" s="81">
        <v>888</v>
      </c>
      <c r="K106" s="81">
        <f t="shared" ref="K106" si="23">I106*J106</f>
        <v>213.12</v>
      </c>
      <c r="L106" s="102"/>
      <c r="M106" s="102"/>
    </row>
    <row r="107" spans="1:13">
      <c r="A107" s="85"/>
      <c r="B107" s="120"/>
      <c r="C107" s="120"/>
      <c r="D107" s="120"/>
      <c r="E107" s="85"/>
      <c r="F107" s="98"/>
      <c r="G107" s="91" t="s">
        <v>281</v>
      </c>
      <c r="H107" s="79"/>
      <c r="I107" s="80">
        <v>0.16800000000000001</v>
      </c>
      <c r="J107" s="81">
        <v>1035</v>
      </c>
      <c r="K107" s="81">
        <f t="shared" ref="K107:K110" si="24">I107*J107</f>
        <v>173.88000000000002</v>
      </c>
      <c r="L107" s="102"/>
      <c r="M107" s="102"/>
    </row>
    <row r="108" spans="1:13">
      <c r="A108" s="85"/>
      <c r="B108" s="85"/>
      <c r="C108" s="85"/>
      <c r="D108" s="85"/>
      <c r="E108" s="85"/>
      <c r="F108" s="98"/>
      <c r="G108" s="91" t="s">
        <v>194</v>
      </c>
      <c r="H108" s="79"/>
      <c r="I108" s="80">
        <v>0.624</v>
      </c>
      <c r="J108" s="81">
        <v>879</v>
      </c>
      <c r="K108" s="81">
        <f t="shared" si="24"/>
        <v>548.49599999999998</v>
      </c>
      <c r="L108" s="79"/>
      <c r="M108" s="102"/>
    </row>
    <row r="109" spans="1:13">
      <c r="A109" s="85"/>
      <c r="B109" s="85"/>
      <c r="C109" s="85"/>
      <c r="D109" s="85"/>
      <c r="E109" s="85"/>
      <c r="F109" s="98"/>
      <c r="G109" s="564" t="s">
        <v>184</v>
      </c>
      <c r="H109" s="564"/>
      <c r="I109" s="80">
        <v>0.6</v>
      </c>
      <c r="J109" s="81">
        <v>336</v>
      </c>
      <c r="K109" s="94">
        <f t="shared" si="24"/>
        <v>201.6</v>
      </c>
      <c r="L109" s="102"/>
      <c r="M109" s="102"/>
    </row>
    <row r="110" spans="1:13">
      <c r="A110" s="85"/>
      <c r="B110" s="85"/>
      <c r="C110" s="85"/>
      <c r="D110" s="85"/>
      <c r="E110" s="85"/>
      <c r="F110" s="98"/>
      <c r="G110" s="95" t="s">
        <v>185</v>
      </c>
      <c r="H110" s="79"/>
      <c r="I110" s="96">
        <v>0.12</v>
      </c>
      <c r="J110" s="81">
        <v>490</v>
      </c>
      <c r="K110" s="81">
        <f t="shared" si="24"/>
        <v>58.8</v>
      </c>
      <c r="L110" s="102"/>
      <c r="M110" s="102"/>
    </row>
    <row r="111" spans="1:13">
      <c r="A111" s="85"/>
      <c r="B111" s="85"/>
      <c r="C111" s="85"/>
      <c r="D111" s="85"/>
      <c r="E111" s="172" t="s">
        <v>9</v>
      </c>
      <c r="F111" s="110">
        <f>SUM(F106:F110)</f>
        <v>54.679999999999993</v>
      </c>
      <c r="G111" s="172"/>
      <c r="H111" s="172"/>
      <c r="I111" s="125"/>
      <c r="J111" s="97"/>
      <c r="K111" s="111">
        <f>SUM(K106:K110)</f>
        <v>1195.896</v>
      </c>
      <c r="L111" s="111">
        <f>K111/F111</f>
        <v>21.870811997073886</v>
      </c>
      <c r="M111" s="102"/>
    </row>
    <row r="112" spans="1:13">
      <c r="A112" s="85">
        <v>10365</v>
      </c>
      <c r="B112" s="564" t="s">
        <v>293</v>
      </c>
      <c r="C112" s="564" t="s">
        <v>121</v>
      </c>
      <c r="D112" s="564" t="s">
        <v>1054</v>
      </c>
      <c r="E112" s="564" t="s">
        <v>822</v>
      </c>
      <c r="F112" s="222">
        <f>80*1.0936</f>
        <v>87.488</v>
      </c>
      <c r="G112" s="565" t="s">
        <v>405</v>
      </c>
      <c r="H112" s="79"/>
      <c r="I112" s="80">
        <v>0.252</v>
      </c>
      <c r="J112" s="81">
        <v>1708</v>
      </c>
      <c r="K112" s="81">
        <f t="shared" ref="K112:K116" si="25">I112*J112</f>
        <v>430.416</v>
      </c>
      <c r="L112" s="102"/>
      <c r="M112" s="102"/>
    </row>
    <row r="113" spans="1:14">
      <c r="A113" s="85"/>
      <c r="B113" s="120"/>
      <c r="C113" s="120"/>
      <c r="D113" s="120"/>
      <c r="E113" s="85"/>
      <c r="F113" s="98"/>
      <c r="G113" s="91" t="s">
        <v>195</v>
      </c>
      <c r="H113" s="79"/>
      <c r="I113" s="80">
        <v>6.2E-2</v>
      </c>
      <c r="J113" s="81">
        <v>645</v>
      </c>
      <c r="K113" s="81">
        <f t="shared" si="25"/>
        <v>39.99</v>
      </c>
      <c r="L113" s="102"/>
      <c r="M113" s="102"/>
    </row>
    <row r="114" spans="1:14">
      <c r="A114" s="85"/>
      <c r="B114" s="85"/>
      <c r="C114" s="85"/>
      <c r="D114" s="85"/>
      <c r="E114" s="85"/>
      <c r="F114" s="98"/>
      <c r="G114" s="91" t="s">
        <v>191</v>
      </c>
      <c r="H114" s="79"/>
      <c r="I114" s="80">
        <v>0.154</v>
      </c>
      <c r="J114" s="81">
        <v>1628</v>
      </c>
      <c r="K114" s="81">
        <f t="shared" si="25"/>
        <v>250.71199999999999</v>
      </c>
      <c r="L114" s="102"/>
      <c r="M114" s="102"/>
    </row>
    <row r="115" spans="1:14">
      <c r="A115" s="85"/>
      <c r="B115" s="85"/>
      <c r="C115" s="85"/>
      <c r="D115" s="85"/>
      <c r="E115" s="85"/>
      <c r="F115" s="98"/>
      <c r="G115" s="564" t="s">
        <v>184</v>
      </c>
      <c r="H115" s="564"/>
      <c r="I115" s="80">
        <v>0.6</v>
      </c>
      <c r="J115" s="81">
        <v>336</v>
      </c>
      <c r="K115" s="94">
        <f t="shared" si="25"/>
        <v>201.6</v>
      </c>
      <c r="L115" s="102"/>
      <c r="M115" s="102"/>
    </row>
    <row r="116" spans="1:14">
      <c r="A116" s="85"/>
      <c r="B116" s="85"/>
      <c r="C116" s="85"/>
      <c r="D116" s="85"/>
      <c r="E116" s="85"/>
      <c r="F116" s="98"/>
      <c r="G116" s="95" t="s">
        <v>185</v>
      </c>
      <c r="H116" s="79"/>
      <c r="I116" s="96">
        <v>0.12</v>
      </c>
      <c r="J116" s="81">
        <v>490</v>
      </c>
      <c r="K116" s="81">
        <f t="shared" si="25"/>
        <v>58.8</v>
      </c>
      <c r="L116" s="102"/>
      <c r="M116" s="102"/>
    </row>
    <row r="117" spans="1:14">
      <c r="A117" s="85"/>
      <c r="B117" s="85"/>
      <c r="C117" s="85"/>
      <c r="D117" s="85"/>
      <c r="E117" s="172" t="s">
        <v>9</v>
      </c>
      <c r="F117" s="110">
        <f>SUM(F112:F116)</f>
        <v>87.488</v>
      </c>
      <c r="G117" s="172"/>
      <c r="H117" s="172"/>
      <c r="I117" s="125"/>
      <c r="J117" s="97"/>
      <c r="K117" s="111">
        <f>SUM(K112:K116)</f>
        <v>981.51799999999992</v>
      </c>
      <c r="L117" s="111">
        <f>K117/F117</f>
        <v>11.218887161667885</v>
      </c>
      <c r="M117" s="102"/>
    </row>
    <row r="118" spans="1:14">
      <c r="A118" s="176"/>
      <c r="B118" s="176"/>
      <c r="C118" s="176"/>
      <c r="D118" s="126" t="s">
        <v>30</v>
      </c>
      <c r="E118" s="126"/>
      <c r="F118" s="127">
        <f>F80+F86+F92+F99+F105+F111+F117</f>
        <v>26443.248</v>
      </c>
      <c r="G118" s="128"/>
      <c r="H118" s="128"/>
      <c r="I118" s="128"/>
      <c r="J118" s="128"/>
      <c r="K118" s="127">
        <f>K80+K86+K92+K99+K105+K111+K117</f>
        <v>168933.16400000002</v>
      </c>
      <c r="L118" s="129">
        <f>K118/F118</f>
        <v>6.3885179309289093</v>
      </c>
      <c r="M118" s="131"/>
    </row>
    <row r="119" spans="1:14">
      <c r="A119" s="70" t="s">
        <v>40</v>
      </c>
      <c r="B119" s="70"/>
      <c r="C119" s="70"/>
      <c r="D119" s="70"/>
      <c r="E119" s="70"/>
      <c r="F119" s="71"/>
      <c r="G119" s="71"/>
      <c r="H119" s="71"/>
      <c r="I119" s="140"/>
      <c r="J119" s="71"/>
      <c r="K119" s="824" t="s">
        <v>1147</v>
      </c>
      <c r="L119" s="824"/>
      <c r="M119" s="824"/>
    </row>
    <row r="120" spans="1:14">
      <c r="A120" s="172" t="s">
        <v>0</v>
      </c>
      <c r="B120" s="172" t="s">
        <v>7</v>
      </c>
      <c r="C120" s="172" t="s">
        <v>13</v>
      </c>
      <c r="D120" s="172" t="s">
        <v>14</v>
      </c>
      <c r="E120" s="172" t="s">
        <v>8</v>
      </c>
      <c r="F120" s="172" t="s">
        <v>1</v>
      </c>
      <c r="G120" s="172" t="s">
        <v>2</v>
      </c>
      <c r="H120" s="172" t="s">
        <v>15</v>
      </c>
      <c r="I120" s="141" t="s">
        <v>3</v>
      </c>
      <c r="J120" s="172" t="s">
        <v>4</v>
      </c>
      <c r="K120" s="172" t="s">
        <v>5</v>
      </c>
      <c r="L120" s="172" t="s">
        <v>12</v>
      </c>
      <c r="M120" s="172" t="s">
        <v>6</v>
      </c>
      <c r="N120" s="10"/>
    </row>
    <row r="121" spans="1:14">
      <c r="A121" s="85">
        <v>10305</v>
      </c>
      <c r="B121" s="571" t="s">
        <v>1105</v>
      </c>
      <c r="C121" s="571" t="s">
        <v>792</v>
      </c>
      <c r="D121" s="571" t="s">
        <v>999</v>
      </c>
      <c r="E121" s="571" t="s">
        <v>1048</v>
      </c>
      <c r="F121" s="90">
        <f>780*1.0936</f>
        <v>853.00799999999992</v>
      </c>
      <c r="G121" s="120" t="s">
        <v>27</v>
      </c>
      <c r="H121" s="79"/>
      <c r="I121" s="80">
        <v>20</v>
      </c>
      <c r="J121" s="81">
        <v>22</v>
      </c>
      <c r="K121" s="81">
        <f t="shared" ref="K121:K125" si="26">I121*J121</f>
        <v>440</v>
      </c>
      <c r="L121" s="85"/>
      <c r="M121" s="85"/>
      <c r="N121" s="67"/>
    </row>
    <row r="122" spans="1:14">
      <c r="A122" s="85"/>
      <c r="B122" s="85"/>
      <c r="C122" s="85"/>
      <c r="D122" s="85"/>
      <c r="E122" s="85"/>
      <c r="F122" s="85"/>
      <c r="G122" s="83" t="s">
        <v>49</v>
      </c>
      <c r="H122" s="79"/>
      <c r="I122" s="80">
        <v>8</v>
      </c>
      <c r="J122" s="81">
        <v>34</v>
      </c>
      <c r="K122" s="81">
        <f t="shared" si="26"/>
        <v>272</v>
      </c>
      <c r="L122" s="85"/>
      <c r="M122" s="85"/>
      <c r="N122" s="67"/>
    </row>
    <row r="123" spans="1:14">
      <c r="A123" s="85"/>
      <c r="B123" s="85"/>
      <c r="C123" s="85"/>
      <c r="D123" s="85"/>
      <c r="E123" s="85"/>
      <c r="F123" s="85"/>
      <c r="G123" s="120" t="s">
        <v>19</v>
      </c>
      <c r="H123" s="79"/>
      <c r="I123" s="80">
        <v>2</v>
      </c>
      <c r="J123" s="81">
        <v>80</v>
      </c>
      <c r="K123" s="81">
        <f t="shared" si="26"/>
        <v>160</v>
      </c>
      <c r="L123" s="85"/>
      <c r="M123" s="85"/>
      <c r="N123" s="67"/>
    </row>
    <row r="124" spans="1:14">
      <c r="A124" s="570"/>
      <c r="B124" s="570"/>
      <c r="C124" s="570"/>
      <c r="D124" s="570"/>
      <c r="E124" s="570"/>
      <c r="F124" s="570"/>
      <c r="G124" s="95" t="s">
        <v>185</v>
      </c>
      <c r="H124" s="79"/>
      <c r="I124" s="96">
        <v>1</v>
      </c>
      <c r="J124" s="81">
        <v>490</v>
      </c>
      <c r="K124" s="81">
        <f t="shared" si="26"/>
        <v>490</v>
      </c>
      <c r="L124" s="570"/>
      <c r="M124" s="570"/>
      <c r="N124" s="67"/>
    </row>
    <row r="125" spans="1:14">
      <c r="A125" s="570"/>
      <c r="B125" s="570"/>
      <c r="C125" s="570"/>
      <c r="D125" s="570"/>
      <c r="E125" s="570"/>
      <c r="F125" s="570"/>
      <c r="G125" s="571" t="s">
        <v>28</v>
      </c>
      <c r="H125" s="79"/>
      <c r="I125" s="80">
        <v>7</v>
      </c>
      <c r="J125" s="81">
        <v>17</v>
      </c>
      <c r="K125" s="81">
        <f t="shared" si="26"/>
        <v>119</v>
      </c>
      <c r="L125" s="570"/>
      <c r="M125" s="570"/>
      <c r="N125" s="67"/>
    </row>
    <row r="126" spans="1:14">
      <c r="A126" s="85"/>
      <c r="B126" s="85"/>
      <c r="C126" s="85"/>
      <c r="D126" s="85"/>
      <c r="E126" s="172" t="s">
        <v>9</v>
      </c>
      <c r="F126" s="110">
        <f>SUM(F121:F125)</f>
        <v>853.00799999999992</v>
      </c>
      <c r="G126" s="172"/>
      <c r="H126" s="172"/>
      <c r="I126" s="125"/>
      <c r="J126" s="97"/>
      <c r="K126" s="111">
        <f>SUM(K121:K125)</f>
        <v>1481</v>
      </c>
      <c r="L126" s="111">
        <f>K126/F126</f>
        <v>1.7362088046067565</v>
      </c>
      <c r="M126" s="102"/>
    </row>
    <row r="127" spans="1:14">
      <c r="A127" s="85">
        <v>10312</v>
      </c>
      <c r="B127" s="571" t="s">
        <v>1029</v>
      </c>
      <c r="C127" s="571" t="s">
        <v>1040</v>
      </c>
      <c r="D127" s="571" t="s">
        <v>869</v>
      </c>
      <c r="E127" s="571" t="s">
        <v>102</v>
      </c>
      <c r="F127" s="90">
        <f>1460*1.0936</f>
        <v>1596.6559999999999</v>
      </c>
      <c r="G127" s="120" t="s">
        <v>27</v>
      </c>
      <c r="H127" s="79"/>
      <c r="I127" s="80">
        <v>90</v>
      </c>
      <c r="J127" s="81">
        <v>22</v>
      </c>
      <c r="K127" s="81">
        <f t="shared" ref="K127:K129" si="27">I127*J127</f>
        <v>1980</v>
      </c>
      <c r="L127" s="85"/>
      <c r="M127" s="85"/>
      <c r="N127" s="67"/>
    </row>
    <row r="128" spans="1:14">
      <c r="A128" s="85"/>
      <c r="B128" s="120"/>
      <c r="C128" s="120"/>
      <c r="D128" s="120"/>
      <c r="E128" s="120"/>
      <c r="F128" s="120"/>
      <c r="G128" s="83" t="s">
        <v>49</v>
      </c>
      <c r="H128" s="79"/>
      <c r="I128" s="80">
        <v>8</v>
      </c>
      <c r="J128" s="81">
        <v>34</v>
      </c>
      <c r="K128" s="81">
        <f t="shared" si="27"/>
        <v>272</v>
      </c>
      <c r="L128" s="85"/>
      <c r="M128" s="85"/>
      <c r="N128" s="67"/>
    </row>
    <row r="129" spans="1:14">
      <c r="A129" s="85"/>
      <c r="B129" s="85"/>
      <c r="C129" s="85"/>
      <c r="D129" s="85"/>
      <c r="E129" s="85"/>
      <c r="F129" s="85"/>
      <c r="G129" s="120" t="s">
        <v>19</v>
      </c>
      <c r="H129" s="79"/>
      <c r="I129" s="80">
        <v>2.4</v>
      </c>
      <c r="J129" s="81">
        <v>80</v>
      </c>
      <c r="K129" s="81">
        <f t="shared" si="27"/>
        <v>192</v>
      </c>
      <c r="L129" s="85"/>
      <c r="M129" s="85"/>
      <c r="N129" s="67"/>
    </row>
    <row r="130" spans="1:14">
      <c r="A130" s="85"/>
      <c r="B130" s="85"/>
      <c r="C130" s="85"/>
      <c r="D130" s="85"/>
      <c r="E130" s="172" t="s">
        <v>9</v>
      </c>
      <c r="F130" s="110">
        <f>SUM(F127:F129)</f>
        <v>1596.6559999999999</v>
      </c>
      <c r="G130" s="172"/>
      <c r="H130" s="172"/>
      <c r="I130" s="125"/>
      <c r="J130" s="97"/>
      <c r="K130" s="111">
        <f>SUM(K127:K129)</f>
        <v>2444</v>
      </c>
      <c r="L130" s="111">
        <f>K130/F130</f>
        <v>1.5306991612470062</v>
      </c>
      <c r="M130" s="102"/>
    </row>
    <row r="131" spans="1:14">
      <c r="A131" s="85">
        <v>10350</v>
      </c>
      <c r="B131" s="571" t="s">
        <v>277</v>
      </c>
      <c r="C131" s="571" t="s">
        <v>121</v>
      </c>
      <c r="D131" s="571" t="s">
        <v>122</v>
      </c>
      <c r="E131" s="571" t="s">
        <v>931</v>
      </c>
      <c r="F131" s="90">
        <f>150*1.0936</f>
        <v>164.04</v>
      </c>
      <c r="G131" s="120" t="s">
        <v>27</v>
      </c>
      <c r="H131" s="79"/>
      <c r="I131" s="80">
        <v>1.2</v>
      </c>
      <c r="J131" s="81">
        <v>22</v>
      </c>
      <c r="K131" s="81">
        <f t="shared" ref="K131:K133" si="28">I131*J131</f>
        <v>26.4</v>
      </c>
      <c r="L131" s="85"/>
      <c r="M131" s="85"/>
      <c r="N131" s="67"/>
    </row>
    <row r="132" spans="1:14">
      <c r="A132" s="85"/>
      <c r="B132" s="120"/>
      <c r="C132" s="120"/>
      <c r="D132" s="120"/>
      <c r="E132" s="85"/>
      <c r="F132" s="98"/>
      <c r="G132" s="83" t="s">
        <v>49</v>
      </c>
      <c r="H132" s="79"/>
      <c r="I132" s="80">
        <v>0.3</v>
      </c>
      <c r="J132" s="81">
        <v>34</v>
      </c>
      <c r="K132" s="81">
        <f t="shared" si="28"/>
        <v>10.199999999999999</v>
      </c>
      <c r="L132" s="85"/>
      <c r="M132" s="85"/>
      <c r="N132" s="67"/>
    </row>
    <row r="133" spans="1:14">
      <c r="A133" s="85"/>
      <c r="B133" s="85"/>
      <c r="C133" s="85"/>
      <c r="D133" s="85"/>
      <c r="E133" s="85"/>
      <c r="F133" s="85"/>
      <c r="G133" s="120" t="s">
        <v>19</v>
      </c>
      <c r="H133" s="79"/>
      <c r="I133" s="80"/>
      <c r="J133" s="81">
        <v>80</v>
      </c>
      <c r="K133" s="81">
        <f t="shared" si="28"/>
        <v>0</v>
      </c>
      <c r="L133" s="85"/>
      <c r="M133" s="85"/>
      <c r="N133" s="67"/>
    </row>
    <row r="134" spans="1:14">
      <c r="A134" s="85"/>
      <c r="B134" s="85"/>
      <c r="C134" s="85"/>
      <c r="D134" s="85"/>
      <c r="E134" s="172" t="s">
        <v>9</v>
      </c>
      <c r="F134" s="110">
        <f>SUM(F131:F133)</f>
        <v>164.04</v>
      </c>
      <c r="G134" s="172"/>
      <c r="H134" s="172"/>
      <c r="I134" s="125"/>
      <c r="J134" s="97"/>
      <c r="K134" s="111">
        <f>SUM(K131:K133)</f>
        <v>36.599999999999994</v>
      </c>
      <c r="L134" s="111">
        <f>K134/F134</f>
        <v>0.22311631309436719</v>
      </c>
      <c r="M134" s="85"/>
      <c r="N134" s="67"/>
    </row>
    <row r="135" spans="1:14">
      <c r="A135" s="85">
        <v>10350</v>
      </c>
      <c r="B135" s="571" t="s">
        <v>1029</v>
      </c>
      <c r="C135" s="571" t="s">
        <v>1040</v>
      </c>
      <c r="D135" s="571" t="s">
        <v>869</v>
      </c>
      <c r="E135" s="571" t="s">
        <v>1161</v>
      </c>
      <c r="F135" s="90">
        <f>60*1.0936</f>
        <v>65.616</v>
      </c>
      <c r="G135" s="120" t="s">
        <v>27</v>
      </c>
      <c r="H135" s="79"/>
      <c r="I135" s="80">
        <v>1.8</v>
      </c>
      <c r="J135" s="81">
        <v>22</v>
      </c>
      <c r="K135" s="81">
        <f t="shared" ref="K135:K137" si="29">I135*J135</f>
        <v>39.6</v>
      </c>
      <c r="L135" s="85"/>
      <c r="M135" s="85"/>
      <c r="N135" s="67"/>
    </row>
    <row r="136" spans="1:14">
      <c r="A136" s="85"/>
      <c r="B136" s="85"/>
      <c r="C136" s="85"/>
      <c r="D136" s="85"/>
      <c r="E136" s="85"/>
      <c r="F136" s="85"/>
      <c r="G136" s="83" t="s">
        <v>49</v>
      </c>
      <c r="H136" s="79"/>
      <c r="I136" s="80">
        <v>0.3</v>
      </c>
      <c r="J136" s="81">
        <v>34</v>
      </c>
      <c r="K136" s="81">
        <f t="shared" si="29"/>
        <v>10.199999999999999</v>
      </c>
      <c r="L136" s="85"/>
      <c r="M136" s="85"/>
      <c r="N136" s="67"/>
    </row>
    <row r="137" spans="1:14">
      <c r="A137" s="85"/>
      <c r="B137" s="85"/>
      <c r="C137" s="85"/>
      <c r="D137" s="85"/>
      <c r="E137" s="85"/>
      <c r="F137" s="85"/>
      <c r="G137" s="120" t="s">
        <v>19</v>
      </c>
      <c r="H137" s="79"/>
      <c r="I137" s="80"/>
      <c r="J137" s="81">
        <v>80</v>
      </c>
      <c r="K137" s="81">
        <f t="shared" si="29"/>
        <v>0</v>
      </c>
      <c r="L137" s="85"/>
      <c r="M137" s="85"/>
      <c r="N137" s="67"/>
    </row>
    <row r="138" spans="1:14">
      <c r="A138" s="85"/>
      <c r="B138" s="85"/>
      <c r="C138" s="85"/>
      <c r="D138" s="85"/>
      <c r="E138" s="172" t="s">
        <v>9</v>
      </c>
      <c r="F138" s="110">
        <f>SUM(F135:F137)</f>
        <v>65.616</v>
      </c>
      <c r="G138" s="172"/>
      <c r="H138" s="172"/>
      <c r="I138" s="125"/>
      <c r="J138" s="97"/>
      <c r="K138" s="111">
        <f>SUM(K135:K137)</f>
        <v>49.8</v>
      </c>
      <c r="L138" s="111">
        <f>K138/F138</f>
        <v>0.75896122896854423</v>
      </c>
      <c r="M138" s="85"/>
      <c r="N138" s="67"/>
    </row>
    <row r="139" spans="1:14">
      <c r="A139" s="85">
        <v>10349</v>
      </c>
      <c r="B139" s="571" t="s">
        <v>865</v>
      </c>
      <c r="C139" s="89" t="s">
        <v>700</v>
      </c>
      <c r="D139" s="89" t="s">
        <v>297</v>
      </c>
      <c r="E139" s="571" t="s">
        <v>1115</v>
      </c>
      <c r="F139" s="90">
        <f>6270*1.0936</f>
        <v>6856.8719999999994</v>
      </c>
      <c r="G139" s="120" t="s">
        <v>27</v>
      </c>
      <c r="H139" s="79"/>
      <c r="I139" s="80">
        <v>286</v>
      </c>
      <c r="J139" s="81">
        <v>22</v>
      </c>
      <c r="K139" s="81">
        <f t="shared" ref="K139:K141" si="30">I139*J139</f>
        <v>6292</v>
      </c>
      <c r="L139" s="85"/>
      <c r="M139" s="85"/>
      <c r="N139" s="67"/>
    </row>
    <row r="140" spans="1:14">
      <c r="A140" s="85"/>
      <c r="B140" s="85"/>
      <c r="C140" s="85"/>
      <c r="D140" s="85"/>
      <c r="E140" s="85"/>
      <c r="F140" s="85"/>
      <c r="G140" s="83" t="s">
        <v>49</v>
      </c>
      <c r="H140" s="79"/>
      <c r="I140" s="80">
        <v>24</v>
      </c>
      <c r="J140" s="81">
        <v>34</v>
      </c>
      <c r="K140" s="81">
        <f t="shared" si="30"/>
        <v>816</v>
      </c>
      <c r="L140" s="85"/>
      <c r="M140" s="85"/>
      <c r="N140" s="67"/>
    </row>
    <row r="141" spans="1:14">
      <c r="A141" s="85"/>
      <c r="B141" s="85"/>
      <c r="C141" s="85"/>
      <c r="D141" s="85"/>
      <c r="E141" s="85"/>
      <c r="F141" s="85"/>
      <c r="G141" s="120" t="s">
        <v>19</v>
      </c>
      <c r="H141" s="79"/>
      <c r="I141" s="80">
        <v>12.2</v>
      </c>
      <c r="J141" s="81">
        <v>80</v>
      </c>
      <c r="K141" s="81">
        <f t="shared" si="30"/>
        <v>976</v>
      </c>
      <c r="L141" s="85"/>
      <c r="M141" s="85"/>
      <c r="N141" s="67"/>
    </row>
    <row r="142" spans="1:14">
      <c r="A142" s="570"/>
      <c r="B142" s="570"/>
      <c r="C142" s="570"/>
      <c r="D142" s="570"/>
      <c r="E142" s="569" t="s">
        <v>9</v>
      </c>
      <c r="F142" s="110">
        <f>SUM(F139:F141)</f>
        <v>6856.8719999999994</v>
      </c>
      <c r="G142" s="569"/>
      <c r="H142" s="569"/>
      <c r="I142" s="125"/>
      <c r="J142" s="97"/>
      <c r="K142" s="111">
        <f>SUM(K139:K141)</f>
        <v>8084</v>
      </c>
      <c r="L142" s="111">
        <f>K142/F142</f>
        <v>1.1789632357144775</v>
      </c>
      <c r="M142" s="570"/>
      <c r="N142" s="67"/>
    </row>
    <row r="143" spans="1:14">
      <c r="A143" s="570">
        <v>10349</v>
      </c>
      <c r="B143" s="571" t="s">
        <v>1041</v>
      </c>
      <c r="C143" s="89" t="s">
        <v>766</v>
      </c>
      <c r="D143" s="89" t="s">
        <v>465</v>
      </c>
      <c r="E143" s="571" t="s">
        <v>1155</v>
      </c>
      <c r="F143" s="87">
        <f>3580*1.0936</f>
        <v>3915.0879999999997</v>
      </c>
      <c r="G143" s="571" t="s">
        <v>27</v>
      </c>
      <c r="H143" s="79"/>
      <c r="I143" s="80">
        <v>150</v>
      </c>
      <c r="J143" s="81">
        <v>22</v>
      </c>
      <c r="K143" s="81">
        <f t="shared" ref="K143:K145" si="31">I143*J143</f>
        <v>3300</v>
      </c>
      <c r="L143" s="570"/>
      <c r="M143" s="570"/>
      <c r="N143" s="67"/>
    </row>
    <row r="144" spans="1:14">
      <c r="A144" s="570"/>
      <c r="B144" s="570"/>
      <c r="C144" s="570"/>
      <c r="D144" s="570"/>
      <c r="E144" s="570"/>
      <c r="F144" s="570"/>
      <c r="G144" s="572" t="s">
        <v>49</v>
      </c>
      <c r="H144" s="79"/>
      <c r="I144" s="80">
        <v>12</v>
      </c>
      <c r="J144" s="81">
        <v>34</v>
      </c>
      <c r="K144" s="81">
        <f t="shared" si="31"/>
        <v>408</v>
      </c>
      <c r="L144" s="570"/>
      <c r="M144" s="570"/>
      <c r="N144" s="67"/>
    </row>
    <row r="145" spans="1:14">
      <c r="A145" s="570"/>
      <c r="B145" s="570"/>
      <c r="C145" s="570"/>
      <c r="D145" s="570"/>
      <c r="E145" s="570"/>
      <c r="F145" s="570"/>
      <c r="G145" s="571" t="s">
        <v>19</v>
      </c>
      <c r="H145" s="79"/>
      <c r="I145" s="80">
        <v>3.6</v>
      </c>
      <c r="J145" s="81">
        <v>80</v>
      </c>
      <c r="K145" s="81">
        <f t="shared" si="31"/>
        <v>288</v>
      </c>
      <c r="L145" s="570"/>
      <c r="M145" s="570"/>
      <c r="N145" s="67"/>
    </row>
    <row r="146" spans="1:14">
      <c r="A146" s="570"/>
      <c r="B146" s="570"/>
      <c r="C146" s="570"/>
      <c r="D146" s="570"/>
      <c r="E146" s="569" t="s">
        <v>9</v>
      </c>
      <c r="F146" s="110">
        <f>SUM(F143:F145)</f>
        <v>3915.0879999999997</v>
      </c>
      <c r="G146" s="569"/>
      <c r="H146" s="569"/>
      <c r="I146" s="125"/>
      <c r="J146" s="97"/>
      <c r="K146" s="111">
        <f>SUM(K143:K145)</f>
        <v>3996</v>
      </c>
      <c r="L146" s="111">
        <f>K146/F146</f>
        <v>1.0206667129832077</v>
      </c>
      <c r="M146" s="570"/>
      <c r="N146" s="67"/>
    </row>
    <row r="147" spans="1:14">
      <c r="A147" s="570">
        <v>10312</v>
      </c>
      <c r="B147" s="571" t="s">
        <v>767</v>
      </c>
      <c r="C147" s="89" t="s">
        <v>766</v>
      </c>
      <c r="D147" s="89" t="s">
        <v>465</v>
      </c>
      <c r="E147" s="571" t="s">
        <v>102</v>
      </c>
      <c r="F147" s="87">
        <f>5520*1.0936</f>
        <v>6036.6719999999996</v>
      </c>
      <c r="G147" s="571" t="s">
        <v>27</v>
      </c>
      <c r="H147" s="79"/>
      <c r="I147" s="80">
        <v>250</v>
      </c>
      <c r="J147" s="81">
        <v>22</v>
      </c>
      <c r="K147" s="81">
        <f t="shared" ref="K147:K149" si="32">I147*J147</f>
        <v>5500</v>
      </c>
      <c r="L147" s="570"/>
      <c r="M147" s="570"/>
      <c r="N147" s="67"/>
    </row>
    <row r="148" spans="1:14">
      <c r="A148" s="570"/>
      <c r="B148" s="570"/>
      <c r="C148" s="570"/>
      <c r="D148" s="570"/>
      <c r="E148" s="570"/>
      <c r="F148" s="570"/>
      <c r="G148" s="572" t="s">
        <v>49</v>
      </c>
      <c r="H148" s="79"/>
      <c r="I148" s="80">
        <v>20</v>
      </c>
      <c r="J148" s="81">
        <v>34</v>
      </c>
      <c r="K148" s="81">
        <f t="shared" si="32"/>
        <v>680</v>
      </c>
      <c r="L148" s="570"/>
      <c r="M148" s="570"/>
      <c r="N148" s="67"/>
    </row>
    <row r="149" spans="1:14">
      <c r="A149" s="570"/>
      <c r="B149" s="570"/>
      <c r="C149" s="570"/>
      <c r="D149" s="570"/>
      <c r="E149" s="570"/>
      <c r="F149" s="570"/>
      <c r="G149" s="571" t="s">
        <v>19</v>
      </c>
      <c r="H149" s="79"/>
      <c r="I149" s="80">
        <v>6</v>
      </c>
      <c r="J149" s="81">
        <v>80</v>
      </c>
      <c r="K149" s="81">
        <f t="shared" si="32"/>
        <v>480</v>
      </c>
      <c r="L149" s="570"/>
      <c r="M149" s="570"/>
      <c r="N149" s="67"/>
    </row>
    <row r="150" spans="1:14">
      <c r="A150" s="570"/>
      <c r="B150" s="570"/>
      <c r="C150" s="570"/>
      <c r="D150" s="570"/>
      <c r="E150" s="569" t="s">
        <v>9</v>
      </c>
      <c r="F150" s="110">
        <f>SUM(F147:F149)</f>
        <v>6036.6719999999996</v>
      </c>
      <c r="G150" s="569"/>
      <c r="H150" s="569"/>
      <c r="I150" s="125"/>
      <c r="J150" s="97"/>
      <c r="K150" s="111">
        <f>SUM(K147:K149)</f>
        <v>6660</v>
      </c>
      <c r="L150" s="111">
        <f>K150/F150</f>
        <v>1.1032568938646989</v>
      </c>
      <c r="M150" s="570"/>
      <c r="N150" s="67"/>
    </row>
    <row r="151" spans="1:14">
      <c r="A151" s="176"/>
      <c r="B151" s="176"/>
      <c r="C151" s="176"/>
      <c r="D151" s="126" t="s">
        <v>30</v>
      </c>
      <c r="E151" s="142"/>
      <c r="F151" s="127">
        <f>F126+F130+F134+F138+F142+F146+F150</f>
        <v>19487.951999999997</v>
      </c>
      <c r="G151" s="128"/>
      <c r="H151" s="128"/>
      <c r="I151" s="128"/>
      <c r="J151" s="128"/>
      <c r="K151" s="127">
        <f>K126+K130+K134+K138+K142+K146+K150</f>
        <v>22751.4</v>
      </c>
      <c r="L151" s="129">
        <f>K151/F151</f>
        <v>1.1674597720684043</v>
      </c>
      <c r="M151" s="131"/>
    </row>
    <row r="152" spans="1:14">
      <c r="A152" s="70" t="s">
        <v>11</v>
      </c>
      <c r="B152" s="70"/>
      <c r="C152" s="70"/>
      <c r="D152" s="70"/>
      <c r="E152" s="70"/>
      <c r="F152" s="71"/>
      <c r="G152" s="71"/>
      <c r="H152" s="71"/>
      <c r="I152" s="71"/>
      <c r="J152" s="71"/>
      <c r="K152" s="824" t="s">
        <v>1147</v>
      </c>
      <c r="L152" s="824"/>
      <c r="M152" s="824"/>
    </row>
    <row r="153" spans="1:14">
      <c r="A153" s="172" t="s">
        <v>0</v>
      </c>
      <c r="B153" s="172" t="s">
        <v>7</v>
      </c>
      <c r="C153" s="172" t="s">
        <v>13</v>
      </c>
      <c r="D153" s="172" t="s">
        <v>14</v>
      </c>
      <c r="E153" s="172" t="s">
        <v>8</v>
      </c>
      <c r="F153" s="172" t="s">
        <v>1</v>
      </c>
      <c r="G153" s="172" t="s">
        <v>2</v>
      </c>
      <c r="H153" s="172" t="s">
        <v>15</v>
      </c>
      <c r="I153" s="172" t="s">
        <v>3</v>
      </c>
      <c r="J153" s="172" t="s">
        <v>4</v>
      </c>
      <c r="K153" s="172" t="s">
        <v>5</v>
      </c>
      <c r="L153" s="172" t="s">
        <v>12</v>
      </c>
      <c r="M153" s="172" t="s">
        <v>6</v>
      </c>
      <c r="N153" s="10"/>
    </row>
    <row r="154" spans="1:14">
      <c r="A154" s="120">
        <v>9973</v>
      </c>
      <c r="B154" s="571" t="s">
        <v>1013</v>
      </c>
      <c r="C154" s="89" t="s">
        <v>766</v>
      </c>
      <c r="D154" s="89" t="s">
        <v>465</v>
      </c>
      <c r="E154" s="571" t="s">
        <v>1012</v>
      </c>
      <c r="F154" s="222">
        <f>4660*1.0936</f>
        <v>5096.1759999999995</v>
      </c>
      <c r="G154" s="173" t="s">
        <v>298</v>
      </c>
      <c r="H154" s="79"/>
      <c r="I154" s="80">
        <f>11+3</f>
        <v>14</v>
      </c>
      <c r="J154" s="81">
        <v>435</v>
      </c>
      <c r="K154" s="94">
        <f t="shared" ref="K154:K155" si="33">I154*J154</f>
        <v>6090</v>
      </c>
      <c r="L154" s="102"/>
      <c r="M154" s="102"/>
    </row>
    <row r="155" spans="1:14">
      <c r="A155" s="85"/>
      <c r="B155" s="120"/>
      <c r="C155" s="120"/>
      <c r="D155" s="120"/>
      <c r="E155" s="120"/>
      <c r="F155" s="120"/>
      <c r="G155" s="572" t="s">
        <v>206</v>
      </c>
      <c r="H155" s="79"/>
      <c r="I155" s="81">
        <f>7+4</f>
        <v>11</v>
      </c>
      <c r="J155" s="81">
        <v>375</v>
      </c>
      <c r="K155" s="81">
        <f t="shared" si="33"/>
        <v>4125</v>
      </c>
      <c r="L155" s="102"/>
      <c r="M155" s="102"/>
    </row>
    <row r="156" spans="1:14">
      <c r="A156" s="85"/>
      <c r="B156" s="85"/>
      <c r="C156" s="85"/>
      <c r="D156" s="85"/>
      <c r="E156" s="85"/>
      <c r="F156" s="98"/>
      <c r="G156" s="572" t="s">
        <v>698</v>
      </c>
      <c r="H156" s="79"/>
      <c r="I156" s="188">
        <f>0.8+0.7</f>
        <v>1.5</v>
      </c>
      <c r="J156" s="103">
        <v>152</v>
      </c>
      <c r="K156" s="81">
        <f t="shared" ref="K156" si="34">I156*J156</f>
        <v>228</v>
      </c>
      <c r="L156" s="102"/>
      <c r="M156" s="102"/>
    </row>
    <row r="157" spans="1:14">
      <c r="A157" s="570"/>
      <c r="B157" s="570"/>
      <c r="C157" s="570"/>
      <c r="D157" s="570"/>
      <c r="E157" s="570"/>
      <c r="F157" s="98"/>
      <c r="G157" s="572" t="s">
        <v>798</v>
      </c>
      <c r="H157" s="79"/>
      <c r="I157" s="81">
        <v>3.5</v>
      </c>
      <c r="J157" s="81">
        <v>248</v>
      </c>
      <c r="K157" s="81">
        <f>I157*J157</f>
        <v>868</v>
      </c>
      <c r="L157" s="102"/>
      <c r="M157" s="102"/>
    </row>
    <row r="158" spans="1:14">
      <c r="A158" s="85"/>
      <c r="B158" s="85"/>
      <c r="C158" s="85"/>
      <c r="D158" s="85"/>
      <c r="E158" s="569" t="s">
        <v>9</v>
      </c>
      <c r="F158" s="110">
        <f>SUM(F154:F157)</f>
        <v>5096.1759999999995</v>
      </c>
      <c r="G158" s="569"/>
      <c r="H158" s="569"/>
      <c r="I158" s="125"/>
      <c r="J158" s="97"/>
      <c r="K158" s="111">
        <f>SUM(K154:K157)</f>
        <v>11311</v>
      </c>
      <c r="L158" s="111">
        <f>K158/F158</f>
        <v>2.2195073325568035</v>
      </c>
      <c r="M158" s="102"/>
    </row>
    <row r="159" spans="1:14">
      <c r="A159" s="570">
        <v>9977</v>
      </c>
      <c r="B159" s="571" t="s">
        <v>1014</v>
      </c>
      <c r="C159" s="571" t="s">
        <v>792</v>
      </c>
      <c r="D159" s="571" t="s">
        <v>1162</v>
      </c>
      <c r="E159" s="571" t="s">
        <v>284</v>
      </c>
      <c r="F159" s="90">
        <f>100*1.0936</f>
        <v>109.35999999999999</v>
      </c>
      <c r="G159" s="572" t="s">
        <v>1163</v>
      </c>
      <c r="H159" s="104"/>
      <c r="I159" s="189">
        <v>0.6</v>
      </c>
      <c r="J159" s="103">
        <v>277</v>
      </c>
      <c r="K159" s="81">
        <f t="shared" ref="K159:K160" si="35">I159*J159</f>
        <v>166.2</v>
      </c>
      <c r="L159" s="102"/>
      <c r="M159" s="102"/>
    </row>
    <row r="160" spans="1:14">
      <c r="A160" s="570"/>
      <c r="B160" s="570"/>
      <c r="C160" s="570"/>
      <c r="D160" s="570"/>
      <c r="E160" s="570"/>
      <c r="F160" s="98"/>
      <c r="G160" s="572" t="s">
        <v>1164</v>
      </c>
      <c r="H160" s="104"/>
      <c r="I160" s="189">
        <v>3</v>
      </c>
      <c r="J160" s="103">
        <v>480</v>
      </c>
      <c r="K160" s="81">
        <f t="shared" si="35"/>
        <v>1440</v>
      </c>
      <c r="L160" s="102"/>
      <c r="M160" s="102"/>
    </row>
    <row r="161" spans="1:14">
      <c r="A161" s="85"/>
      <c r="B161" s="85"/>
      <c r="C161" s="85"/>
      <c r="D161" s="85"/>
      <c r="E161" s="172" t="s">
        <v>9</v>
      </c>
      <c r="F161" s="110">
        <f>SUM(F159:F160)</f>
        <v>109.35999999999999</v>
      </c>
      <c r="G161" s="172"/>
      <c r="H161" s="172"/>
      <c r="I161" s="97"/>
      <c r="J161" s="97"/>
      <c r="K161" s="111">
        <f>SUM(K159:K160)</f>
        <v>1606.2</v>
      </c>
      <c r="L161" s="111">
        <f>K161/F161</f>
        <v>14.687271397220192</v>
      </c>
      <c r="M161" s="102"/>
    </row>
    <row r="162" spans="1:14">
      <c r="A162" s="71"/>
      <c r="B162" s="71"/>
      <c r="C162" s="71"/>
      <c r="D162" s="126" t="s">
        <v>30</v>
      </c>
      <c r="E162" s="126"/>
      <c r="F162" s="127">
        <f>F158+F161</f>
        <v>5205.5359999999991</v>
      </c>
      <c r="G162" s="128"/>
      <c r="H162" s="128"/>
      <c r="I162" s="128"/>
      <c r="J162" s="128"/>
      <c r="K162" s="127">
        <f>K158+K161</f>
        <v>12917.2</v>
      </c>
      <c r="L162" s="129">
        <f>K162/F162</f>
        <v>2.4814351490413289</v>
      </c>
      <c r="M162" s="71"/>
    </row>
    <row r="163" spans="1:14">
      <c r="A163" s="70" t="s">
        <v>42</v>
      </c>
      <c r="B163" s="70"/>
      <c r="C163" s="70"/>
      <c r="D163" s="70"/>
      <c r="E163" s="70"/>
      <c r="F163" s="71"/>
      <c r="G163" s="71"/>
      <c r="H163" s="71"/>
      <c r="I163" s="71"/>
      <c r="J163" s="71"/>
      <c r="K163" s="824" t="s">
        <v>1147</v>
      </c>
      <c r="L163" s="824"/>
      <c r="M163" s="824"/>
    </row>
    <row r="164" spans="1:14">
      <c r="A164" s="172" t="s">
        <v>0</v>
      </c>
      <c r="B164" s="172" t="s">
        <v>7</v>
      </c>
      <c r="C164" s="172" t="s">
        <v>13</v>
      </c>
      <c r="D164" s="172" t="s">
        <v>14</v>
      </c>
      <c r="E164" s="172" t="s">
        <v>8</v>
      </c>
      <c r="F164" s="172" t="s">
        <v>1</v>
      </c>
      <c r="G164" s="172" t="s">
        <v>2</v>
      </c>
      <c r="H164" s="172" t="s">
        <v>15</v>
      </c>
      <c r="I164" s="172" t="s">
        <v>3</v>
      </c>
      <c r="J164" s="172" t="s">
        <v>4</v>
      </c>
      <c r="K164" s="172" t="s">
        <v>5</v>
      </c>
      <c r="L164" s="172" t="s">
        <v>12</v>
      </c>
      <c r="M164" s="172" t="s">
        <v>6</v>
      </c>
      <c r="N164" s="10"/>
    </row>
    <row r="165" spans="1:14">
      <c r="A165" s="556">
        <v>7775</v>
      </c>
      <c r="B165" s="556" t="s">
        <v>1014</v>
      </c>
      <c r="C165" s="556" t="s">
        <v>792</v>
      </c>
      <c r="D165" s="556" t="s">
        <v>1016</v>
      </c>
      <c r="E165" s="556" t="s">
        <v>93</v>
      </c>
      <c r="F165" s="90">
        <f>7500*1.0936</f>
        <v>8202</v>
      </c>
      <c r="G165" s="91" t="s">
        <v>123</v>
      </c>
      <c r="H165" s="556"/>
      <c r="I165" s="96">
        <v>3.2</v>
      </c>
      <c r="J165" s="81">
        <v>750</v>
      </c>
      <c r="K165" s="94">
        <f t="shared" ref="K165:K167" si="36">I165*J165</f>
        <v>2400</v>
      </c>
      <c r="L165" s="102"/>
      <c r="M165" s="79"/>
    </row>
    <row r="166" spans="1:14">
      <c r="A166" s="556"/>
      <c r="B166" s="556"/>
      <c r="C166" s="556"/>
      <c r="D166" s="556"/>
      <c r="E166" s="556"/>
      <c r="F166" s="87"/>
      <c r="G166" s="91" t="s">
        <v>888</v>
      </c>
      <c r="H166" s="109"/>
      <c r="I166" s="80">
        <v>0.2</v>
      </c>
      <c r="J166" s="81">
        <v>690</v>
      </c>
      <c r="K166" s="81">
        <f t="shared" si="36"/>
        <v>138</v>
      </c>
      <c r="L166" s="102"/>
      <c r="M166" s="79"/>
    </row>
    <row r="167" spans="1:14">
      <c r="A167" s="556"/>
      <c r="B167" s="556"/>
      <c r="C167" s="556"/>
      <c r="D167" s="556"/>
      <c r="E167" s="556"/>
      <c r="F167" s="87"/>
      <c r="G167" s="91" t="s">
        <v>209</v>
      </c>
      <c r="H167" s="79"/>
      <c r="I167" s="80">
        <v>0.3</v>
      </c>
      <c r="J167" s="81">
        <v>350</v>
      </c>
      <c r="K167" s="81">
        <f t="shared" si="36"/>
        <v>105</v>
      </c>
      <c r="L167" s="79"/>
      <c r="M167" s="79"/>
    </row>
    <row r="168" spans="1:14">
      <c r="A168" s="556"/>
      <c r="B168" s="556"/>
      <c r="C168" s="556"/>
      <c r="D168" s="556"/>
      <c r="E168" s="556"/>
      <c r="F168" s="87"/>
      <c r="G168" s="557" t="s">
        <v>211</v>
      </c>
      <c r="H168" s="79"/>
      <c r="I168" s="80">
        <v>30</v>
      </c>
      <c r="J168" s="81">
        <v>120</v>
      </c>
      <c r="K168" s="81">
        <f>I168*J168</f>
        <v>3600</v>
      </c>
      <c r="L168" s="102"/>
      <c r="M168" s="79"/>
    </row>
    <row r="169" spans="1:14">
      <c r="A169" s="556"/>
      <c r="B169" s="556"/>
      <c r="C169" s="556"/>
      <c r="D169" s="556"/>
      <c r="E169" s="556"/>
      <c r="F169" s="87"/>
      <c r="G169" s="557" t="s">
        <v>45</v>
      </c>
      <c r="H169" s="79"/>
      <c r="I169" s="80">
        <v>3</v>
      </c>
      <c r="J169" s="81">
        <v>45</v>
      </c>
      <c r="K169" s="81">
        <f t="shared" ref="K169:K170" si="37">I169*J169</f>
        <v>135</v>
      </c>
      <c r="L169" s="102"/>
      <c r="M169" s="79"/>
    </row>
    <row r="170" spans="1:14">
      <c r="A170" s="556"/>
      <c r="B170" s="556"/>
      <c r="C170" s="556"/>
      <c r="D170" s="556"/>
      <c r="E170" s="556"/>
      <c r="F170" s="87"/>
      <c r="G170" s="557" t="s">
        <v>213</v>
      </c>
      <c r="H170" s="79"/>
      <c r="I170" s="80">
        <v>3</v>
      </c>
      <c r="J170" s="81">
        <v>348</v>
      </c>
      <c r="K170" s="81">
        <f t="shared" si="37"/>
        <v>1044</v>
      </c>
      <c r="L170" s="102"/>
      <c r="M170" s="79"/>
    </row>
    <row r="171" spans="1:14">
      <c r="A171" s="556"/>
      <c r="B171" s="556"/>
      <c r="C171" s="556"/>
      <c r="D171" s="556"/>
      <c r="E171" s="273" t="s">
        <v>9</v>
      </c>
      <c r="F171" s="108">
        <f>SUM(F165:F170)</f>
        <v>8202</v>
      </c>
      <c r="G171" s="273"/>
      <c r="H171" s="273"/>
      <c r="I171" s="81"/>
      <c r="J171" s="81"/>
      <c r="K171" s="103">
        <f>SUM(K165:K170)</f>
        <v>7422</v>
      </c>
      <c r="L171" s="103">
        <f>K171/F171</f>
        <v>0.90490124359912216</v>
      </c>
      <c r="M171" s="79"/>
    </row>
    <row r="172" spans="1:14">
      <c r="A172" s="556">
        <v>7776</v>
      </c>
      <c r="B172" s="556" t="s">
        <v>1105</v>
      </c>
      <c r="C172" s="556" t="s">
        <v>792</v>
      </c>
      <c r="D172" s="556" t="s">
        <v>1016</v>
      </c>
      <c r="E172" s="594" t="s">
        <v>1220</v>
      </c>
      <c r="F172" s="90">
        <f>5150*1.0936</f>
        <v>5632.04</v>
      </c>
      <c r="G172" s="91" t="s">
        <v>123</v>
      </c>
      <c r="H172" s="556"/>
      <c r="I172" s="96">
        <v>3.6</v>
      </c>
      <c r="J172" s="81">
        <v>750</v>
      </c>
      <c r="K172" s="94">
        <f t="shared" ref="K172:K175" si="38">I172*J172</f>
        <v>2700</v>
      </c>
      <c r="L172" s="102"/>
      <c r="M172" s="79"/>
    </row>
    <row r="173" spans="1:14">
      <c r="A173" s="556"/>
      <c r="B173" s="556"/>
      <c r="C173" s="556"/>
      <c r="D173" s="556"/>
      <c r="E173" s="594" t="s">
        <v>247</v>
      </c>
      <c r="F173" s="87"/>
      <c r="G173" s="91" t="s">
        <v>888</v>
      </c>
      <c r="H173" s="109"/>
      <c r="I173" s="80">
        <v>1.2</v>
      </c>
      <c r="J173" s="81">
        <v>690</v>
      </c>
      <c r="K173" s="81">
        <f t="shared" si="38"/>
        <v>828</v>
      </c>
      <c r="L173" s="102"/>
      <c r="M173" s="79"/>
    </row>
    <row r="174" spans="1:14">
      <c r="A174" s="556"/>
      <c r="B174" s="556"/>
      <c r="C174" s="556"/>
      <c r="D174" s="556"/>
      <c r="E174" s="556"/>
      <c r="F174" s="87"/>
      <c r="G174" s="91" t="s">
        <v>209</v>
      </c>
      <c r="H174" s="79"/>
      <c r="I174" s="80">
        <v>0.9</v>
      </c>
      <c r="J174" s="81">
        <v>350</v>
      </c>
      <c r="K174" s="81">
        <f t="shared" si="38"/>
        <v>315</v>
      </c>
      <c r="L174" s="79"/>
      <c r="M174" s="79"/>
    </row>
    <row r="175" spans="1:14">
      <c r="A175" s="556"/>
      <c r="B175" s="556"/>
      <c r="C175" s="556"/>
      <c r="D175" s="556"/>
      <c r="E175" s="556"/>
      <c r="F175" s="87"/>
      <c r="G175" s="91" t="s">
        <v>221</v>
      </c>
      <c r="H175" s="112"/>
      <c r="I175" s="113">
        <v>21</v>
      </c>
      <c r="J175" s="81">
        <v>980</v>
      </c>
      <c r="K175" s="81">
        <f t="shared" si="38"/>
        <v>20580</v>
      </c>
      <c r="L175" s="79"/>
      <c r="M175" s="79"/>
    </row>
    <row r="176" spans="1:14">
      <c r="A176" s="556"/>
      <c r="B176" s="556"/>
      <c r="C176" s="556"/>
      <c r="D176" s="556"/>
      <c r="E176" s="556"/>
      <c r="F176" s="87"/>
      <c r="G176" s="557" t="s">
        <v>211</v>
      </c>
      <c r="H176" s="79"/>
      <c r="I176" s="80">
        <v>42</v>
      </c>
      <c r="J176" s="81">
        <v>120</v>
      </c>
      <c r="K176" s="81">
        <f>I176*J176</f>
        <v>5040</v>
      </c>
      <c r="L176" s="102"/>
      <c r="M176" s="79"/>
    </row>
    <row r="177" spans="1:13">
      <c r="A177" s="556"/>
      <c r="B177" s="556"/>
      <c r="C177" s="556"/>
      <c r="D177" s="556"/>
      <c r="E177" s="556"/>
      <c r="F177" s="87"/>
      <c r="G177" s="557" t="s">
        <v>45</v>
      </c>
      <c r="H177" s="79"/>
      <c r="I177" s="80">
        <v>4</v>
      </c>
      <c r="J177" s="81">
        <v>45</v>
      </c>
      <c r="K177" s="81">
        <f t="shared" ref="K177:K178" si="39">I177*J177</f>
        <v>180</v>
      </c>
      <c r="L177" s="102"/>
      <c r="M177" s="179"/>
    </row>
    <row r="178" spans="1:13">
      <c r="A178" s="556"/>
      <c r="B178" s="556"/>
      <c r="C178" s="556"/>
      <c r="D178" s="556"/>
      <c r="E178" s="556"/>
      <c r="F178" s="87"/>
      <c r="G178" s="557" t="s">
        <v>213</v>
      </c>
      <c r="H178" s="79"/>
      <c r="I178" s="80">
        <v>4.2</v>
      </c>
      <c r="J178" s="81">
        <v>348</v>
      </c>
      <c r="K178" s="81">
        <f t="shared" si="39"/>
        <v>1461.6000000000001</v>
      </c>
      <c r="L178" s="102"/>
      <c r="M178" s="79"/>
    </row>
    <row r="179" spans="1:13">
      <c r="A179" s="556"/>
      <c r="B179" s="556"/>
      <c r="C179" s="556"/>
      <c r="D179" s="556"/>
      <c r="E179" s="556"/>
      <c r="F179" s="87"/>
      <c r="G179" s="557" t="s">
        <v>214</v>
      </c>
      <c r="H179" s="79"/>
      <c r="I179" s="80">
        <v>110</v>
      </c>
      <c r="J179" s="81">
        <v>360</v>
      </c>
      <c r="K179" s="81">
        <f t="shared" ref="K179" si="40">I179*J179</f>
        <v>39600</v>
      </c>
      <c r="L179" s="79"/>
      <c r="M179" s="79"/>
    </row>
    <row r="180" spans="1:13">
      <c r="A180" s="556"/>
      <c r="B180" s="556"/>
      <c r="C180" s="556"/>
      <c r="D180" s="556"/>
      <c r="E180" s="273" t="s">
        <v>9</v>
      </c>
      <c r="F180" s="108">
        <f>SUM(F172:F179)</f>
        <v>5632.04</v>
      </c>
      <c r="G180" s="273"/>
      <c r="H180" s="273"/>
      <c r="I180" s="81"/>
      <c r="J180" s="81"/>
      <c r="K180" s="103">
        <f>SUM(K172:K179)</f>
        <v>70704.600000000006</v>
      </c>
      <c r="L180" s="103">
        <f>K180/F180</f>
        <v>12.553994644924398</v>
      </c>
      <c r="M180" s="179"/>
    </row>
    <row r="181" spans="1:13">
      <c r="A181" s="556">
        <v>7777</v>
      </c>
      <c r="B181" s="556" t="s">
        <v>1154</v>
      </c>
      <c r="C181" s="556" t="s">
        <v>121</v>
      </c>
      <c r="D181" s="556" t="s">
        <v>322</v>
      </c>
      <c r="E181" s="556" t="s">
        <v>93</v>
      </c>
      <c r="F181" s="90">
        <f>50*1.0936</f>
        <v>54.679999999999993</v>
      </c>
      <c r="G181" s="91" t="s">
        <v>123</v>
      </c>
      <c r="H181" s="556"/>
      <c r="I181" s="96">
        <v>0.41</v>
      </c>
      <c r="J181" s="81">
        <v>750</v>
      </c>
      <c r="K181" s="94">
        <f t="shared" ref="K181:K185" si="41">I181*J181</f>
        <v>307.5</v>
      </c>
      <c r="L181" s="102"/>
      <c r="M181" s="79"/>
    </row>
    <row r="182" spans="1:13">
      <c r="A182" s="556"/>
      <c r="B182" s="556"/>
      <c r="C182" s="556"/>
      <c r="D182" s="556"/>
      <c r="E182" s="556"/>
      <c r="F182" s="87"/>
      <c r="G182" s="91" t="s">
        <v>888</v>
      </c>
      <c r="H182" s="109"/>
      <c r="I182" s="80">
        <v>0.16</v>
      </c>
      <c r="J182" s="81">
        <v>690</v>
      </c>
      <c r="K182" s="81">
        <f t="shared" si="41"/>
        <v>110.4</v>
      </c>
      <c r="L182" s="102"/>
      <c r="M182" s="79"/>
    </row>
    <row r="183" spans="1:13">
      <c r="A183" s="556"/>
      <c r="B183" s="556"/>
      <c r="C183" s="556"/>
      <c r="D183" s="556"/>
      <c r="E183" s="556"/>
      <c r="F183" s="87"/>
      <c r="G183" s="91" t="s">
        <v>209</v>
      </c>
      <c r="H183" s="79"/>
      <c r="I183" s="80">
        <v>0.03</v>
      </c>
      <c r="J183" s="81">
        <v>350</v>
      </c>
      <c r="K183" s="81">
        <f t="shared" si="41"/>
        <v>10.5</v>
      </c>
      <c r="L183" s="79"/>
      <c r="M183" s="79"/>
    </row>
    <row r="184" spans="1:13">
      <c r="A184" s="556"/>
      <c r="B184" s="556"/>
      <c r="C184" s="556"/>
      <c r="D184" s="556"/>
      <c r="E184" s="556"/>
      <c r="F184" s="87"/>
      <c r="G184" s="91" t="s">
        <v>221</v>
      </c>
      <c r="H184" s="112"/>
      <c r="I184" s="113">
        <v>0.1</v>
      </c>
      <c r="J184" s="81">
        <v>980</v>
      </c>
      <c r="K184" s="81">
        <f t="shared" si="41"/>
        <v>98</v>
      </c>
      <c r="L184" s="79"/>
      <c r="M184" s="79"/>
    </row>
    <row r="185" spans="1:13">
      <c r="A185" s="556"/>
      <c r="B185" s="556"/>
      <c r="C185" s="556"/>
      <c r="D185" s="556"/>
      <c r="E185" s="556"/>
      <c r="F185" s="87"/>
      <c r="G185" s="91" t="s">
        <v>294</v>
      </c>
      <c r="H185" s="112"/>
      <c r="I185" s="113">
        <v>0.16</v>
      </c>
      <c r="J185" s="81">
        <v>753</v>
      </c>
      <c r="K185" s="81">
        <f t="shared" si="41"/>
        <v>120.48</v>
      </c>
      <c r="L185" s="102"/>
      <c r="M185" s="79"/>
    </row>
    <row r="186" spans="1:13">
      <c r="A186" s="556"/>
      <c r="B186" s="556"/>
      <c r="C186" s="556"/>
      <c r="D186" s="556"/>
      <c r="E186" s="556"/>
      <c r="F186" s="87"/>
      <c r="G186" s="557" t="s">
        <v>211</v>
      </c>
      <c r="H186" s="79"/>
      <c r="I186" s="80">
        <v>3</v>
      </c>
      <c r="J186" s="81">
        <v>120</v>
      </c>
      <c r="K186" s="81">
        <f>I186*J186</f>
        <v>360</v>
      </c>
      <c r="L186" s="102"/>
      <c r="M186" s="79"/>
    </row>
    <row r="187" spans="1:13">
      <c r="A187" s="556"/>
      <c r="B187" s="556"/>
      <c r="C187" s="556"/>
      <c r="D187" s="556"/>
      <c r="E187" s="556"/>
      <c r="F187" s="87"/>
      <c r="G187" s="557" t="s">
        <v>45</v>
      </c>
      <c r="H187" s="79"/>
      <c r="I187" s="80">
        <v>0.2</v>
      </c>
      <c r="J187" s="81">
        <v>45</v>
      </c>
      <c r="K187" s="81">
        <f t="shared" ref="K187:K189" si="42">I187*J187</f>
        <v>9</v>
      </c>
      <c r="L187" s="102"/>
      <c r="M187" s="79"/>
    </row>
    <row r="188" spans="1:13">
      <c r="A188" s="556"/>
      <c r="B188" s="556"/>
      <c r="C188" s="556"/>
      <c r="D188" s="556"/>
      <c r="E188" s="556"/>
      <c r="F188" s="87"/>
      <c r="G188" s="557" t="s">
        <v>213</v>
      </c>
      <c r="H188" s="79"/>
      <c r="I188" s="80">
        <v>0.3</v>
      </c>
      <c r="J188" s="81">
        <v>348</v>
      </c>
      <c r="K188" s="81">
        <f t="shared" si="42"/>
        <v>104.39999999999999</v>
      </c>
      <c r="L188" s="102"/>
      <c r="M188" s="79"/>
    </row>
    <row r="189" spans="1:13">
      <c r="A189" s="556"/>
      <c r="B189" s="556"/>
      <c r="C189" s="556"/>
      <c r="D189" s="556"/>
      <c r="E189" s="556"/>
      <c r="F189" s="87"/>
      <c r="G189" s="557" t="s">
        <v>212</v>
      </c>
      <c r="H189" s="79"/>
      <c r="I189" s="80">
        <v>0.3</v>
      </c>
      <c r="J189" s="81">
        <v>527</v>
      </c>
      <c r="K189" s="81">
        <f t="shared" si="42"/>
        <v>158.1</v>
      </c>
      <c r="L189" s="79"/>
      <c r="M189" s="79"/>
    </row>
    <row r="190" spans="1:13">
      <c r="A190" s="85"/>
      <c r="B190" s="85"/>
      <c r="C190" s="85"/>
      <c r="D190" s="85"/>
      <c r="E190" s="172" t="s">
        <v>9</v>
      </c>
      <c r="F190" s="110">
        <f>SUM(F181:F189)</f>
        <v>54.679999999999993</v>
      </c>
      <c r="G190" s="172"/>
      <c r="H190" s="172"/>
      <c r="I190" s="97"/>
      <c r="J190" s="97"/>
      <c r="K190" s="111">
        <f>SUM(K181:K189)</f>
        <v>1278.3799999999999</v>
      </c>
      <c r="L190" s="111">
        <f>K190/F190</f>
        <v>23.379297732260426</v>
      </c>
      <c r="M190" s="102"/>
    </row>
    <row r="191" spans="1:13">
      <c r="A191" s="71"/>
      <c r="B191" s="71"/>
      <c r="C191" s="71"/>
      <c r="D191" s="126" t="s">
        <v>30</v>
      </c>
      <c r="E191" s="126"/>
      <c r="F191" s="127">
        <f>F171+F180+F190</f>
        <v>13888.720000000001</v>
      </c>
      <c r="G191" s="128"/>
      <c r="H191" s="128"/>
      <c r="I191" s="128"/>
      <c r="J191" s="128"/>
      <c r="K191" s="127">
        <f>K171+K180+K190</f>
        <v>79404.98000000001</v>
      </c>
      <c r="L191" s="129">
        <f>K191/F191</f>
        <v>5.7172280814934711</v>
      </c>
      <c r="M191" s="71"/>
    </row>
    <row r="192" spans="1:13" s="71" customFormat="1" ht="15" customHeight="1"/>
    <row r="193" spans="1:13" ht="15" customHeight="1"/>
    <row r="194" spans="1:13" ht="15" customHeight="1">
      <c r="B194" s="28"/>
      <c r="C194" s="28"/>
      <c r="D194" s="133" t="s">
        <v>1009</v>
      </c>
      <c r="E194" s="405">
        <f>F118+F191</f>
        <v>40331.968000000001</v>
      </c>
      <c r="F194" s="133"/>
      <c r="G194" s="134">
        <f>K26+K41+K65+K72+K118+K151+K162+K191</f>
        <v>532555.24400000006</v>
      </c>
      <c r="H194" s="135"/>
      <c r="I194" s="135"/>
      <c r="J194" s="135"/>
      <c r="K194" s="135"/>
      <c r="L194" s="134">
        <f>G194/E194</f>
        <v>13.204296006582174</v>
      </c>
    </row>
    <row r="195" spans="1:13" ht="15" customHeight="1">
      <c r="B195" s="28"/>
      <c r="C195" s="28"/>
      <c r="D195" s="109" t="s">
        <v>855</v>
      </c>
      <c r="E195" s="406"/>
      <c r="F195" s="109"/>
      <c r="G195" s="359">
        <f>K75+K76+K77+K81+K82+K83+K87+K88+K89+K93+K94+K95+K96+K100+K101+K102+K106+K107+K108+K112+K113+K114+K165+K166+K167+K172+K173+K174+K175+K181+K182+K183+K184+K185</f>
        <v>180546.04400000002</v>
      </c>
      <c r="H195" s="370"/>
      <c r="I195" s="359">
        <f>'16'!I174+'17'!G195</f>
        <v>1384707.5280000002</v>
      </c>
      <c r="J195" s="438">
        <f>G195+M219</f>
        <v>182419.76100000003</v>
      </c>
      <c r="K195" s="360"/>
      <c r="L195" s="396"/>
    </row>
    <row r="196" spans="1:13" ht="15" customHeight="1">
      <c r="B196" s="28"/>
      <c r="C196" s="28"/>
      <c r="D196" s="323" t="s">
        <v>854</v>
      </c>
      <c r="E196" s="361"/>
      <c r="F196" s="323"/>
      <c r="G196" s="397">
        <f>G194-G195</f>
        <v>352009.20000000007</v>
      </c>
      <c r="H196" s="398"/>
      <c r="I196" s="359">
        <f>'16'!I175+'17'!G196</f>
        <v>3041761.281</v>
      </c>
      <c r="J196" s="400"/>
      <c r="K196" s="400"/>
      <c r="L196" s="401"/>
    </row>
    <row r="197" spans="1:13" ht="15" customHeight="1">
      <c r="B197" s="28"/>
      <c r="C197" s="28"/>
      <c r="D197" s="109" t="s">
        <v>853</v>
      </c>
      <c r="E197" s="407"/>
      <c r="F197" s="109"/>
      <c r="G197" s="410">
        <f>SUM(G195:G196)</f>
        <v>532555.24400000006</v>
      </c>
      <c r="H197" s="402"/>
      <c r="I197" s="403">
        <f>'01'!G224+'02'!G271+'03'!G364+'04'!G274</f>
        <v>0</v>
      </c>
      <c r="J197" s="402"/>
      <c r="K197" s="402"/>
      <c r="L197" s="404">
        <f>G197/E194</f>
        <v>13.204296006582174</v>
      </c>
    </row>
    <row r="198" spans="1:13" ht="15" customHeight="1">
      <c r="B198" s="28"/>
      <c r="C198" s="28"/>
      <c r="D198" s="395" t="s">
        <v>906</v>
      </c>
      <c r="E198" s="408"/>
      <c r="F198" s="109"/>
      <c r="G198" s="409">
        <f>M219</f>
        <v>1873.7169999999999</v>
      </c>
      <c r="H198" s="392"/>
      <c r="I198" s="391"/>
      <c r="J198" s="391"/>
      <c r="K198" s="393"/>
    </row>
    <row r="199" spans="1:13" ht="15" customHeight="1">
      <c r="B199" s="28"/>
      <c r="C199" s="28"/>
      <c r="D199" s="29"/>
      <c r="E199" s="29"/>
      <c r="F199" s="29"/>
      <c r="G199" s="29"/>
      <c r="H199" s="30"/>
      <c r="I199" s="29"/>
      <c r="J199" s="29"/>
      <c r="K199" s="29"/>
      <c r="L199" s="29"/>
    </row>
    <row r="200" spans="1:13" ht="15" customHeight="1">
      <c r="B200" s="28"/>
      <c r="C200" s="28"/>
      <c r="D200" s="829" t="s">
        <v>852</v>
      </c>
      <c r="E200" s="829"/>
      <c r="F200" s="357">
        <f>G219</f>
        <v>488340</v>
      </c>
      <c r="G200" s="29"/>
      <c r="H200" s="500" t="s">
        <v>908</v>
      </c>
      <c r="I200" s="830" t="s">
        <v>196</v>
      </c>
      <c r="J200" s="831"/>
      <c r="K200" s="80">
        <f>0.03+0.09</f>
        <v>0.12</v>
      </c>
      <c r="L200" s="81">
        <v>888</v>
      </c>
      <c r="M200" s="81">
        <f t="shared" ref="M200:M210" si="43">K200*L200</f>
        <v>106.56</v>
      </c>
    </row>
    <row r="201" spans="1:13" ht="15" customHeight="1">
      <c r="B201" s="28"/>
      <c r="C201" s="28"/>
      <c r="D201" s="829" t="s">
        <v>835</v>
      </c>
      <c r="E201" s="829"/>
      <c r="F201" s="357">
        <f>G206+G207</f>
        <v>15464</v>
      </c>
      <c r="G201" s="29"/>
      <c r="H201" s="500" t="s">
        <v>909</v>
      </c>
      <c r="I201" s="830" t="s">
        <v>1097</v>
      </c>
      <c r="J201" s="831"/>
      <c r="K201" s="80">
        <v>1.7999999999999999E-2</v>
      </c>
      <c r="L201" s="81">
        <v>645</v>
      </c>
      <c r="M201" s="81">
        <f t="shared" si="43"/>
        <v>11.61</v>
      </c>
    </row>
    <row r="202" spans="1:13" ht="15" customHeight="1">
      <c r="B202" s="28"/>
      <c r="C202" s="28"/>
      <c r="D202" s="829" t="s">
        <v>836</v>
      </c>
      <c r="E202" s="829"/>
      <c r="F202" s="357">
        <f>G219</f>
        <v>488340</v>
      </c>
      <c r="G202" s="29"/>
      <c r="H202" s="500" t="s">
        <v>910</v>
      </c>
      <c r="I202" s="834" t="s">
        <v>190</v>
      </c>
      <c r="J202" s="835"/>
      <c r="K202" s="80">
        <v>3.7999999999999999E-2</v>
      </c>
      <c r="L202" s="81">
        <v>644</v>
      </c>
      <c r="M202" s="81">
        <f t="shared" si="43"/>
        <v>24.471999999999998</v>
      </c>
    </row>
    <row r="203" spans="1:13" ht="15" customHeight="1">
      <c r="B203" s="28"/>
      <c r="C203" s="28"/>
      <c r="D203" s="568" t="s">
        <v>1165</v>
      </c>
      <c r="E203" s="368"/>
      <c r="F203" s="357">
        <f>F200-G196</f>
        <v>136330.79999999993</v>
      </c>
      <c r="G203" s="29"/>
      <c r="H203" s="500" t="s">
        <v>908</v>
      </c>
      <c r="I203" s="830" t="s">
        <v>192</v>
      </c>
      <c r="J203" s="831"/>
      <c r="K203" s="80">
        <v>2.5000000000000001E-2</v>
      </c>
      <c r="L203" s="81">
        <v>1126</v>
      </c>
      <c r="M203" s="81">
        <f t="shared" si="43"/>
        <v>28.150000000000002</v>
      </c>
    </row>
    <row r="204" spans="1:13" ht="15" customHeight="1">
      <c r="B204" s="28"/>
      <c r="C204" s="28"/>
      <c r="D204" s="29"/>
      <c r="E204" s="29"/>
      <c r="F204" s="29"/>
      <c r="G204" s="29"/>
      <c r="H204" s="500" t="s">
        <v>912</v>
      </c>
      <c r="I204" s="832" t="s">
        <v>473</v>
      </c>
      <c r="J204" s="833"/>
      <c r="K204" s="80">
        <v>0.04</v>
      </c>
      <c r="L204" s="81">
        <v>2292</v>
      </c>
      <c r="M204" s="81">
        <f t="shared" si="43"/>
        <v>91.68</v>
      </c>
    </row>
    <row r="205" spans="1:13" ht="15" customHeight="1">
      <c r="B205" s="836" t="s">
        <v>833</v>
      </c>
      <c r="C205" s="837"/>
      <c r="D205" s="273" t="s">
        <v>844</v>
      </c>
      <c r="E205" s="273" t="s">
        <v>845</v>
      </c>
      <c r="F205" s="273" t="s">
        <v>846</v>
      </c>
      <c r="G205" s="273" t="s">
        <v>5</v>
      </c>
      <c r="H205" s="500" t="s">
        <v>911</v>
      </c>
      <c r="I205" s="830" t="s">
        <v>405</v>
      </c>
      <c r="J205" s="831"/>
      <c r="K205" s="80">
        <f>0.06+0.07+0.018</f>
        <v>0.14799999999999999</v>
      </c>
      <c r="L205" s="81">
        <v>1708</v>
      </c>
      <c r="M205" s="81">
        <f t="shared" si="43"/>
        <v>252.78399999999999</v>
      </c>
    </row>
    <row r="206" spans="1:13" ht="15" customHeight="1">
      <c r="B206" s="28"/>
      <c r="C206" s="28"/>
      <c r="D206" s="273" t="s">
        <v>837</v>
      </c>
      <c r="E206" s="109">
        <v>15.5</v>
      </c>
      <c r="F206" s="332">
        <v>888</v>
      </c>
      <c r="G206" s="329">
        <f>F206*E206</f>
        <v>13764</v>
      </c>
      <c r="H206" s="500" t="s">
        <v>909</v>
      </c>
      <c r="I206" s="830" t="s">
        <v>926</v>
      </c>
      <c r="J206" s="831"/>
      <c r="K206" s="102">
        <f>0.105+0.018</f>
        <v>0.123</v>
      </c>
      <c r="L206" s="102">
        <v>2152</v>
      </c>
      <c r="M206" s="573">
        <f t="shared" si="43"/>
        <v>264.69599999999997</v>
      </c>
    </row>
    <row r="207" spans="1:13" ht="15" customHeight="1">
      <c r="B207" s="28"/>
      <c r="C207" s="28"/>
      <c r="D207" s="273" t="s">
        <v>1062</v>
      </c>
      <c r="E207" s="109">
        <v>34</v>
      </c>
      <c r="F207" s="332">
        <v>50</v>
      </c>
      <c r="G207" s="329">
        <f t="shared" ref="G207:G218" si="44">F207*E207</f>
        <v>1700</v>
      </c>
      <c r="H207" s="500" t="s">
        <v>911</v>
      </c>
      <c r="I207" s="832" t="s">
        <v>314</v>
      </c>
      <c r="J207" s="833"/>
      <c r="K207" s="80">
        <v>0.21199999999999999</v>
      </c>
      <c r="L207" s="81">
        <v>1695</v>
      </c>
      <c r="M207" s="81">
        <f t="shared" si="43"/>
        <v>359.34</v>
      </c>
    </row>
    <row r="208" spans="1:13" ht="15" customHeight="1">
      <c r="A208" s="68"/>
      <c r="B208" s="29"/>
      <c r="C208" s="29"/>
      <c r="D208" s="322" t="s">
        <v>843</v>
      </c>
      <c r="E208" s="317"/>
      <c r="F208" s="321">
        <f>SUM(F206:F207)</f>
        <v>938</v>
      </c>
      <c r="G208" s="320">
        <f>SUM(G206:G207)</f>
        <v>15464</v>
      </c>
      <c r="H208" s="29"/>
      <c r="I208" s="830" t="s">
        <v>281</v>
      </c>
      <c r="J208" s="831"/>
      <c r="K208" s="80">
        <v>7.4999999999999997E-2</v>
      </c>
      <c r="L208" s="81">
        <v>1035</v>
      </c>
      <c r="M208" s="81">
        <f t="shared" si="43"/>
        <v>77.625</v>
      </c>
    </row>
    <row r="209" spans="2:13" ht="15" customHeight="1">
      <c r="B209" s="28"/>
      <c r="C209" s="28"/>
      <c r="D209" s="273" t="s">
        <v>1070</v>
      </c>
      <c r="E209" s="389">
        <v>227</v>
      </c>
      <c r="F209" s="332">
        <v>120</v>
      </c>
      <c r="G209" s="329">
        <f t="shared" si="44"/>
        <v>27240</v>
      </c>
      <c r="H209" s="29"/>
      <c r="I209" s="830" t="s">
        <v>282</v>
      </c>
      <c r="J209" s="831"/>
      <c r="K209" s="80">
        <v>0.375</v>
      </c>
      <c r="L209" s="81">
        <v>840</v>
      </c>
      <c r="M209" s="81">
        <f t="shared" si="43"/>
        <v>315</v>
      </c>
    </row>
    <row r="210" spans="2:13" ht="15" customHeight="1">
      <c r="B210" s="28"/>
      <c r="C210" s="28"/>
      <c r="D210" s="273" t="s">
        <v>1067</v>
      </c>
      <c r="E210" s="389">
        <v>416</v>
      </c>
      <c r="F210" s="332">
        <f>120+120+60</f>
        <v>300</v>
      </c>
      <c r="G210" s="329">
        <f t="shared" si="44"/>
        <v>124800</v>
      </c>
      <c r="H210" s="29"/>
      <c r="I210" s="830" t="s">
        <v>199</v>
      </c>
      <c r="J210" s="831"/>
      <c r="K210" s="80">
        <v>0.5</v>
      </c>
      <c r="L210" s="81">
        <v>530</v>
      </c>
      <c r="M210" s="81">
        <f t="shared" si="43"/>
        <v>265</v>
      </c>
    </row>
    <row r="211" spans="2:13" ht="15" customHeight="1">
      <c r="B211" s="28"/>
      <c r="C211" s="28"/>
      <c r="D211" s="273" t="s">
        <v>1065</v>
      </c>
      <c r="E211" s="389">
        <v>165</v>
      </c>
      <c r="F211" s="332"/>
      <c r="G211" s="329">
        <f t="shared" si="44"/>
        <v>0</v>
      </c>
      <c r="H211" s="29"/>
      <c r="I211" s="832" t="s">
        <v>183</v>
      </c>
      <c r="J211" s="833"/>
      <c r="K211" s="80">
        <v>4.8000000000000001E-2</v>
      </c>
      <c r="L211" s="81">
        <v>1600</v>
      </c>
      <c r="M211" s="81">
        <f t="shared" ref="M211" si="45">K211*L211</f>
        <v>76.8</v>
      </c>
    </row>
    <row r="212" spans="2:13" ht="15" customHeight="1">
      <c r="B212" s="28"/>
      <c r="C212" s="28"/>
      <c r="D212" s="390" t="s">
        <v>1066</v>
      </c>
      <c r="E212" s="389">
        <v>165</v>
      </c>
      <c r="F212" s="332"/>
      <c r="G212" s="329">
        <f t="shared" si="44"/>
        <v>0</v>
      </c>
      <c r="H212" s="29"/>
      <c r="I212" s="832"/>
      <c r="J212" s="833"/>
      <c r="K212" s="80"/>
      <c r="L212" s="81"/>
      <c r="M212" s="81"/>
    </row>
    <row r="213" spans="2:13" ht="15" customHeight="1">
      <c r="B213" s="28"/>
      <c r="C213" s="28"/>
      <c r="D213" s="273" t="s">
        <v>1062</v>
      </c>
      <c r="E213" s="109">
        <v>34</v>
      </c>
      <c r="F213" s="332">
        <v>200</v>
      </c>
      <c r="G213" s="329">
        <f t="shared" si="44"/>
        <v>6800</v>
      </c>
      <c r="H213" s="28"/>
      <c r="I213" s="107"/>
      <c r="J213" s="107"/>
      <c r="K213" s="107"/>
      <c r="L213" s="107"/>
      <c r="M213" s="71"/>
    </row>
    <row r="214" spans="2:13" ht="15" customHeight="1">
      <c r="B214" s="28"/>
      <c r="C214" s="28"/>
      <c r="D214" s="273" t="s">
        <v>27</v>
      </c>
      <c r="E214" s="109">
        <v>22</v>
      </c>
      <c r="F214" s="332">
        <v>1000</v>
      </c>
      <c r="G214" s="329">
        <f t="shared" si="44"/>
        <v>22000</v>
      </c>
      <c r="H214" s="28"/>
      <c r="I214" s="107"/>
      <c r="J214" s="107"/>
      <c r="K214" s="107"/>
      <c r="L214" s="107"/>
      <c r="M214" s="71"/>
    </row>
    <row r="215" spans="2:13" ht="15" customHeight="1">
      <c r="B215" s="28"/>
      <c r="C215" s="28"/>
      <c r="D215" s="273" t="s">
        <v>24</v>
      </c>
      <c r="E215" s="109">
        <v>74</v>
      </c>
      <c r="F215" s="535">
        <f>1500+1000+50</f>
        <v>2550</v>
      </c>
      <c r="G215" s="329">
        <f t="shared" si="44"/>
        <v>188700</v>
      </c>
      <c r="H215" s="28"/>
      <c r="I215" s="107"/>
      <c r="J215" s="107"/>
      <c r="K215" s="107"/>
      <c r="L215" s="107"/>
      <c r="M215" s="71"/>
    </row>
    <row r="216" spans="2:13" ht="15" customHeight="1">
      <c r="B216" s="28"/>
      <c r="C216" s="28"/>
      <c r="D216" s="273" t="s">
        <v>839</v>
      </c>
      <c r="E216" s="109">
        <v>120</v>
      </c>
      <c r="F216" s="332">
        <f>90</f>
        <v>90</v>
      </c>
      <c r="G216" s="329">
        <f t="shared" si="44"/>
        <v>10800</v>
      </c>
      <c r="H216" s="28"/>
      <c r="I216" s="107"/>
      <c r="J216" s="107"/>
      <c r="K216" s="107"/>
      <c r="L216" s="107"/>
      <c r="M216" s="71"/>
    </row>
    <row r="217" spans="2:13" ht="15" customHeight="1">
      <c r="B217" s="28"/>
      <c r="C217" s="28"/>
      <c r="D217" s="390" t="s">
        <v>211</v>
      </c>
      <c r="E217" s="109">
        <v>120</v>
      </c>
      <c r="F217" s="332">
        <f>100+50</f>
        <v>150</v>
      </c>
      <c r="G217" s="329">
        <f t="shared" si="44"/>
        <v>18000</v>
      </c>
      <c r="H217" s="28"/>
      <c r="I217" s="107"/>
      <c r="J217" s="107"/>
      <c r="K217" s="107"/>
      <c r="L217" s="107"/>
      <c r="M217" s="71"/>
    </row>
    <row r="218" spans="2:13" ht="15" customHeight="1">
      <c r="B218" s="28"/>
      <c r="C218" s="28"/>
      <c r="D218" s="390" t="s">
        <v>968</v>
      </c>
      <c r="E218" s="109">
        <v>360</v>
      </c>
      <c r="F218" s="535">
        <f>100+150</f>
        <v>250</v>
      </c>
      <c r="G218" s="329">
        <f t="shared" si="44"/>
        <v>90000</v>
      </c>
      <c r="H218" s="28"/>
      <c r="I218" s="107"/>
      <c r="J218" s="107"/>
      <c r="K218" s="107"/>
      <c r="L218" s="107"/>
      <c r="M218" s="71"/>
    </row>
    <row r="219" spans="2:13" ht="15" customHeight="1">
      <c r="B219" s="28"/>
      <c r="C219" s="28"/>
      <c r="D219" s="331" t="s">
        <v>843</v>
      </c>
      <c r="E219" s="109"/>
      <c r="F219" s="332">
        <f>SUM(F209:F218)</f>
        <v>4660</v>
      </c>
      <c r="G219" s="329">
        <f>SUM(G209:G218)</f>
        <v>488340</v>
      </c>
      <c r="I219" s="844" t="s">
        <v>906</v>
      </c>
      <c r="J219" s="845"/>
      <c r="K219" s="490">
        <f>SUM(K200:K213)</f>
        <v>1.722</v>
      </c>
      <c r="L219" s="104"/>
      <c r="M219" s="489">
        <f>SUM(M200:M213)</f>
        <v>1873.7169999999999</v>
      </c>
    </row>
    <row r="220" spans="2:13" ht="15" customHeight="1">
      <c r="B220" s="28"/>
      <c r="C220" s="28"/>
      <c r="D220" s="322" t="s">
        <v>969</v>
      </c>
      <c r="E220" s="317"/>
      <c r="F220" s="321">
        <f>F208+F219</f>
        <v>5598</v>
      </c>
      <c r="G220" s="320">
        <f>G208+G219</f>
        <v>503804</v>
      </c>
      <c r="I220" s="106"/>
      <c r="J220" s="106"/>
      <c r="K220" s="106"/>
      <c r="L220" s="106"/>
      <c r="M220" s="263">
        <f>G195+M219</f>
        <v>182419.76100000003</v>
      </c>
    </row>
    <row r="221" spans="2:13" ht="15" customHeight="1"/>
    <row r="222" spans="2:13" ht="15" customHeight="1"/>
    <row r="223" spans="2:13" ht="15" customHeight="1"/>
    <row r="224" spans="2:13" ht="15" customHeight="1"/>
    <row r="225" spans="1:13" ht="15" customHeight="1"/>
    <row r="226" spans="1:13" ht="15" customHeight="1"/>
    <row r="227" spans="1:13" ht="15" customHeight="1"/>
    <row r="228" spans="1:13" ht="15" customHeight="1"/>
    <row r="229" spans="1:13" ht="15" customHeight="1"/>
    <row r="230" spans="1:13" s="64" customFormat="1" ht="15" customHeight="1">
      <c r="A230" s="840" t="s">
        <v>240</v>
      </c>
      <c r="B230" s="840"/>
      <c r="C230" s="840" t="s">
        <v>765</v>
      </c>
      <c r="D230" s="840"/>
      <c r="E230" s="840" t="s">
        <v>764</v>
      </c>
      <c r="F230" s="840"/>
      <c r="G230" s="380" t="s">
        <v>66</v>
      </c>
      <c r="H230" s="840" t="s">
        <v>411</v>
      </c>
      <c r="I230" s="840"/>
      <c r="J230" s="840"/>
      <c r="K230" s="840" t="s">
        <v>68</v>
      </c>
      <c r="L230" s="840"/>
      <c r="M230" s="840"/>
    </row>
  </sheetData>
  <mergeCells count="34">
    <mergeCell ref="K230:M230"/>
    <mergeCell ref="I206:J206"/>
    <mergeCell ref="I207:J207"/>
    <mergeCell ref="I208:J208"/>
    <mergeCell ref="A230:B230"/>
    <mergeCell ref="C230:D230"/>
    <mergeCell ref="E230:F230"/>
    <mergeCell ref="H230:J230"/>
    <mergeCell ref="I219:J219"/>
    <mergeCell ref="I209:J209"/>
    <mergeCell ref="I210:J210"/>
    <mergeCell ref="I211:J211"/>
    <mergeCell ref="I212:J212"/>
    <mergeCell ref="D202:E202"/>
    <mergeCell ref="I202:J202"/>
    <mergeCell ref="I203:J203"/>
    <mergeCell ref="I204:J204"/>
    <mergeCell ref="B205:C205"/>
    <mergeCell ref="I205:J205"/>
    <mergeCell ref="K42:M42"/>
    <mergeCell ref="K66:M66"/>
    <mergeCell ref="K73:M73"/>
    <mergeCell ref="K119:M119"/>
    <mergeCell ref="K152:M152"/>
    <mergeCell ref="K4:M4"/>
    <mergeCell ref="K27:M27"/>
    <mergeCell ref="A1:M1"/>
    <mergeCell ref="A2:M2"/>
    <mergeCell ref="A3:M3"/>
    <mergeCell ref="K163:M163"/>
    <mergeCell ref="D200:E200"/>
    <mergeCell ref="D201:E201"/>
    <mergeCell ref="I200:J200"/>
    <mergeCell ref="I201:J201"/>
  </mergeCells>
  <pageMargins left="0.45" right="0.45" top="0.5" bottom="0.5" header="0.3" footer="0.3"/>
  <pageSetup scale="8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N213"/>
  <sheetViews>
    <sheetView topLeftCell="A115" workbookViewId="0">
      <selection activeCell="G81" sqref="G81:K85"/>
    </sheetView>
  </sheetViews>
  <sheetFormatPr defaultRowHeight="15"/>
  <cols>
    <col min="2" max="2" width="13.42578125" bestFit="1" customWidth="1"/>
    <col min="3" max="3" width="12.5703125" bestFit="1" customWidth="1"/>
    <col min="4" max="4" width="19.28515625" customWidth="1"/>
    <col min="5" max="5" width="12.7109375" bestFit="1" customWidth="1"/>
    <col min="6" max="6" width="10.5703125" bestFit="1" customWidth="1"/>
    <col min="7" max="7" width="24.42578125" bestFit="1" customWidth="1"/>
    <col min="8" max="8" width="6.42578125" bestFit="1" customWidth="1"/>
    <col min="9" max="10" width="10.5703125" bestFit="1" customWidth="1"/>
    <col min="11" max="11" width="11.5703125" bestFit="1" customWidth="1"/>
    <col min="12" max="12" width="9.42578125" customWidth="1"/>
    <col min="13" max="13" width="10.85546875" bestFit="1" customWidth="1"/>
    <col min="14" max="14" width="11.28515625" customWidth="1"/>
  </cols>
  <sheetData>
    <row r="1" spans="1:14" s="71" customFormat="1" ht="18.75">
      <c r="A1" s="846" t="s">
        <v>146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846"/>
    </row>
    <row r="2" spans="1:14" s="71" customFormat="1">
      <c r="A2" s="827" t="s">
        <v>147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827"/>
    </row>
    <row r="3" spans="1:14" s="441" customFormat="1">
      <c r="A3" s="828" t="s">
        <v>148</v>
      </c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  <c r="M3" s="828"/>
      <c r="N3" s="828"/>
    </row>
    <row r="4" spans="1:14" s="71" customFormat="1">
      <c r="A4" s="70" t="s">
        <v>21</v>
      </c>
      <c r="B4" s="70"/>
      <c r="C4" s="70"/>
      <c r="D4" s="70"/>
      <c r="E4" s="70"/>
      <c r="K4" s="824" t="s">
        <v>1130</v>
      </c>
      <c r="L4" s="824"/>
      <c r="M4" s="824"/>
    </row>
    <row r="5" spans="1:14" s="71" customFormat="1">
      <c r="A5" s="550" t="s">
        <v>0</v>
      </c>
      <c r="B5" s="550" t="s">
        <v>7</v>
      </c>
      <c r="C5" s="550" t="s">
        <v>13</v>
      </c>
      <c r="D5" s="550" t="s">
        <v>14</v>
      </c>
      <c r="E5" s="550" t="s">
        <v>8</v>
      </c>
      <c r="F5" s="550" t="s">
        <v>1</v>
      </c>
      <c r="G5" s="550" t="s">
        <v>2</v>
      </c>
      <c r="H5" s="550" t="s">
        <v>15</v>
      </c>
      <c r="I5" s="550" t="s">
        <v>3</v>
      </c>
      <c r="J5" s="550" t="s">
        <v>4</v>
      </c>
      <c r="K5" s="550" t="s">
        <v>5</v>
      </c>
      <c r="L5" s="550" t="s">
        <v>12</v>
      </c>
      <c r="M5" s="550" t="s">
        <v>6</v>
      </c>
    </row>
    <row r="6" spans="1:14" s="71" customFormat="1">
      <c r="A6" s="551">
        <v>1</v>
      </c>
      <c r="B6" s="552" t="s">
        <v>1120</v>
      </c>
      <c r="C6" s="552" t="s">
        <v>121</v>
      </c>
      <c r="D6" s="552" t="s">
        <v>369</v>
      </c>
      <c r="E6" s="551"/>
      <c r="F6" s="87">
        <f>4373*1.0936</f>
        <v>4782.3127999999997</v>
      </c>
      <c r="G6" s="552" t="s">
        <v>170</v>
      </c>
      <c r="H6" s="79"/>
      <c r="I6" s="80">
        <v>6</v>
      </c>
      <c r="J6" s="81">
        <v>227</v>
      </c>
      <c r="K6" s="81">
        <f t="shared" ref="K6:K7" si="0">I6*J6</f>
        <v>1362</v>
      </c>
      <c r="L6" s="102"/>
      <c r="M6" s="156">
        <f>O6</f>
        <v>0</v>
      </c>
      <c r="N6" s="552" t="s">
        <v>173</v>
      </c>
    </row>
    <row r="7" spans="1:14" s="71" customFormat="1">
      <c r="A7" s="551"/>
      <c r="B7" s="552" t="s">
        <v>269</v>
      </c>
      <c r="C7" s="552"/>
      <c r="D7" s="552"/>
      <c r="E7" s="552"/>
      <c r="F7" s="90">
        <f>45*1.0936</f>
        <v>49.211999999999996</v>
      </c>
      <c r="G7" s="552" t="s">
        <v>171</v>
      </c>
      <c r="H7" s="79"/>
      <c r="I7" s="80">
        <v>3</v>
      </c>
      <c r="J7" s="81">
        <v>416</v>
      </c>
      <c r="K7" s="81">
        <f t="shared" si="0"/>
        <v>1248</v>
      </c>
      <c r="L7" s="102"/>
      <c r="M7" s="156" t="e">
        <f>I8+I19+#REF!+#REF!</f>
        <v>#REF!</v>
      </c>
      <c r="N7" s="552" t="s">
        <v>174</v>
      </c>
    </row>
    <row r="8" spans="1:14" s="71" customFormat="1">
      <c r="A8" s="551"/>
      <c r="B8" s="552"/>
      <c r="C8" s="552"/>
      <c r="D8" s="552"/>
      <c r="E8" s="551"/>
      <c r="F8" s="87"/>
      <c r="G8" s="552" t="s">
        <v>172</v>
      </c>
      <c r="H8" s="79"/>
      <c r="I8" s="80">
        <v>2</v>
      </c>
      <c r="J8" s="81">
        <v>165</v>
      </c>
      <c r="K8" s="81">
        <f>I8*J8</f>
        <v>330</v>
      </c>
      <c r="L8" s="102"/>
      <c r="M8" s="156" t="e">
        <f>I9+I20+#REF!+#REF!</f>
        <v>#REF!</v>
      </c>
      <c r="N8" s="552" t="s">
        <v>172</v>
      </c>
    </row>
    <row r="9" spans="1:14" s="71" customFormat="1">
      <c r="A9" s="551"/>
      <c r="B9" s="552"/>
      <c r="C9" s="552"/>
      <c r="D9" s="552"/>
      <c r="E9" s="550" t="s">
        <v>9</v>
      </c>
      <c r="F9" s="110">
        <f>SUM(F6:F8)</f>
        <v>4831.5248000000001</v>
      </c>
      <c r="G9" s="550"/>
      <c r="H9" s="550"/>
      <c r="I9" s="125"/>
      <c r="J9" s="97"/>
      <c r="K9" s="111">
        <f>SUM(K6:K8)</f>
        <v>2940</v>
      </c>
      <c r="L9" s="111">
        <f>K9/F9</f>
        <v>0.60850355150821123</v>
      </c>
      <c r="M9" s="156" t="e">
        <f>I6+I17+#REF!+#REF!+I26+I29+I32+#REF!+#REF!</f>
        <v>#REF!</v>
      </c>
      <c r="N9" s="552" t="s">
        <v>24</v>
      </c>
    </row>
    <row r="10" spans="1:14" s="71" customFormat="1">
      <c r="A10" s="551">
        <v>2</v>
      </c>
      <c r="B10" s="552" t="s">
        <v>1131</v>
      </c>
      <c r="C10" s="552" t="s">
        <v>121</v>
      </c>
      <c r="D10" s="552" t="s">
        <v>120</v>
      </c>
      <c r="E10" s="551"/>
      <c r="F10" s="87">
        <f>21758*1.0936</f>
        <v>23794.548799999997</v>
      </c>
      <c r="G10" s="552" t="s">
        <v>170</v>
      </c>
      <c r="H10" s="79"/>
      <c r="I10" s="80">
        <v>20</v>
      </c>
      <c r="J10" s="81">
        <v>227</v>
      </c>
      <c r="K10" s="81">
        <f t="shared" ref="K10:K11" si="1">I10*J10</f>
        <v>4540</v>
      </c>
      <c r="L10" s="102"/>
      <c r="M10" s="156" t="e">
        <f>I7+I18+#REF!+#REF!</f>
        <v>#REF!</v>
      </c>
      <c r="N10" s="552" t="s">
        <v>175</v>
      </c>
    </row>
    <row r="11" spans="1:14" s="71" customFormat="1">
      <c r="A11" s="551"/>
      <c r="B11" s="551"/>
      <c r="C11" s="551"/>
      <c r="D11" s="551"/>
      <c r="E11" s="550"/>
      <c r="F11" s="110"/>
      <c r="G11" s="552" t="s">
        <v>171</v>
      </c>
      <c r="H11" s="79"/>
      <c r="I11" s="80">
        <v>12</v>
      </c>
      <c r="J11" s="81">
        <v>416</v>
      </c>
      <c r="K11" s="81">
        <f t="shared" si="1"/>
        <v>4992</v>
      </c>
      <c r="L11" s="111"/>
      <c r="M11" s="156" t="e">
        <f>I10+I21+#REF!+#REF!</f>
        <v>#REF!</v>
      </c>
      <c r="N11" s="553" t="s">
        <v>176</v>
      </c>
    </row>
    <row r="12" spans="1:14" s="71" customFormat="1">
      <c r="A12" s="551"/>
      <c r="B12" s="551"/>
      <c r="C12" s="551"/>
      <c r="D12" s="551"/>
      <c r="E12" s="550"/>
      <c r="F12" s="110"/>
      <c r="G12" s="552" t="s">
        <v>172</v>
      </c>
      <c r="H12" s="79"/>
      <c r="I12" s="80">
        <v>16</v>
      </c>
      <c r="J12" s="81">
        <v>165</v>
      </c>
      <c r="K12" s="81">
        <f>I12*J12</f>
        <v>2640</v>
      </c>
      <c r="L12" s="111"/>
      <c r="M12" s="156" t="e">
        <f>I11+I22+#REF!+#REF!</f>
        <v>#REF!</v>
      </c>
      <c r="N12" s="430" t="s">
        <v>10</v>
      </c>
    </row>
    <row r="13" spans="1:14" s="71" customFormat="1">
      <c r="A13" s="551"/>
      <c r="B13" s="552"/>
      <c r="C13" s="552"/>
      <c r="D13" s="552"/>
      <c r="E13" s="550" t="s">
        <v>9</v>
      </c>
      <c r="F13" s="110">
        <f>SUM(F10:F12)</f>
        <v>23794.548799999997</v>
      </c>
      <c r="G13" s="550"/>
      <c r="H13" s="550"/>
      <c r="I13" s="125"/>
      <c r="J13" s="97"/>
      <c r="K13" s="111">
        <f>SUM(K10:K12)</f>
        <v>12172</v>
      </c>
      <c r="L13" s="111">
        <f>K13/F13</f>
        <v>0.51154573689583904</v>
      </c>
      <c r="M13" s="156"/>
      <c r="N13" s="430"/>
    </row>
    <row r="14" spans="1:14" s="71" customFormat="1">
      <c r="D14" s="126" t="s">
        <v>30</v>
      </c>
      <c r="E14" s="126"/>
      <c r="F14" s="127">
        <f>F9+F13</f>
        <v>28626.073599999996</v>
      </c>
      <c r="G14" s="128"/>
      <c r="H14" s="128"/>
      <c r="I14" s="128"/>
      <c r="J14" s="128"/>
      <c r="K14" s="127">
        <f>K9+K13</f>
        <v>15112</v>
      </c>
      <c r="L14" s="129">
        <f>K14/F14</f>
        <v>0.5279103313700696</v>
      </c>
    </row>
    <row r="15" spans="1:14" s="71" customFormat="1">
      <c r="A15" s="70" t="s">
        <v>23</v>
      </c>
      <c r="B15" s="70"/>
      <c r="C15" s="70"/>
      <c r="D15" s="70"/>
      <c r="E15" s="70"/>
      <c r="K15" s="824" t="s">
        <v>1130</v>
      </c>
      <c r="L15" s="824"/>
      <c r="M15" s="824"/>
    </row>
    <row r="16" spans="1:14" s="71" customFormat="1">
      <c r="A16" s="550" t="s">
        <v>0</v>
      </c>
      <c r="B16" s="550" t="s">
        <v>7</v>
      </c>
      <c r="C16" s="550" t="s">
        <v>13</v>
      </c>
      <c r="D16" s="550" t="s">
        <v>14</v>
      </c>
      <c r="E16" s="550" t="s">
        <v>8</v>
      </c>
      <c r="F16" s="550" t="s">
        <v>1</v>
      </c>
      <c r="G16" s="550" t="s">
        <v>2</v>
      </c>
      <c r="H16" s="550" t="s">
        <v>15</v>
      </c>
      <c r="I16" s="550" t="s">
        <v>3</v>
      </c>
      <c r="J16" s="550" t="s">
        <v>4</v>
      </c>
      <c r="K16" s="550" t="s">
        <v>5</v>
      </c>
      <c r="L16" s="550" t="s">
        <v>12</v>
      </c>
      <c r="M16" s="550" t="s">
        <v>6</v>
      </c>
    </row>
    <row r="17" spans="1:14" s="71" customFormat="1">
      <c r="A17" s="551">
        <v>1</v>
      </c>
      <c r="B17" s="577" t="s">
        <v>1013</v>
      </c>
      <c r="C17" s="577" t="s">
        <v>766</v>
      </c>
      <c r="D17" s="577" t="s">
        <v>465</v>
      </c>
      <c r="E17" s="579"/>
      <c r="F17" s="98">
        <f>14249*1.0936</f>
        <v>15582.706399999999</v>
      </c>
      <c r="G17" s="552" t="s">
        <v>24</v>
      </c>
      <c r="H17" s="79"/>
      <c r="I17" s="80">
        <v>140</v>
      </c>
      <c r="J17" s="81">
        <v>74</v>
      </c>
      <c r="K17" s="81">
        <f t="shared" ref="K17:K19" si="2">I17*J17</f>
        <v>10360</v>
      </c>
      <c r="L17" s="102"/>
      <c r="M17" s="124"/>
    </row>
    <row r="18" spans="1:14" s="71" customFormat="1">
      <c r="A18" s="551"/>
      <c r="B18" s="552"/>
      <c r="C18" s="552"/>
      <c r="D18" s="552"/>
      <c r="E18" s="551"/>
      <c r="F18" s="87"/>
      <c r="G18" s="88" t="s">
        <v>18</v>
      </c>
      <c r="H18" s="79"/>
      <c r="I18" s="80">
        <v>70</v>
      </c>
      <c r="J18" s="81">
        <v>46</v>
      </c>
      <c r="K18" s="81">
        <f t="shared" si="2"/>
        <v>3220</v>
      </c>
      <c r="L18" s="102"/>
      <c r="M18" s="102"/>
    </row>
    <row r="19" spans="1:14" s="71" customFormat="1">
      <c r="A19" s="551"/>
      <c r="B19" s="552"/>
      <c r="C19" s="552"/>
      <c r="D19" s="552"/>
      <c r="E19" s="551"/>
      <c r="F19" s="98"/>
      <c r="G19" s="552" t="s">
        <v>171</v>
      </c>
      <c r="H19" s="79"/>
      <c r="I19" s="80">
        <v>30</v>
      </c>
      <c r="J19" s="81">
        <v>416</v>
      </c>
      <c r="K19" s="81">
        <f t="shared" si="2"/>
        <v>12480</v>
      </c>
      <c r="L19" s="102"/>
      <c r="M19" s="102"/>
    </row>
    <row r="20" spans="1:14" s="71" customFormat="1">
      <c r="A20" s="551"/>
      <c r="B20" s="552"/>
      <c r="C20" s="552"/>
      <c r="D20" s="552"/>
      <c r="E20" s="551"/>
      <c r="F20" s="98"/>
      <c r="G20" s="552" t="s">
        <v>172</v>
      </c>
      <c r="H20" s="79"/>
      <c r="I20" s="80">
        <v>20</v>
      </c>
      <c r="J20" s="81">
        <v>165</v>
      </c>
      <c r="K20" s="81">
        <f>I20*J20</f>
        <v>3300</v>
      </c>
      <c r="L20" s="102"/>
      <c r="M20" s="102"/>
    </row>
    <row r="21" spans="1:14" s="71" customFormat="1" ht="14.25" customHeight="1">
      <c r="A21" s="551"/>
      <c r="B21" s="552"/>
      <c r="C21" s="552"/>
      <c r="D21" s="552"/>
      <c r="E21" s="551"/>
      <c r="F21" s="98"/>
      <c r="G21" s="553" t="s">
        <v>181</v>
      </c>
      <c r="H21" s="79"/>
      <c r="I21" s="80">
        <v>30</v>
      </c>
      <c r="J21" s="81">
        <v>165</v>
      </c>
      <c r="K21" s="81">
        <f t="shared" ref="K21" si="3">I21*J21</f>
        <v>4950</v>
      </c>
      <c r="L21" s="102"/>
      <c r="M21" s="102"/>
    </row>
    <row r="22" spans="1:14" s="71" customFormat="1">
      <c r="A22" s="551"/>
      <c r="B22" s="551"/>
      <c r="C22" s="551"/>
      <c r="D22" s="551"/>
      <c r="E22" s="550" t="s">
        <v>9</v>
      </c>
      <c r="F22" s="110">
        <f>SUM(F17:F21)</f>
        <v>15582.706399999999</v>
      </c>
      <c r="G22" s="550"/>
      <c r="H22" s="550"/>
      <c r="I22" s="125"/>
      <c r="J22" s="97"/>
      <c r="K22" s="111">
        <f>SUM(K17:K21)</f>
        <v>34310</v>
      </c>
      <c r="L22" s="111">
        <f>K22/F22</f>
        <v>2.2017998105900269</v>
      </c>
      <c r="M22" s="102"/>
    </row>
    <row r="23" spans="1:14" s="71" customFormat="1">
      <c r="A23" s="131"/>
      <c r="B23" s="131"/>
      <c r="C23" s="131"/>
      <c r="D23" s="550" t="s">
        <v>30</v>
      </c>
      <c r="E23" s="550"/>
      <c r="F23" s="127">
        <f>F22</f>
        <v>15582.706399999999</v>
      </c>
      <c r="G23" s="132"/>
      <c r="H23" s="132"/>
      <c r="I23" s="132"/>
      <c r="J23" s="132"/>
      <c r="K23" s="127">
        <f>K22</f>
        <v>34310</v>
      </c>
      <c r="L23" s="129">
        <f>K23/F23</f>
        <v>2.2017998105900269</v>
      </c>
      <c r="M23" s="102"/>
    </row>
    <row r="24" spans="1:14" s="107" customFormat="1" ht="15" customHeight="1">
      <c r="A24" s="70" t="s">
        <v>22</v>
      </c>
      <c r="B24" s="70"/>
      <c r="C24" s="70"/>
      <c r="D24" s="70"/>
      <c r="E24" s="70"/>
      <c r="F24" s="71"/>
      <c r="G24" s="71"/>
      <c r="H24" s="71"/>
      <c r="I24" s="71"/>
      <c r="J24" s="71"/>
      <c r="K24" s="824" t="s">
        <v>1130</v>
      </c>
      <c r="L24" s="824"/>
      <c r="M24" s="824"/>
      <c r="N24" s="71"/>
    </row>
    <row r="25" spans="1:14" s="107" customFormat="1" ht="15" customHeight="1">
      <c r="A25" s="550" t="s">
        <v>0</v>
      </c>
      <c r="B25" s="550" t="s">
        <v>7</v>
      </c>
      <c r="C25" s="550" t="s">
        <v>13</v>
      </c>
      <c r="D25" s="550" t="s">
        <v>14</v>
      </c>
      <c r="E25" s="550" t="s">
        <v>8</v>
      </c>
      <c r="F25" s="550" t="s">
        <v>1</v>
      </c>
      <c r="G25" s="550" t="s">
        <v>2</v>
      </c>
      <c r="H25" s="550" t="s">
        <v>15</v>
      </c>
      <c r="I25" s="550" t="s">
        <v>3</v>
      </c>
      <c r="J25" s="550" t="s">
        <v>4</v>
      </c>
      <c r="K25" s="550" t="s">
        <v>5</v>
      </c>
      <c r="L25" s="550" t="s">
        <v>12</v>
      </c>
      <c r="M25" s="550" t="s">
        <v>6</v>
      </c>
      <c r="N25" s="71"/>
    </row>
    <row r="26" spans="1:14" s="107" customFormat="1" ht="15" customHeight="1">
      <c r="A26" s="551">
        <v>1</v>
      </c>
      <c r="B26" s="552" t="s">
        <v>1107</v>
      </c>
      <c r="C26" s="552" t="s">
        <v>1033</v>
      </c>
      <c r="D26" s="552" t="s">
        <v>1085</v>
      </c>
      <c r="E26" s="552"/>
      <c r="F26" s="90">
        <f>2130*1.0936</f>
        <v>2329.3679999999999</v>
      </c>
      <c r="G26" s="552" t="s">
        <v>24</v>
      </c>
      <c r="H26" s="79"/>
      <c r="I26" s="80">
        <v>40</v>
      </c>
      <c r="J26" s="81">
        <v>74</v>
      </c>
      <c r="K26" s="81">
        <f t="shared" ref="K26:K27" si="4">I26*J26</f>
        <v>2960</v>
      </c>
      <c r="L26" s="102"/>
      <c r="M26" s="124"/>
      <c r="N26" s="71"/>
    </row>
    <row r="27" spans="1:14" s="107" customFormat="1" ht="15" customHeight="1">
      <c r="A27" s="551"/>
      <c r="B27" s="552" t="s">
        <v>1108</v>
      </c>
      <c r="C27" s="552" t="s">
        <v>1033</v>
      </c>
      <c r="D27" s="552" t="s">
        <v>1085</v>
      </c>
      <c r="E27" s="552"/>
      <c r="F27" s="90">
        <f>2130*1.0936</f>
        <v>2329.3679999999999</v>
      </c>
      <c r="G27" s="430" t="s">
        <v>10</v>
      </c>
      <c r="H27" s="79"/>
      <c r="I27" s="80">
        <v>20</v>
      </c>
      <c r="J27" s="81">
        <v>120</v>
      </c>
      <c r="K27" s="81">
        <f t="shared" si="4"/>
        <v>2400</v>
      </c>
      <c r="L27" s="102"/>
      <c r="M27" s="102"/>
      <c r="N27" s="71"/>
    </row>
    <row r="28" spans="1:14" s="107" customFormat="1" ht="15" customHeight="1">
      <c r="A28" s="551"/>
      <c r="B28" s="552"/>
      <c r="C28" s="552"/>
      <c r="D28" s="552"/>
      <c r="E28" s="550" t="s">
        <v>9</v>
      </c>
      <c r="F28" s="110">
        <f>SUM(F26:F27)</f>
        <v>4658.7359999999999</v>
      </c>
      <c r="G28" s="550"/>
      <c r="H28" s="550"/>
      <c r="I28" s="125"/>
      <c r="J28" s="97"/>
      <c r="K28" s="111">
        <f>SUM(K26:K27)</f>
        <v>5360</v>
      </c>
      <c r="L28" s="111">
        <f>K28/F28</f>
        <v>1.1505266664606022</v>
      </c>
      <c r="M28" s="102"/>
      <c r="N28" s="71"/>
    </row>
    <row r="29" spans="1:14" s="107" customFormat="1" ht="15" customHeight="1">
      <c r="A29" s="551">
        <v>2</v>
      </c>
      <c r="B29" s="552" t="s">
        <v>1013</v>
      </c>
      <c r="C29" s="552" t="s">
        <v>766</v>
      </c>
      <c r="D29" s="552" t="s">
        <v>465</v>
      </c>
      <c r="E29" s="551"/>
      <c r="F29" s="98">
        <f>3750*1.0936</f>
        <v>4101</v>
      </c>
      <c r="G29" s="552" t="s">
        <v>24</v>
      </c>
      <c r="H29" s="79"/>
      <c r="I29" s="80">
        <v>100</v>
      </c>
      <c r="J29" s="81">
        <v>74</v>
      </c>
      <c r="K29" s="81">
        <f t="shared" ref="K29:K30" si="5">I29*J29</f>
        <v>7400</v>
      </c>
      <c r="L29" s="102"/>
      <c r="M29" s="102"/>
      <c r="N29" s="71"/>
    </row>
    <row r="30" spans="1:14" s="107" customFormat="1" ht="15" customHeight="1">
      <c r="A30" s="551"/>
      <c r="B30" s="552" t="s">
        <v>1013</v>
      </c>
      <c r="C30" s="552" t="s">
        <v>766</v>
      </c>
      <c r="D30" s="552" t="s">
        <v>465</v>
      </c>
      <c r="E30" s="551"/>
      <c r="F30" s="98">
        <f>4105*1.0936</f>
        <v>4489.2280000000001</v>
      </c>
      <c r="G30" s="430" t="s">
        <v>10</v>
      </c>
      <c r="H30" s="79"/>
      <c r="I30" s="80">
        <v>20</v>
      </c>
      <c r="J30" s="81">
        <v>120</v>
      </c>
      <c r="K30" s="81">
        <f t="shared" si="5"/>
        <v>2400</v>
      </c>
      <c r="L30" s="102"/>
      <c r="M30" s="102"/>
      <c r="N30" s="71"/>
    </row>
    <row r="31" spans="1:14" s="107" customFormat="1" ht="15" customHeight="1">
      <c r="A31" s="551"/>
      <c r="B31" s="552"/>
      <c r="C31" s="552"/>
      <c r="D31" s="552"/>
      <c r="E31" s="550" t="s">
        <v>9</v>
      </c>
      <c r="F31" s="110">
        <f>SUM(F29:F30)</f>
        <v>8590.2279999999992</v>
      </c>
      <c r="G31" s="550"/>
      <c r="H31" s="550"/>
      <c r="I31" s="125"/>
      <c r="J31" s="97"/>
      <c r="K31" s="111">
        <f>SUM(K29:K30)</f>
        <v>9800</v>
      </c>
      <c r="L31" s="111">
        <f>K31/F31</f>
        <v>1.1408311863200837</v>
      </c>
      <c r="M31" s="102"/>
      <c r="N31" s="71"/>
    </row>
    <row r="32" spans="1:14" s="107" customFormat="1" ht="15" customHeight="1">
      <c r="A32" s="551">
        <v>3</v>
      </c>
      <c r="B32" s="552" t="s">
        <v>1029</v>
      </c>
      <c r="C32" s="552" t="s">
        <v>1040</v>
      </c>
      <c r="D32" s="552" t="s">
        <v>869</v>
      </c>
      <c r="E32" s="552"/>
      <c r="F32" s="87">
        <f>9050*1.0936</f>
        <v>9897.08</v>
      </c>
      <c r="G32" s="552" t="s">
        <v>24</v>
      </c>
      <c r="H32" s="79"/>
      <c r="I32" s="80">
        <v>90</v>
      </c>
      <c r="J32" s="81">
        <v>74</v>
      </c>
      <c r="K32" s="81">
        <f t="shared" ref="K32:K33" si="6">I32*J32</f>
        <v>6660</v>
      </c>
      <c r="L32" s="102"/>
      <c r="M32" s="102"/>
      <c r="N32" s="71"/>
    </row>
    <row r="33" spans="1:14" s="107" customFormat="1" ht="15" customHeight="1">
      <c r="A33" s="551"/>
      <c r="B33" s="552"/>
      <c r="C33" s="552"/>
      <c r="D33" s="552"/>
      <c r="E33" s="550"/>
      <c r="F33" s="110"/>
      <c r="G33" s="430" t="s">
        <v>10</v>
      </c>
      <c r="H33" s="79"/>
      <c r="I33" s="80">
        <v>40</v>
      </c>
      <c r="J33" s="81">
        <v>120</v>
      </c>
      <c r="K33" s="81">
        <f t="shared" si="6"/>
        <v>4800</v>
      </c>
      <c r="L33" s="102"/>
      <c r="M33" s="102"/>
      <c r="N33" s="559"/>
    </row>
    <row r="34" spans="1:14" s="107" customFormat="1" ht="15" customHeight="1">
      <c r="A34" s="551"/>
      <c r="B34" s="552"/>
      <c r="C34" s="552"/>
      <c r="D34" s="552"/>
      <c r="E34" s="550" t="s">
        <v>9</v>
      </c>
      <c r="F34" s="110">
        <f>SUM(F32:F33)</f>
        <v>9897.08</v>
      </c>
      <c r="G34" s="550"/>
      <c r="H34" s="550"/>
      <c r="I34" s="125"/>
      <c r="J34" s="97"/>
      <c r="K34" s="111">
        <f>SUM(K32:K33)</f>
        <v>11460</v>
      </c>
      <c r="L34" s="111">
        <f>K34/F34</f>
        <v>1.1579172846940713</v>
      </c>
      <c r="M34" s="102"/>
      <c r="N34" s="71"/>
    </row>
    <row r="35" spans="1:14" s="107" customFormat="1" ht="15" customHeight="1">
      <c r="A35" s="71"/>
      <c r="B35" s="71"/>
      <c r="C35" s="71"/>
      <c r="D35" s="126" t="s">
        <v>30</v>
      </c>
      <c r="E35" s="126"/>
      <c r="F35" s="127">
        <f>F28+F31+F34</f>
        <v>23146.044000000002</v>
      </c>
      <c r="G35" s="128"/>
      <c r="H35" s="128"/>
      <c r="I35" s="128"/>
      <c r="J35" s="128"/>
      <c r="K35" s="127">
        <f>K28+K31+K34</f>
        <v>26620</v>
      </c>
      <c r="L35" s="129">
        <f>K35/F35</f>
        <v>1.1500885421284086</v>
      </c>
      <c r="M35" s="71"/>
      <c r="N35" s="71"/>
    </row>
    <row r="36" spans="1:14" s="107" customFormat="1" ht="15" customHeight="1">
      <c r="A36" s="70" t="s">
        <v>16</v>
      </c>
      <c r="B36" s="70"/>
      <c r="C36" s="70"/>
      <c r="D36" s="70"/>
      <c r="E36" s="70"/>
      <c r="F36" s="71"/>
      <c r="G36" s="71"/>
      <c r="H36" s="71"/>
      <c r="I36" s="71"/>
      <c r="J36" s="71"/>
      <c r="K36" s="824" t="s">
        <v>1130</v>
      </c>
      <c r="L36" s="824"/>
      <c r="M36" s="824"/>
      <c r="N36" s="71"/>
    </row>
    <row r="37" spans="1:14" s="107" customFormat="1" ht="15" customHeight="1">
      <c r="A37" s="550" t="s">
        <v>0</v>
      </c>
      <c r="B37" s="550" t="s">
        <v>7</v>
      </c>
      <c r="C37" s="550" t="s">
        <v>13</v>
      </c>
      <c r="D37" s="550" t="s">
        <v>14</v>
      </c>
      <c r="E37" s="550" t="s">
        <v>8</v>
      </c>
      <c r="F37" s="550" t="s">
        <v>1</v>
      </c>
      <c r="G37" s="550" t="s">
        <v>2</v>
      </c>
      <c r="H37" s="550" t="s">
        <v>15</v>
      </c>
      <c r="I37" s="550" t="s">
        <v>3</v>
      </c>
      <c r="J37" s="550" t="s">
        <v>4</v>
      </c>
      <c r="K37" s="550" t="s">
        <v>5</v>
      </c>
      <c r="L37" s="550" t="s">
        <v>12</v>
      </c>
      <c r="M37" s="550" t="s">
        <v>6</v>
      </c>
      <c r="N37" s="71"/>
    </row>
    <row r="38" spans="1:14" s="107" customFormat="1" ht="15" customHeight="1">
      <c r="A38" s="551"/>
      <c r="B38" s="552"/>
      <c r="C38" s="552"/>
      <c r="D38" s="552"/>
      <c r="E38" s="551"/>
      <c r="F38" s="98"/>
      <c r="G38" s="552" t="s">
        <v>75</v>
      </c>
      <c r="H38" s="552"/>
      <c r="I38" s="96"/>
      <c r="J38" s="94">
        <v>367</v>
      </c>
      <c r="K38" s="94">
        <f t="shared" ref="K38" si="7">I38*J38</f>
        <v>0</v>
      </c>
      <c r="L38" s="102"/>
      <c r="M38" s="139"/>
      <c r="N38" s="71"/>
    </row>
    <row r="39" spans="1:14" s="107" customFormat="1" ht="15" customHeight="1">
      <c r="A39" s="551"/>
      <c r="B39" s="551"/>
      <c r="C39" s="551"/>
      <c r="D39" s="551"/>
      <c r="E39" s="551"/>
      <c r="F39" s="98"/>
      <c r="G39" s="552" t="s">
        <v>70</v>
      </c>
      <c r="H39" s="79"/>
      <c r="I39" s="80"/>
      <c r="J39" s="81">
        <v>146</v>
      </c>
      <c r="K39" s="81">
        <f t="shared" ref="K39:K40" si="8">I39*J39</f>
        <v>0</v>
      </c>
      <c r="L39" s="102"/>
      <c r="M39" s="102"/>
      <c r="N39" s="71"/>
    </row>
    <row r="40" spans="1:14" s="107" customFormat="1" ht="15" customHeight="1">
      <c r="A40" s="551"/>
      <c r="B40" s="551"/>
      <c r="C40" s="551"/>
      <c r="D40" s="551"/>
      <c r="E40" s="551"/>
      <c r="F40" s="98"/>
      <c r="G40" s="552" t="s">
        <v>20</v>
      </c>
      <c r="H40" s="79"/>
      <c r="I40" s="80"/>
      <c r="J40" s="81">
        <v>315</v>
      </c>
      <c r="K40" s="81">
        <f t="shared" si="8"/>
        <v>0</v>
      </c>
      <c r="L40" s="102"/>
      <c r="M40" s="102"/>
      <c r="N40" s="71"/>
    </row>
    <row r="41" spans="1:14" s="107" customFormat="1" ht="15" customHeight="1">
      <c r="A41" s="551"/>
      <c r="B41" s="551"/>
      <c r="C41" s="551"/>
      <c r="D41" s="551"/>
      <c r="E41" s="550" t="s">
        <v>9</v>
      </c>
      <c r="F41" s="110">
        <f>SUM(F39:F40)</f>
        <v>0</v>
      </c>
      <c r="G41" s="550"/>
      <c r="H41" s="550"/>
      <c r="I41" s="125"/>
      <c r="J41" s="97"/>
      <c r="K41" s="111">
        <f>SUM(K39:K40)</f>
        <v>0</v>
      </c>
      <c r="L41" s="111" t="e">
        <f>K41/F41</f>
        <v>#DIV/0!</v>
      </c>
      <c r="M41" s="102"/>
      <c r="N41" s="71"/>
    </row>
    <row r="42" spans="1:14" s="107" customFormat="1" ht="15" customHeight="1">
      <c r="A42" s="548"/>
      <c r="B42" s="548"/>
      <c r="C42" s="548"/>
      <c r="D42" s="126" t="s">
        <v>30</v>
      </c>
      <c r="E42" s="126"/>
      <c r="F42" s="127">
        <f>F41</f>
        <v>0</v>
      </c>
      <c r="G42" s="128"/>
      <c r="H42" s="128"/>
      <c r="I42" s="128"/>
      <c r="J42" s="128"/>
      <c r="K42" s="127">
        <f>K41</f>
        <v>0</v>
      </c>
      <c r="L42" s="129" t="e">
        <f>K42/F42</f>
        <v>#DIV/0!</v>
      </c>
      <c r="M42" s="131"/>
      <c r="N42" s="71"/>
    </row>
    <row r="43" spans="1:14" s="107" customFormat="1" ht="15" customHeight="1">
      <c r="A43" s="824" t="s">
        <v>72</v>
      </c>
      <c r="B43" s="824"/>
      <c r="C43" s="70"/>
      <c r="D43" s="70"/>
      <c r="E43" s="70"/>
      <c r="F43" s="71"/>
      <c r="G43" s="71"/>
      <c r="H43" s="71"/>
      <c r="I43" s="140"/>
      <c r="J43" s="71"/>
      <c r="K43" s="824" t="s">
        <v>1130</v>
      </c>
      <c r="L43" s="824"/>
      <c r="M43" s="824"/>
      <c r="N43" s="71"/>
    </row>
    <row r="44" spans="1:14" s="107" customFormat="1" ht="15" customHeight="1">
      <c r="A44" s="550" t="s">
        <v>0</v>
      </c>
      <c r="B44" s="550" t="s">
        <v>7</v>
      </c>
      <c r="C44" s="550" t="s">
        <v>13</v>
      </c>
      <c r="D44" s="550" t="s">
        <v>14</v>
      </c>
      <c r="E44" s="550" t="s">
        <v>8</v>
      </c>
      <c r="F44" s="550" t="s">
        <v>1</v>
      </c>
      <c r="G44" s="550" t="s">
        <v>2</v>
      </c>
      <c r="H44" s="550" t="s">
        <v>15</v>
      </c>
      <c r="I44" s="141" t="s">
        <v>3</v>
      </c>
      <c r="J44" s="550" t="s">
        <v>4</v>
      </c>
      <c r="K44" s="550" t="s">
        <v>5</v>
      </c>
      <c r="L44" s="550" t="s">
        <v>12</v>
      </c>
      <c r="M44" s="550" t="s">
        <v>6</v>
      </c>
      <c r="N44" s="123"/>
    </row>
    <row r="45" spans="1:14" s="107" customFormat="1" ht="15" customHeight="1">
      <c r="A45" s="551">
        <v>10352</v>
      </c>
      <c r="B45" s="552" t="s">
        <v>1029</v>
      </c>
      <c r="C45" s="552" t="s">
        <v>1040</v>
      </c>
      <c r="D45" s="552" t="s">
        <v>869</v>
      </c>
      <c r="E45" s="552" t="s">
        <v>102</v>
      </c>
      <c r="F45" s="90">
        <f>8730*1.0936</f>
        <v>9547.1279999999988</v>
      </c>
      <c r="G45" s="553" t="s">
        <v>405</v>
      </c>
      <c r="H45" s="79"/>
      <c r="I45" s="80">
        <f>2.335+3.046</f>
        <v>5.3810000000000002</v>
      </c>
      <c r="J45" s="81">
        <v>1708</v>
      </c>
      <c r="K45" s="81">
        <f t="shared" ref="K45:K49" si="9">I45*J45</f>
        <v>9190.7479999999996</v>
      </c>
      <c r="L45" s="102"/>
      <c r="M45" s="102"/>
      <c r="N45" s="71"/>
    </row>
    <row r="46" spans="1:14" s="107" customFormat="1" ht="15" customHeight="1">
      <c r="A46" s="551"/>
      <c r="B46" s="552"/>
      <c r="C46" s="552"/>
      <c r="D46" s="552"/>
      <c r="E46" s="552"/>
      <c r="F46" s="87"/>
      <c r="G46" s="91" t="s">
        <v>281</v>
      </c>
      <c r="H46" s="79"/>
      <c r="I46" s="80">
        <f>1.9+2.3</f>
        <v>4.1999999999999993</v>
      </c>
      <c r="J46" s="81">
        <v>1035</v>
      </c>
      <c r="K46" s="81">
        <f t="shared" si="9"/>
        <v>4346.9999999999991</v>
      </c>
      <c r="L46" s="102"/>
      <c r="M46" s="102"/>
      <c r="N46" s="71"/>
    </row>
    <row r="47" spans="1:14" s="107" customFormat="1" ht="15" customHeight="1">
      <c r="A47" s="551"/>
      <c r="B47" s="552"/>
      <c r="C47" s="552"/>
      <c r="D47" s="552"/>
      <c r="E47" s="552"/>
      <c r="F47" s="87"/>
      <c r="G47" s="91" t="s">
        <v>282</v>
      </c>
      <c r="H47" s="79"/>
      <c r="I47" s="80">
        <f>9.25+11.196</f>
        <v>20.445999999999998</v>
      </c>
      <c r="J47" s="81">
        <v>840</v>
      </c>
      <c r="K47" s="81">
        <f t="shared" si="9"/>
        <v>17174.64</v>
      </c>
      <c r="L47" s="102"/>
      <c r="M47" s="102"/>
      <c r="N47" s="71"/>
    </row>
    <row r="48" spans="1:14" s="107" customFormat="1" ht="15" customHeight="1">
      <c r="A48" s="551"/>
      <c r="B48" s="551"/>
      <c r="C48" s="551"/>
      <c r="D48" s="551"/>
      <c r="E48" s="552"/>
      <c r="F48" s="87"/>
      <c r="G48" s="552" t="s">
        <v>184</v>
      </c>
      <c r="H48" s="552"/>
      <c r="I48" s="80">
        <f>5+6</f>
        <v>11</v>
      </c>
      <c r="J48" s="81">
        <v>336</v>
      </c>
      <c r="K48" s="94">
        <f t="shared" si="9"/>
        <v>3696</v>
      </c>
      <c r="L48" s="102"/>
      <c r="M48" s="102"/>
      <c r="N48" s="71"/>
    </row>
    <row r="49" spans="1:14" s="107" customFormat="1" ht="15" customHeight="1">
      <c r="A49" s="551"/>
      <c r="B49" s="551"/>
      <c r="C49" s="551"/>
      <c r="D49" s="551"/>
      <c r="E49" s="552"/>
      <c r="F49" s="87"/>
      <c r="G49" s="95" t="s">
        <v>185</v>
      </c>
      <c r="H49" s="79"/>
      <c r="I49" s="96">
        <f>1+1.1</f>
        <v>2.1</v>
      </c>
      <c r="J49" s="81">
        <v>490</v>
      </c>
      <c r="K49" s="81">
        <f t="shared" si="9"/>
        <v>1029</v>
      </c>
      <c r="L49" s="102"/>
      <c r="M49" s="102"/>
      <c r="N49" s="71"/>
    </row>
    <row r="50" spans="1:14" s="107" customFormat="1" ht="15" customHeight="1">
      <c r="A50" s="551"/>
      <c r="B50" s="551"/>
      <c r="C50" s="551"/>
      <c r="D50" s="551"/>
      <c r="E50" s="550" t="s">
        <v>9</v>
      </c>
      <c r="F50" s="110">
        <f>SUM(F45:F49)</f>
        <v>9547.1279999999988</v>
      </c>
      <c r="G50" s="550"/>
      <c r="H50" s="550"/>
      <c r="I50" s="125"/>
      <c r="J50" s="97"/>
      <c r="K50" s="111">
        <f>SUM(K45:K49)</f>
        <v>35437.387999999999</v>
      </c>
      <c r="L50" s="111">
        <f>K50/F50</f>
        <v>3.7118375285216669</v>
      </c>
      <c r="M50" s="102"/>
      <c r="N50" s="71"/>
    </row>
    <row r="51" spans="1:14" s="107" customFormat="1" ht="15" customHeight="1">
      <c r="A51" s="552">
        <v>10044</v>
      </c>
      <c r="B51" s="552" t="s">
        <v>1013</v>
      </c>
      <c r="C51" s="89" t="s">
        <v>766</v>
      </c>
      <c r="D51" s="89" t="s">
        <v>465</v>
      </c>
      <c r="E51" s="552" t="s">
        <v>1012</v>
      </c>
      <c r="F51" s="222">
        <f>4660*1.0936</f>
        <v>5096.1759999999995</v>
      </c>
      <c r="G51" s="553" t="s">
        <v>405</v>
      </c>
      <c r="H51" s="79"/>
      <c r="I51" s="80">
        <f>0.145+0.035+0.01+0.014+0.028</f>
        <v>0.23200000000000001</v>
      </c>
      <c r="J51" s="81">
        <v>1708</v>
      </c>
      <c r="K51" s="81">
        <f t="shared" ref="K51:K56" si="10">I51*J51</f>
        <v>396.25600000000003</v>
      </c>
      <c r="L51" s="102"/>
      <c r="M51" s="102"/>
      <c r="N51" s="71"/>
    </row>
    <row r="52" spans="1:14" s="107" customFormat="1" ht="15" customHeight="1">
      <c r="A52" s="551"/>
      <c r="B52" s="552"/>
      <c r="C52" s="552"/>
      <c r="D52" s="552"/>
      <c r="E52" s="551"/>
      <c r="F52" s="98"/>
      <c r="G52" s="553" t="s">
        <v>183</v>
      </c>
      <c r="H52" s="79"/>
      <c r="I52" s="80">
        <f>0.09+0.022+0.01+0.022+0.017</f>
        <v>0.16099999999999998</v>
      </c>
      <c r="J52" s="81">
        <v>1600</v>
      </c>
      <c r="K52" s="81">
        <f t="shared" si="10"/>
        <v>257.59999999999997</v>
      </c>
      <c r="L52" s="102"/>
      <c r="M52" s="102"/>
      <c r="N52" s="71"/>
    </row>
    <row r="53" spans="1:14" s="107" customFormat="1" ht="15" customHeight="1">
      <c r="A53" s="551"/>
      <c r="B53" s="551"/>
      <c r="C53" s="551"/>
      <c r="D53" s="551"/>
      <c r="E53" s="551"/>
      <c r="F53" s="98"/>
      <c r="G53" s="93" t="s">
        <v>315</v>
      </c>
      <c r="H53" s="79"/>
      <c r="I53" s="80">
        <f>0.28+0.05+0.052</f>
        <v>0.38200000000000001</v>
      </c>
      <c r="J53" s="81">
        <v>2184</v>
      </c>
      <c r="K53" s="81">
        <f t="shared" si="10"/>
        <v>834.28800000000001</v>
      </c>
      <c r="L53" s="102"/>
      <c r="M53" s="102"/>
      <c r="N53" s="71"/>
    </row>
    <row r="54" spans="1:14" s="107" customFormat="1" ht="15" customHeight="1">
      <c r="A54" s="551"/>
      <c r="B54" s="551"/>
      <c r="C54" s="551"/>
      <c r="D54" s="551"/>
      <c r="E54" s="551"/>
      <c r="F54" s="98"/>
      <c r="G54" s="91" t="s">
        <v>562</v>
      </c>
      <c r="H54" s="79"/>
      <c r="I54" s="80">
        <f>0.125+0.16</f>
        <v>0.28500000000000003</v>
      </c>
      <c r="J54" s="81">
        <v>2885</v>
      </c>
      <c r="K54" s="81">
        <f t="shared" si="10"/>
        <v>822.22500000000014</v>
      </c>
      <c r="L54" s="102"/>
      <c r="M54" s="102"/>
      <c r="N54" s="71"/>
    </row>
    <row r="55" spans="1:14" s="107" customFormat="1" ht="15" customHeight="1">
      <c r="A55" s="551"/>
      <c r="B55" s="551"/>
      <c r="C55" s="551"/>
      <c r="D55" s="551"/>
      <c r="E55" s="551"/>
      <c r="F55" s="98"/>
      <c r="G55" s="552" t="s">
        <v>184</v>
      </c>
      <c r="H55" s="79"/>
      <c r="I55" s="80">
        <f>5+1.3+5+1</f>
        <v>12.3</v>
      </c>
      <c r="J55" s="81">
        <v>336</v>
      </c>
      <c r="K55" s="81">
        <f t="shared" si="10"/>
        <v>4132.8</v>
      </c>
      <c r="L55" s="102"/>
      <c r="M55" s="102"/>
      <c r="N55" s="71"/>
    </row>
    <row r="56" spans="1:14" s="107" customFormat="1" ht="15" customHeight="1">
      <c r="A56" s="551"/>
      <c r="B56" s="551"/>
      <c r="C56" s="551"/>
      <c r="D56" s="551"/>
      <c r="E56" s="551"/>
      <c r="F56" s="98"/>
      <c r="G56" s="95" t="s">
        <v>185</v>
      </c>
      <c r="H56" s="79"/>
      <c r="I56" s="96">
        <f>1+0.26+1+0.2</f>
        <v>2.46</v>
      </c>
      <c r="J56" s="81">
        <v>490</v>
      </c>
      <c r="K56" s="81">
        <f t="shared" si="10"/>
        <v>1205.4000000000001</v>
      </c>
      <c r="L56" s="102"/>
      <c r="M56" s="102"/>
      <c r="N56" s="71"/>
    </row>
    <row r="57" spans="1:14" s="107" customFormat="1" ht="15" customHeight="1">
      <c r="A57" s="551"/>
      <c r="B57" s="551"/>
      <c r="C57" s="551"/>
      <c r="D57" s="551"/>
      <c r="E57" s="550" t="s">
        <v>9</v>
      </c>
      <c r="F57" s="110">
        <f>SUM(F51:F56)</f>
        <v>5096.1759999999995</v>
      </c>
      <c r="G57" s="550"/>
      <c r="H57" s="550"/>
      <c r="I57" s="125"/>
      <c r="J57" s="97"/>
      <c r="K57" s="111">
        <f>SUM(K51:K56)</f>
        <v>7648.5689999999995</v>
      </c>
      <c r="L57" s="111">
        <f>K57/F57</f>
        <v>1.5008447510447049</v>
      </c>
      <c r="M57" s="102"/>
      <c r="N57" s="71"/>
    </row>
    <row r="58" spans="1:14" s="107" customFormat="1" ht="15" customHeight="1">
      <c r="A58" s="552">
        <v>10048</v>
      </c>
      <c r="B58" s="552" t="s">
        <v>1132</v>
      </c>
      <c r="C58" s="552" t="s">
        <v>121</v>
      </c>
      <c r="D58" s="552" t="s">
        <v>369</v>
      </c>
      <c r="E58" s="552" t="s">
        <v>323</v>
      </c>
      <c r="F58" s="222">
        <f>30*1.0936</f>
        <v>32.808</v>
      </c>
      <c r="G58" s="93" t="s">
        <v>190</v>
      </c>
      <c r="H58" s="79"/>
      <c r="I58" s="80">
        <f>0.328+0.328</f>
        <v>0.65600000000000003</v>
      </c>
      <c r="J58" s="81">
        <v>644</v>
      </c>
      <c r="K58" s="81">
        <f t="shared" ref="K58:K59" si="11">I58*J58</f>
        <v>422.464</v>
      </c>
      <c r="L58" s="79"/>
      <c r="M58" s="102"/>
      <c r="N58" s="71"/>
    </row>
    <row r="59" spans="1:14" s="107" customFormat="1" ht="15" customHeight="1">
      <c r="A59" s="551"/>
      <c r="B59" s="551"/>
      <c r="C59" s="551"/>
      <c r="D59" s="551"/>
      <c r="E59" s="551"/>
      <c r="F59" s="98"/>
      <c r="G59" s="91" t="s">
        <v>192</v>
      </c>
      <c r="H59" s="79"/>
      <c r="I59" s="80">
        <f>0.36+0.36+0.42</f>
        <v>1.1399999999999999</v>
      </c>
      <c r="J59" s="81">
        <v>1126</v>
      </c>
      <c r="K59" s="81">
        <f t="shared" si="11"/>
        <v>1283.6399999999999</v>
      </c>
      <c r="L59" s="79"/>
      <c r="M59" s="102"/>
      <c r="N59" s="71"/>
    </row>
    <row r="60" spans="1:14" s="107" customFormat="1" ht="15" customHeight="1">
      <c r="A60" s="551"/>
      <c r="B60" s="551"/>
      <c r="C60" s="551"/>
      <c r="D60" s="551"/>
      <c r="E60" s="551"/>
      <c r="F60" s="98"/>
      <c r="G60" s="91" t="s">
        <v>193</v>
      </c>
      <c r="H60" s="79"/>
      <c r="I60" s="80">
        <f>1.68+1.68</f>
        <v>3.36</v>
      </c>
      <c r="J60" s="81">
        <v>1150</v>
      </c>
      <c r="K60" s="81">
        <f t="shared" ref="K60:K62" si="12">I60*J60</f>
        <v>3864</v>
      </c>
      <c r="L60" s="79"/>
      <c r="M60" s="102"/>
      <c r="N60" s="71"/>
    </row>
    <row r="61" spans="1:14" s="107" customFormat="1" ht="15" customHeight="1">
      <c r="A61" s="551"/>
      <c r="B61" s="551"/>
      <c r="C61" s="551"/>
      <c r="D61" s="551"/>
      <c r="E61" s="551"/>
      <c r="F61" s="98"/>
      <c r="G61" s="552" t="s">
        <v>184</v>
      </c>
      <c r="H61" s="79"/>
      <c r="I61" s="80">
        <f>0.6+0.6</f>
        <v>1.2</v>
      </c>
      <c r="J61" s="81">
        <v>336</v>
      </c>
      <c r="K61" s="81">
        <f t="shared" si="12"/>
        <v>403.2</v>
      </c>
      <c r="L61" s="79"/>
      <c r="M61" s="102"/>
      <c r="N61" s="71"/>
    </row>
    <row r="62" spans="1:14" s="107" customFormat="1" ht="15" customHeight="1">
      <c r="A62" s="551"/>
      <c r="B62" s="551"/>
      <c r="C62" s="551"/>
      <c r="D62" s="551"/>
      <c r="E62" s="551"/>
      <c r="F62" s="98"/>
      <c r="G62" s="95" t="s">
        <v>185</v>
      </c>
      <c r="H62" s="79"/>
      <c r="I62" s="96">
        <f>0.102+0.12</f>
        <v>0.22199999999999998</v>
      </c>
      <c r="J62" s="81">
        <v>490</v>
      </c>
      <c r="K62" s="81">
        <f t="shared" si="12"/>
        <v>108.77999999999999</v>
      </c>
      <c r="L62" s="79"/>
      <c r="M62" s="102"/>
      <c r="N62" s="71"/>
    </row>
    <row r="63" spans="1:14" s="107" customFormat="1" ht="15" customHeight="1">
      <c r="A63" s="551"/>
      <c r="B63" s="551"/>
      <c r="C63" s="551"/>
      <c r="D63" s="551"/>
      <c r="E63" s="550" t="s">
        <v>9</v>
      </c>
      <c r="F63" s="110">
        <f>SUM(F58:F62)</f>
        <v>32.808</v>
      </c>
      <c r="G63" s="550"/>
      <c r="H63" s="550"/>
      <c r="I63" s="125"/>
      <c r="J63" s="97"/>
      <c r="K63" s="111">
        <f>SUM(K58:K62)</f>
        <v>6082.0839999999989</v>
      </c>
      <c r="L63" s="111">
        <f>K63/F63</f>
        <v>185.38417459156301</v>
      </c>
      <c r="M63" s="102"/>
      <c r="N63" s="71"/>
    </row>
    <row r="64" spans="1:14" s="107" customFormat="1" ht="15" customHeight="1">
      <c r="A64" s="552">
        <v>10043</v>
      </c>
      <c r="B64" s="577" t="s">
        <v>1168</v>
      </c>
      <c r="C64" s="552" t="s">
        <v>121</v>
      </c>
      <c r="D64" s="552" t="s">
        <v>369</v>
      </c>
      <c r="E64" s="552" t="s">
        <v>1133</v>
      </c>
      <c r="F64" s="222">
        <f>30*1.0936</f>
        <v>32.808</v>
      </c>
      <c r="G64" s="91" t="s">
        <v>926</v>
      </c>
      <c r="H64" s="102"/>
      <c r="I64" s="125">
        <f>0.12+0.05</f>
        <v>0.16999999999999998</v>
      </c>
      <c r="J64" s="81">
        <v>2152</v>
      </c>
      <c r="K64" s="81">
        <f t="shared" ref="K64:K65" si="13">I64*J64</f>
        <v>365.84</v>
      </c>
      <c r="L64" s="102"/>
      <c r="M64" s="102"/>
      <c r="N64" s="71"/>
    </row>
    <row r="65" spans="1:14" s="107" customFormat="1" ht="15" customHeight="1">
      <c r="A65" s="551"/>
      <c r="B65" s="551"/>
      <c r="C65" s="551"/>
      <c r="D65" s="551"/>
      <c r="E65" s="551"/>
      <c r="F65" s="98"/>
      <c r="G65" s="93" t="s">
        <v>315</v>
      </c>
      <c r="H65" s="79"/>
      <c r="I65" s="80">
        <v>1.2999999999999999E-2</v>
      </c>
      <c r="J65" s="81">
        <v>2184</v>
      </c>
      <c r="K65" s="81">
        <f t="shared" si="13"/>
        <v>28.391999999999999</v>
      </c>
      <c r="L65" s="102"/>
      <c r="M65" s="102"/>
      <c r="N65" s="71"/>
    </row>
    <row r="66" spans="1:14" s="107" customFormat="1" ht="15" customHeight="1">
      <c r="A66" s="551"/>
      <c r="B66" s="551"/>
      <c r="C66" s="551"/>
      <c r="D66" s="551"/>
      <c r="E66" s="551"/>
      <c r="F66" s="98"/>
      <c r="G66" s="91" t="s">
        <v>260</v>
      </c>
      <c r="H66" s="79"/>
      <c r="I66" s="80">
        <v>0.46400000000000002</v>
      </c>
      <c r="J66" s="81">
        <v>4545</v>
      </c>
      <c r="K66" s="81">
        <f t="shared" ref="K66:K69" si="14">I66*J66</f>
        <v>2108.88</v>
      </c>
      <c r="L66" s="79"/>
      <c r="M66" s="102"/>
      <c r="N66" s="71"/>
    </row>
    <row r="67" spans="1:14" s="107" customFormat="1" ht="15" customHeight="1">
      <c r="A67" s="582"/>
      <c r="B67" s="582"/>
      <c r="C67" s="582"/>
      <c r="D67" s="582"/>
      <c r="E67" s="582"/>
      <c r="F67" s="98"/>
      <c r="G67" s="584" t="s">
        <v>405</v>
      </c>
      <c r="H67" s="79"/>
      <c r="I67" s="80">
        <v>0.05</v>
      </c>
      <c r="J67" s="81">
        <v>1708</v>
      </c>
      <c r="K67" s="81">
        <f t="shared" si="14"/>
        <v>85.4</v>
      </c>
      <c r="L67" s="102"/>
      <c r="M67" s="102"/>
      <c r="N67" s="71"/>
    </row>
    <row r="68" spans="1:14" s="107" customFormat="1" ht="15" customHeight="1">
      <c r="A68" s="551"/>
      <c r="B68" s="551"/>
      <c r="C68" s="551"/>
      <c r="D68" s="551"/>
      <c r="E68" s="551"/>
      <c r="F68" s="98"/>
      <c r="G68" s="552" t="s">
        <v>184</v>
      </c>
      <c r="H68" s="552"/>
      <c r="I68" s="80">
        <v>0.6</v>
      </c>
      <c r="J68" s="81">
        <v>336</v>
      </c>
      <c r="K68" s="94">
        <f t="shared" si="14"/>
        <v>201.6</v>
      </c>
      <c r="L68" s="79"/>
      <c r="M68" s="102"/>
      <c r="N68" s="71"/>
    </row>
    <row r="69" spans="1:14" s="107" customFormat="1" ht="15" customHeight="1">
      <c r="A69" s="551"/>
      <c r="B69" s="551"/>
      <c r="C69" s="551"/>
      <c r="D69" s="551"/>
      <c r="E69" s="551"/>
      <c r="F69" s="98"/>
      <c r="G69" s="95" t="s">
        <v>185</v>
      </c>
      <c r="H69" s="79"/>
      <c r="I69" s="96">
        <v>0.10199999999999999</v>
      </c>
      <c r="J69" s="81">
        <v>490</v>
      </c>
      <c r="K69" s="81">
        <f t="shared" si="14"/>
        <v>49.98</v>
      </c>
      <c r="L69" s="79"/>
      <c r="M69" s="102"/>
      <c r="N69" s="71"/>
    </row>
    <row r="70" spans="1:14" s="107" customFormat="1" ht="15" customHeight="1">
      <c r="A70" s="551"/>
      <c r="B70" s="551"/>
      <c r="C70" s="551"/>
      <c r="D70" s="551"/>
      <c r="E70" s="550" t="s">
        <v>9</v>
      </c>
      <c r="F70" s="110">
        <f>SUM(F64:F69)</f>
        <v>32.808</v>
      </c>
      <c r="G70" s="550"/>
      <c r="H70" s="550"/>
      <c r="I70" s="125"/>
      <c r="J70" s="97"/>
      <c r="K70" s="111">
        <f>SUM(K64:K69)</f>
        <v>2840.0920000000001</v>
      </c>
      <c r="L70" s="111">
        <f>K70/F70</f>
        <v>86.567056815410879</v>
      </c>
      <c r="M70" s="102"/>
      <c r="N70" s="71"/>
    </row>
    <row r="71" spans="1:14" s="107" customFormat="1" ht="15" customHeight="1">
      <c r="A71" s="552">
        <v>10046</v>
      </c>
      <c r="B71" s="552" t="s">
        <v>277</v>
      </c>
      <c r="C71" s="552" t="s">
        <v>1040</v>
      </c>
      <c r="D71" s="552" t="s">
        <v>1134</v>
      </c>
      <c r="E71" s="552" t="s">
        <v>232</v>
      </c>
      <c r="F71" s="90">
        <f>40*1.0936</f>
        <v>43.744</v>
      </c>
      <c r="G71" s="91" t="s">
        <v>199</v>
      </c>
      <c r="H71" s="79"/>
      <c r="I71" s="80">
        <f>4.8+0.5</f>
        <v>5.3</v>
      </c>
      <c r="J71" s="81">
        <v>530</v>
      </c>
      <c r="K71" s="97">
        <f t="shared" ref="K71:K73" si="15">I71*J71</f>
        <v>2809</v>
      </c>
      <c r="L71" s="102"/>
      <c r="M71" s="102"/>
      <c r="N71" s="71"/>
    </row>
    <row r="72" spans="1:14" s="107" customFormat="1" ht="15" customHeight="1">
      <c r="A72" s="551"/>
      <c r="B72" s="552"/>
      <c r="C72" s="552"/>
      <c r="D72" s="552"/>
      <c r="E72" s="551"/>
      <c r="F72" s="98"/>
      <c r="G72" s="552" t="s">
        <v>184</v>
      </c>
      <c r="H72" s="552"/>
      <c r="I72" s="80">
        <v>0.6</v>
      </c>
      <c r="J72" s="81">
        <v>336</v>
      </c>
      <c r="K72" s="94">
        <f t="shared" si="15"/>
        <v>201.6</v>
      </c>
      <c r="L72" s="102"/>
      <c r="M72" s="102"/>
      <c r="N72" s="71"/>
    </row>
    <row r="73" spans="1:14" s="107" customFormat="1" ht="15" customHeight="1">
      <c r="A73" s="551"/>
      <c r="B73" s="551"/>
      <c r="C73" s="551"/>
      <c r="D73" s="551"/>
      <c r="E73" s="551"/>
      <c r="F73" s="98"/>
      <c r="G73" s="95" t="s">
        <v>185</v>
      </c>
      <c r="H73" s="79"/>
      <c r="I73" s="96">
        <v>0.12</v>
      </c>
      <c r="J73" s="81">
        <v>490</v>
      </c>
      <c r="K73" s="81">
        <f t="shared" si="15"/>
        <v>58.8</v>
      </c>
      <c r="L73" s="102"/>
      <c r="M73" s="102"/>
      <c r="N73" s="71"/>
    </row>
    <row r="74" spans="1:14" s="107" customFormat="1" ht="15" customHeight="1">
      <c r="A74" s="551"/>
      <c r="B74" s="551"/>
      <c r="C74" s="551"/>
      <c r="D74" s="551"/>
      <c r="E74" s="550" t="s">
        <v>9</v>
      </c>
      <c r="F74" s="110">
        <f>SUM(F71:F73)</f>
        <v>43.744</v>
      </c>
      <c r="G74" s="550"/>
      <c r="H74" s="550"/>
      <c r="I74" s="125"/>
      <c r="J74" s="97"/>
      <c r="K74" s="111">
        <f>SUM(K71:K73)</f>
        <v>3069.4</v>
      </c>
      <c r="L74" s="111">
        <f>K74/F74</f>
        <v>70.167337234820778</v>
      </c>
      <c r="M74" s="102"/>
      <c r="N74" s="71"/>
    </row>
    <row r="75" spans="1:14" s="107" customFormat="1" ht="15" customHeight="1">
      <c r="A75" s="552">
        <v>10042</v>
      </c>
      <c r="B75" s="552" t="s">
        <v>277</v>
      </c>
      <c r="C75" s="552" t="s">
        <v>121</v>
      </c>
      <c r="D75" s="552" t="s">
        <v>122</v>
      </c>
      <c r="E75" s="552" t="s">
        <v>931</v>
      </c>
      <c r="F75" s="90">
        <f>150*1.0936</f>
        <v>164.04</v>
      </c>
      <c r="G75" s="91" t="s">
        <v>196</v>
      </c>
      <c r="H75" s="79"/>
      <c r="I75" s="80">
        <v>0.72299999999999998</v>
      </c>
      <c r="J75" s="81">
        <v>888</v>
      </c>
      <c r="K75" s="81">
        <f t="shared" ref="K75:K79" si="16">I75*J75</f>
        <v>642.024</v>
      </c>
      <c r="L75" s="102"/>
      <c r="M75" s="102"/>
      <c r="N75" s="71"/>
    </row>
    <row r="76" spans="1:14" s="107" customFormat="1" ht="15" customHeight="1">
      <c r="A76" s="551"/>
      <c r="B76" s="552"/>
      <c r="C76" s="552"/>
      <c r="D76" s="552"/>
      <c r="E76" s="552"/>
      <c r="F76" s="98"/>
      <c r="G76" s="553" t="s">
        <v>183</v>
      </c>
      <c r="H76" s="79"/>
      <c r="I76" s="80">
        <v>0.72299999999999998</v>
      </c>
      <c r="J76" s="81">
        <v>1600</v>
      </c>
      <c r="K76" s="81">
        <f t="shared" si="16"/>
        <v>1156.8</v>
      </c>
      <c r="L76" s="79"/>
      <c r="M76" s="102"/>
      <c r="N76" s="71"/>
    </row>
    <row r="77" spans="1:14" s="107" customFormat="1" ht="15" customHeight="1">
      <c r="A77" s="551"/>
      <c r="B77" s="551"/>
      <c r="C77" s="551"/>
      <c r="D77" s="551"/>
      <c r="E77" s="551"/>
      <c r="F77" s="98"/>
      <c r="G77" s="93" t="s">
        <v>315</v>
      </c>
      <c r="H77" s="79"/>
      <c r="I77" s="80">
        <v>1.0999999999999999E-2</v>
      </c>
      <c r="J77" s="81">
        <v>2184</v>
      </c>
      <c r="K77" s="81">
        <f t="shared" si="16"/>
        <v>24.023999999999997</v>
      </c>
      <c r="L77" s="79"/>
      <c r="M77" s="102"/>
      <c r="N77" s="71"/>
    </row>
    <row r="78" spans="1:14" s="107" customFormat="1" ht="15" customHeight="1">
      <c r="A78" s="551"/>
      <c r="B78" s="551"/>
      <c r="C78" s="551"/>
      <c r="D78" s="551"/>
      <c r="E78" s="551"/>
      <c r="F78" s="98"/>
      <c r="G78" s="552" t="s">
        <v>184</v>
      </c>
      <c r="H78" s="552"/>
      <c r="I78" s="80">
        <v>0.7</v>
      </c>
      <c r="J78" s="81">
        <v>336</v>
      </c>
      <c r="K78" s="94">
        <f t="shared" si="16"/>
        <v>235.2</v>
      </c>
      <c r="L78" s="79"/>
      <c r="M78" s="102"/>
      <c r="N78" s="71"/>
    </row>
    <row r="79" spans="1:14" s="107" customFormat="1" ht="15" customHeight="1">
      <c r="A79" s="551"/>
      <c r="B79" s="551"/>
      <c r="C79" s="551"/>
      <c r="D79" s="551"/>
      <c r="E79" s="551"/>
      <c r="F79" s="98"/>
      <c r="G79" s="95" t="s">
        <v>185</v>
      </c>
      <c r="H79" s="79"/>
      <c r="I79" s="96">
        <v>0.14000000000000001</v>
      </c>
      <c r="J79" s="81">
        <v>490</v>
      </c>
      <c r="K79" s="81">
        <f t="shared" si="16"/>
        <v>68.600000000000009</v>
      </c>
      <c r="L79" s="79"/>
      <c r="M79" s="102"/>
      <c r="N79" s="71"/>
    </row>
    <row r="80" spans="1:14" s="107" customFormat="1" ht="15" customHeight="1">
      <c r="A80" s="551"/>
      <c r="B80" s="551"/>
      <c r="C80" s="551"/>
      <c r="D80" s="551"/>
      <c r="E80" s="550" t="s">
        <v>9</v>
      </c>
      <c r="F80" s="110">
        <f>SUM(F75:F79)</f>
        <v>164.04</v>
      </c>
      <c r="G80" s="550"/>
      <c r="H80" s="550"/>
      <c r="I80" s="125"/>
      <c r="J80" s="97"/>
      <c r="K80" s="111">
        <f>SUM(K75:K79)</f>
        <v>2126.6479999999997</v>
      </c>
      <c r="L80" s="111">
        <f>K80/F80</f>
        <v>12.964203852718848</v>
      </c>
      <c r="M80" s="102"/>
      <c r="N80" s="71"/>
    </row>
    <row r="81" spans="1:14" s="107" customFormat="1" ht="15" customHeight="1">
      <c r="A81" s="552">
        <v>10045</v>
      </c>
      <c r="B81" s="552" t="s">
        <v>277</v>
      </c>
      <c r="C81" s="552" t="s">
        <v>121</v>
      </c>
      <c r="D81" s="552" t="s">
        <v>122</v>
      </c>
      <c r="E81" s="552" t="s">
        <v>874</v>
      </c>
      <c r="F81" s="90">
        <f>150*1.0936</f>
        <v>164.04</v>
      </c>
      <c r="G81" s="93" t="s">
        <v>258</v>
      </c>
      <c r="H81" s="79"/>
      <c r="I81" s="80">
        <v>0.13600000000000001</v>
      </c>
      <c r="J81" s="81">
        <v>2801</v>
      </c>
      <c r="K81" s="81">
        <f t="shared" ref="K81:K85" si="17">I81*J81</f>
        <v>380.93600000000004</v>
      </c>
      <c r="L81" s="102"/>
      <c r="M81" s="102"/>
      <c r="N81" s="71"/>
    </row>
    <row r="82" spans="1:14" s="107" customFormat="1" ht="15" customHeight="1">
      <c r="A82" s="551"/>
      <c r="B82" s="551"/>
      <c r="C82" s="551"/>
      <c r="D82" s="551"/>
      <c r="E82" s="551"/>
      <c r="F82" s="98"/>
      <c r="G82" s="93" t="s">
        <v>259</v>
      </c>
      <c r="H82" s="79"/>
      <c r="I82" s="80">
        <v>7.0000000000000007E-2</v>
      </c>
      <c r="J82" s="81">
        <v>2704</v>
      </c>
      <c r="K82" s="81">
        <f t="shared" si="17"/>
        <v>189.28000000000003</v>
      </c>
      <c r="L82" s="102"/>
      <c r="M82" s="102"/>
      <c r="N82" s="71"/>
    </row>
    <row r="83" spans="1:14" s="107" customFormat="1" ht="15" customHeight="1">
      <c r="A83" s="551"/>
      <c r="B83" s="551"/>
      <c r="C83" s="551"/>
      <c r="D83" s="551"/>
      <c r="E83" s="551"/>
      <c r="F83" s="98"/>
      <c r="G83" s="91" t="s">
        <v>260</v>
      </c>
      <c r="H83" s="79"/>
      <c r="I83" s="80">
        <v>0.123</v>
      </c>
      <c r="J83" s="81">
        <v>4545</v>
      </c>
      <c r="K83" s="81">
        <f t="shared" si="17"/>
        <v>559.03499999999997</v>
      </c>
      <c r="L83" s="102"/>
      <c r="M83" s="102"/>
      <c r="N83" s="71"/>
    </row>
    <row r="84" spans="1:14" s="107" customFormat="1" ht="15" customHeight="1">
      <c r="A84" s="551"/>
      <c r="B84" s="551"/>
      <c r="C84" s="551"/>
      <c r="D84" s="551"/>
      <c r="E84" s="551"/>
      <c r="F84" s="98"/>
      <c r="G84" s="552" t="s">
        <v>184</v>
      </c>
      <c r="H84" s="79"/>
      <c r="I84" s="80">
        <v>0.7</v>
      </c>
      <c r="J84" s="81">
        <v>336</v>
      </c>
      <c r="K84" s="81">
        <f t="shared" si="17"/>
        <v>235.2</v>
      </c>
      <c r="L84" s="102"/>
      <c r="M84" s="102"/>
      <c r="N84" s="71"/>
    </row>
    <row r="85" spans="1:14" s="107" customFormat="1" ht="15" customHeight="1">
      <c r="A85" s="551"/>
      <c r="B85" s="551"/>
      <c r="C85" s="551"/>
      <c r="D85" s="551"/>
      <c r="E85" s="551"/>
      <c r="F85" s="98"/>
      <c r="G85" s="95" t="s">
        <v>185</v>
      </c>
      <c r="H85" s="79"/>
      <c r="I85" s="96">
        <v>0.14000000000000001</v>
      </c>
      <c r="J85" s="81">
        <v>490</v>
      </c>
      <c r="K85" s="81">
        <f t="shared" si="17"/>
        <v>68.600000000000009</v>
      </c>
      <c r="L85" s="102"/>
      <c r="M85" s="102"/>
      <c r="N85" s="71"/>
    </row>
    <row r="86" spans="1:14" s="107" customFormat="1" ht="15" customHeight="1">
      <c r="A86" s="551"/>
      <c r="B86" s="551"/>
      <c r="C86" s="551"/>
      <c r="D86" s="551"/>
      <c r="E86" s="550" t="s">
        <v>9</v>
      </c>
      <c r="F86" s="110">
        <f>SUM(F81:F85)</f>
        <v>164.04</v>
      </c>
      <c r="G86" s="550"/>
      <c r="H86" s="550"/>
      <c r="I86" s="125"/>
      <c r="J86" s="97"/>
      <c r="K86" s="111">
        <f>SUM(K81:K85)</f>
        <v>1433.0510000000002</v>
      </c>
      <c r="L86" s="111">
        <f>K86/F86</f>
        <v>8.7359851255791288</v>
      </c>
      <c r="M86" s="102"/>
      <c r="N86" s="71"/>
    </row>
    <row r="87" spans="1:14" s="107" customFormat="1" ht="15" customHeight="1">
      <c r="A87" s="552">
        <v>10039</v>
      </c>
      <c r="B87" s="552" t="s">
        <v>1135</v>
      </c>
      <c r="C87" s="552" t="s">
        <v>121</v>
      </c>
      <c r="D87" s="552" t="s">
        <v>1136</v>
      </c>
      <c r="E87" s="552" t="s">
        <v>1137</v>
      </c>
      <c r="F87" s="222">
        <f>100*1.0936</f>
        <v>109.35999999999999</v>
      </c>
      <c r="G87" s="91" t="s">
        <v>196</v>
      </c>
      <c r="H87" s="79"/>
      <c r="I87" s="80">
        <f>0.6+0.04</f>
        <v>0.64</v>
      </c>
      <c r="J87" s="81">
        <v>888</v>
      </c>
      <c r="K87" s="81">
        <f t="shared" ref="K87:K91" si="18">I87*J87</f>
        <v>568.32000000000005</v>
      </c>
      <c r="L87" s="102"/>
      <c r="M87" s="102"/>
      <c r="N87" s="71"/>
    </row>
    <row r="88" spans="1:14" s="107" customFormat="1" ht="15" customHeight="1">
      <c r="A88" s="552"/>
      <c r="B88" s="552"/>
      <c r="C88" s="552"/>
      <c r="D88" s="552"/>
      <c r="E88" s="552"/>
      <c r="F88" s="87"/>
      <c r="G88" s="91" t="s">
        <v>1097</v>
      </c>
      <c r="H88" s="79"/>
      <c r="I88" s="80">
        <f>0.254+0.03</f>
        <v>0.28400000000000003</v>
      </c>
      <c r="J88" s="81">
        <v>645</v>
      </c>
      <c r="K88" s="81">
        <f t="shared" si="18"/>
        <v>183.18</v>
      </c>
      <c r="L88" s="79"/>
      <c r="M88" s="102"/>
      <c r="N88" s="71"/>
    </row>
    <row r="89" spans="1:14" s="107" customFormat="1" ht="15" customHeight="1">
      <c r="A89" s="552"/>
      <c r="B89" s="552"/>
      <c r="C89" s="552"/>
      <c r="D89" s="552"/>
      <c r="E89" s="552"/>
      <c r="F89" s="87"/>
      <c r="G89" s="91" t="s">
        <v>194</v>
      </c>
      <c r="H89" s="79"/>
      <c r="I89" s="80">
        <f>0.852+0.065</f>
        <v>0.91700000000000004</v>
      </c>
      <c r="J89" s="81">
        <v>879</v>
      </c>
      <c r="K89" s="81">
        <f t="shared" si="18"/>
        <v>806.04300000000001</v>
      </c>
      <c r="L89" s="79"/>
      <c r="M89" s="102"/>
      <c r="N89" s="71"/>
    </row>
    <row r="90" spans="1:14" s="107" customFormat="1" ht="15" customHeight="1">
      <c r="A90" s="552"/>
      <c r="B90" s="552"/>
      <c r="C90" s="552"/>
      <c r="D90" s="552"/>
      <c r="E90" s="552"/>
      <c r="F90" s="87"/>
      <c r="G90" s="552" t="s">
        <v>184</v>
      </c>
      <c r="H90" s="552"/>
      <c r="I90" s="80">
        <v>0.6</v>
      </c>
      <c r="J90" s="81">
        <v>336</v>
      </c>
      <c r="K90" s="94">
        <f t="shared" si="18"/>
        <v>201.6</v>
      </c>
      <c r="L90" s="79"/>
      <c r="M90" s="102"/>
      <c r="N90" s="71"/>
    </row>
    <row r="91" spans="1:14" s="107" customFormat="1" ht="15" customHeight="1">
      <c r="A91" s="552"/>
      <c r="B91" s="552"/>
      <c r="C91" s="552"/>
      <c r="D91" s="552"/>
      <c r="E91" s="552"/>
      <c r="F91" s="87"/>
      <c r="G91" s="95" t="s">
        <v>185</v>
      </c>
      <c r="H91" s="79"/>
      <c r="I91" s="96">
        <v>0.12</v>
      </c>
      <c r="J91" s="81">
        <v>490</v>
      </c>
      <c r="K91" s="81">
        <f t="shared" si="18"/>
        <v>58.8</v>
      </c>
      <c r="L91" s="79"/>
      <c r="M91" s="102"/>
      <c r="N91" s="71"/>
    </row>
    <row r="92" spans="1:14" s="107" customFormat="1" ht="15" customHeight="1">
      <c r="A92" s="552"/>
      <c r="B92" s="552"/>
      <c r="C92" s="552"/>
      <c r="D92" s="552"/>
      <c r="E92" s="273" t="s">
        <v>9</v>
      </c>
      <c r="F92" s="108">
        <f>SUM(F87:F91)</f>
        <v>109.35999999999999</v>
      </c>
      <c r="G92" s="550"/>
      <c r="H92" s="550"/>
      <c r="I92" s="125"/>
      <c r="J92" s="97"/>
      <c r="K92" s="111">
        <f>SUM(K87:K91)</f>
        <v>1817.943</v>
      </c>
      <c r="L92" s="111">
        <f>K92/F92</f>
        <v>16.623472933430872</v>
      </c>
      <c r="M92" s="102"/>
      <c r="N92" s="71"/>
    </row>
    <row r="93" spans="1:14" s="107" customFormat="1" ht="15" customHeight="1">
      <c r="A93" s="552">
        <v>10041</v>
      </c>
      <c r="B93" s="552" t="s">
        <v>1138</v>
      </c>
      <c r="C93" s="552" t="s">
        <v>121</v>
      </c>
      <c r="D93" s="552" t="s">
        <v>1136</v>
      </c>
      <c r="E93" s="552" t="s">
        <v>1139</v>
      </c>
      <c r="F93" s="222">
        <f>65*1.0936</f>
        <v>71.083999999999989</v>
      </c>
      <c r="G93" s="553" t="s">
        <v>405</v>
      </c>
      <c r="H93" s="79"/>
      <c r="I93" s="80">
        <v>0.622</v>
      </c>
      <c r="J93" s="81">
        <v>1708</v>
      </c>
      <c r="K93" s="81">
        <f t="shared" ref="K93" si="19">I93*J93</f>
        <v>1062.376</v>
      </c>
      <c r="L93" s="102"/>
      <c r="M93" s="102"/>
      <c r="N93" s="71"/>
    </row>
    <row r="94" spans="1:14" s="107" customFormat="1" ht="15" customHeight="1">
      <c r="A94" s="551"/>
      <c r="B94" s="551"/>
      <c r="C94" s="551"/>
      <c r="D94" s="551"/>
      <c r="E94" s="551"/>
      <c r="F94" s="98"/>
      <c r="G94" s="91" t="s">
        <v>926</v>
      </c>
      <c r="H94" s="102"/>
      <c r="I94" s="125">
        <v>0.10199999999999999</v>
      </c>
      <c r="J94" s="81">
        <v>2152</v>
      </c>
      <c r="K94" s="81">
        <f t="shared" ref="K94:K102" si="20">I94*J94</f>
        <v>219.50399999999999</v>
      </c>
      <c r="L94" s="102"/>
      <c r="M94" s="102"/>
      <c r="N94" s="71"/>
    </row>
    <row r="95" spans="1:14" s="107" customFormat="1" ht="15" customHeight="1">
      <c r="A95" s="551"/>
      <c r="B95" s="551"/>
      <c r="C95" s="551"/>
      <c r="D95" s="551"/>
      <c r="E95" s="551"/>
      <c r="F95" s="98"/>
      <c r="G95" s="93" t="s">
        <v>315</v>
      </c>
      <c r="H95" s="79"/>
      <c r="I95" s="80">
        <v>0.13800000000000001</v>
      </c>
      <c r="J95" s="81">
        <v>2184</v>
      </c>
      <c r="K95" s="81">
        <f t="shared" si="20"/>
        <v>301.39200000000005</v>
      </c>
      <c r="L95" s="102"/>
      <c r="M95" s="102"/>
      <c r="N95" s="71"/>
    </row>
    <row r="96" spans="1:14" s="107" customFormat="1" ht="15" customHeight="1">
      <c r="A96" s="567"/>
      <c r="B96" s="567"/>
      <c r="C96" s="567"/>
      <c r="D96" s="567"/>
      <c r="E96" s="567"/>
      <c r="F96" s="98"/>
      <c r="G96" s="91" t="s">
        <v>196</v>
      </c>
      <c r="H96" s="79"/>
      <c r="I96" s="80">
        <f>0.03</f>
        <v>0.03</v>
      </c>
      <c r="J96" s="81">
        <v>888</v>
      </c>
      <c r="K96" s="81">
        <f t="shared" si="20"/>
        <v>26.64</v>
      </c>
      <c r="L96" s="102"/>
      <c r="M96" s="102"/>
      <c r="N96" s="71"/>
    </row>
    <row r="97" spans="1:14" s="107" customFormat="1" ht="15" customHeight="1">
      <c r="A97" s="567"/>
      <c r="B97" s="567"/>
      <c r="C97" s="567"/>
      <c r="D97" s="567"/>
      <c r="E97" s="567"/>
      <c r="F97" s="98"/>
      <c r="G97" s="91" t="s">
        <v>1097</v>
      </c>
      <c r="H97" s="79"/>
      <c r="I97" s="80">
        <v>1.7999999999999999E-2</v>
      </c>
      <c r="J97" s="81">
        <v>645</v>
      </c>
      <c r="K97" s="81">
        <f t="shared" si="20"/>
        <v>11.61</v>
      </c>
      <c r="L97" s="79"/>
      <c r="M97" s="102"/>
      <c r="N97" s="71"/>
    </row>
    <row r="98" spans="1:14" s="107" customFormat="1" ht="15" customHeight="1">
      <c r="A98" s="567"/>
      <c r="B98" s="567"/>
      <c r="C98" s="567"/>
      <c r="D98" s="567"/>
      <c r="E98" s="567"/>
      <c r="F98" s="98"/>
      <c r="G98" s="93" t="s">
        <v>190</v>
      </c>
      <c r="H98" s="79"/>
      <c r="I98" s="80">
        <v>3.7999999999999999E-2</v>
      </c>
      <c r="J98" s="81">
        <v>644</v>
      </c>
      <c r="K98" s="81">
        <f t="shared" si="20"/>
        <v>24.471999999999998</v>
      </c>
      <c r="L98" s="102"/>
      <c r="M98" s="102"/>
      <c r="N98" s="71"/>
    </row>
    <row r="99" spans="1:14" s="107" customFormat="1" ht="15" customHeight="1">
      <c r="A99" s="567"/>
      <c r="B99" s="567"/>
      <c r="C99" s="567"/>
      <c r="D99" s="567"/>
      <c r="E99" s="567"/>
      <c r="F99" s="98"/>
      <c r="G99" s="91" t="s">
        <v>192</v>
      </c>
      <c r="H99" s="79"/>
      <c r="I99" s="80">
        <v>2.5000000000000001E-2</v>
      </c>
      <c r="J99" s="81">
        <v>1126</v>
      </c>
      <c r="K99" s="81">
        <f t="shared" si="20"/>
        <v>28.150000000000002</v>
      </c>
      <c r="L99" s="102"/>
      <c r="M99" s="102"/>
      <c r="N99" s="71"/>
    </row>
    <row r="100" spans="1:14" s="107" customFormat="1" ht="15" customHeight="1">
      <c r="A100" s="567"/>
      <c r="B100" s="567"/>
      <c r="C100" s="567"/>
      <c r="D100" s="567"/>
      <c r="E100" s="567"/>
      <c r="F100" s="98"/>
      <c r="G100" s="566" t="s">
        <v>473</v>
      </c>
      <c r="H100" s="79"/>
      <c r="I100" s="80">
        <v>0.04</v>
      </c>
      <c r="J100" s="81">
        <v>2292</v>
      </c>
      <c r="K100" s="81">
        <f t="shared" si="20"/>
        <v>91.68</v>
      </c>
      <c r="L100" s="102"/>
      <c r="M100" s="102"/>
      <c r="N100" s="71"/>
    </row>
    <row r="101" spans="1:14" s="107" customFormat="1" ht="15" customHeight="1">
      <c r="A101" s="551"/>
      <c r="B101" s="551"/>
      <c r="C101" s="551"/>
      <c r="D101" s="551"/>
      <c r="E101" s="551"/>
      <c r="F101" s="98"/>
      <c r="G101" s="552" t="s">
        <v>184</v>
      </c>
      <c r="H101" s="79"/>
      <c r="I101" s="80">
        <v>0.6</v>
      </c>
      <c r="J101" s="81">
        <v>336</v>
      </c>
      <c r="K101" s="81">
        <f t="shared" si="20"/>
        <v>201.6</v>
      </c>
      <c r="L101" s="102"/>
      <c r="M101" s="102"/>
      <c r="N101" s="71"/>
    </row>
    <row r="102" spans="1:14" s="107" customFormat="1" ht="15" customHeight="1">
      <c r="A102" s="551"/>
      <c r="B102" s="551"/>
      <c r="C102" s="551"/>
      <c r="D102" s="551"/>
      <c r="E102" s="551"/>
      <c r="F102" s="98"/>
      <c r="G102" s="95" t="s">
        <v>185</v>
      </c>
      <c r="H102" s="79"/>
      <c r="I102" s="96">
        <v>0.12</v>
      </c>
      <c r="J102" s="81">
        <v>490</v>
      </c>
      <c r="K102" s="81">
        <f t="shared" si="20"/>
        <v>58.8</v>
      </c>
      <c r="L102" s="102"/>
      <c r="M102" s="102"/>
      <c r="N102" s="71"/>
    </row>
    <row r="103" spans="1:14" s="107" customFormat="1" ht="15" customHeight="1">
      <c r="A103" s="551"/>
      <c r="B103" s="551"/>
      <c r="C103" s="551"/>
      <c r="D103" s="551"/>
      <c r="E103" s="273" t="s">
        <v>9</v>
      </c>
      <c r="F103" s="108">
        <f>SUM(F93:F102)</f>
        <v>71.083999999999989</v>
      </c>
      <c r="G103" s="550"/>
      <c r="H103" s="550"/>
      <c r="I103" s="125"/>
      <c r="J103" s="97"/>
      <c r="K103" s="111">
        <f>SUM(K93:K102)</f>
        <v>2026.2239999999999</v>
      </c>
      <c r="L103" s="111">
        <f>K103/F103</f>
        <v>28.504642394913063</v>
      </c>
      <c r="M103" s="102"/>
      <c r="N103" s="71"/>
    </row>
    <row r="104" spans="1:14" s="107" customFormat="1" ht="15" customHeight="1">
      <c r="A104" s="552">
        <v>10036</v>
      </c>
      <c r="B104" s="552" t="s">
        <v>947</v>
      </c>
      <c r="C104" s="89" t="s">
        <v>700</v>
      </c>
      <c r="D104" s="89" t="s">
        <v>297</v>
      </c>
      <c r="E104" s="552" t="s">
        <v>1140</v>
      </c>
      <c r="F104" s="222">
        <f>3840*1.0936</f>
        <v>4199.424</v>
      </c>
      <c r="G104" s="553" t="s">
        <v>405</v>
      </c>
      <c r="H104" s="79"/>
      <c r="I104" s="80">
        <f>1.6+1.498</f>
        <v>3.0979999999999999</v>
      </c>
      <c r="J104" s="81">
        <v>1708</v>
      </c>
      <c r="K104" s="81">
        <f t="shared" ref="K104:K108" si="21">I104*J104</f>
        <v>5291.384</v>
      </c>
      <c r="L104" s="102"/>
      <c r="M104" s="102"/>
      <c r="N104" s="71"/>
    </row>
    <row r="105" spans="1:14" s="107" customFormat="1" ht="15" customHeight="1">
      <c r="A105" s="552"/>
      <c r="B105" s="551"/>
      <c r="C105" s="551"/>
      <c r="D105" s="551"/>
      <c r="E105" s="551"/>
      <c r="F105" s="98"/>
      <c r="G105" s="91" t="s">
        <v>192</v>
      </c>
      <c r="H105" s="79"/>
      <c r="I105" s="80">
        <f>4.87+3.653</f>
        <v>8.5229999999999997</v>
      </c>
      <c r="J105" s="81">
        <v>1126</v>
      </c>
      <c r="K105" s="81">
        <f t="shared" si="21"/>
        <v>9596.8979999999992</v>
      </c>
      <c r="L105" s="102"/>
      <c r="M105" s="102"/>
      <c r="N105" s="71"/>
    </row>
    <row r="106" spans="1:14" s="107" customFormat="1" ht="15" customHeight="1">
      <c r="A106" s="552"/>
      <c r="B106" s="551"/>
      <c r="C106" s="551"/>
      <c r="D106" s="551"/>
      <c r="E106" s="551"/>
      <c r="F106" s="98"/>
      <c r="G106" s="93" t="s">
        <v>315</v>
      </c>
      <c r="H106" s="79"/>
      <c r="I106" s="80">
        <f>1.45+1.215</f>
        <v>2.665</v>
      </c>
      <c r="J106" s="81">
        <v>2184</v>
      </c>
      <c r="K106" s="81">
        <f t="shared" si="21"/>
        <v>5820.36</v>
      </c>
      <c r="L106" s="102"/>
      <c r="M106" s="102"/>
      <c r="N106" s="71"/>
    </row>
    <row r="107" spans="1:14" s="107" customFormat="1" ht="15" customHeight="1">
      <c r="A107" s="552"/>
      <c r="B107" s="551"/>
      <c r="C107" s="551"/>
      <c r="D107" s="551"/>
      <c r="E107" s="551"/>
      <c r="F107" s="98"/>
      <c r="G107" s="552" t="s">
        <v>184</v>
      </c>
      <c r="H107" s="552"/>
      <c r="I107" s="80">
        <f>5+3.5</f>
        <v>8.5</v>
      </c>
      <c r="J107" s="81">
        <v>336</v>
      </c>
      <c r="K107" s="94">
        <f t="shared" si="21"/>
        <v>2856</v>
      </c>
      <c r="L107" s="550"/>
      <c r="M107" s="102"/>
      <c r="N107" s="71"/>
    </row>
    <row r="108" spans="1:14" s="107" customFormat="1" ht="15" customHeight="1">
      <c r="A108" s="552"/>
      <c r="B108" s="551"/>
      <c r="C108" s="551"/>
      <c r="D108" s="551"/>
      <c r="E108" s="551"/>
      <c r="F108" s="98"/>
      <c r="G108" s="95" t="s">
        <v>185</v>
      </c>
      <c r="H108" s="79"/>
      <c r="I108" s="96">
        <f>2+0.7</f>
        <v>2.7</v>
      </c>
      <c r="J108" s="81">
        <v>490</v>
      </c>
      <c r="K108" s="81">
        <f t="shared" si="21"/>
        <v>1323</v>
      </c>
      <c r="L108" s="550"/>
      <c r="M108" s="102"/>
      <c r="N108" s="71"/>
    </row>
    <row r="109" spans="1:14" s="107" customFormat="1" ht="15" customHeight="1">
      <c r="A109" s="552"/>
      <c r="B109" s="551"/>
      <c r="C109" s="551"/>
      <c r="D109" s="551"/>
      <c r="E109" s="273" t="s">
        <v>9</v>
      </c>
      <c r="F109" s="108">
        <f>SUM(F104:F108)</f>
        <v>4199.424</v>
      </c>
      <c r="G109" s="550"/>
      <c r="H109" s="550"/>
      <c r="I109" s="125"/>
      <c r="J109" s="97"/>
      <c r="K109" s="111">
        <f>SUM(K104:K108)</f>
        <v>24887.642</v>
      </c>
      <c r="L109" s="111">
        <f>K109/F109</f>
        <v>5.9264418167824919</v>
      </c>
      <c r="M109" s="102"/>
      <c r="N109" s="71"/>
    </row>
    <row r="110" spans="1:14" s="107" customFormat="1" ht="15" customHeight="1">
      <c r="A110" s="552">
        <v>10035</v>
      </c>
      <c r="B110" s="552" t="s">
        <v>1141</v>
      </c>
      <c r="C110" s="89" t="s">
        <v>700</v>
      </c>
      <c r="D110" s="89" t="s">
        <v>297</v>
      </c>
      <c r="E110" s="552" t="s">
        <v>1142</v>
      </c>
      <c r="F110" s="222">
        <f>2900*1.0936</f>
        <v>3171.4399999999996</v>
      </c>
      <c r="G110" s="553" t="s">
        <v>405</v>
      </c>
      <c r="H110" s="79"/>
      <c r="I110" s="80">
        <f>2.97+0.79</f>
        <v>3.7600000000000002</v>
      </c>
      <c r="J110" s="81">
        <v>1708</v>
      </c>
      <c r="K110" s="81">
        <f t="shared" ref="K110:K114" si="22">I110*J110</f>
        <v>6422.0800000000008</v>
      </c>
      <c r="L110" s="79"/>
      <c r="M110" s="102"/>
      <c r="N110" s="71"/>
    </row>
    <row r="111" spans="1:14" s="107" customFormat="1" ht="15" customHeight="1">
      <c r="A111" s="551"/>
      <c r="B111" s="551"/>
      <c r="C111" s="551"/>
      <c r="D111" s="551"/>
      <c r="E111" s="551"/>
      <c r="F111" s="98"/>
      <c r="G111" s="553" t="s">
        <v>183</v>
      </c>
      <c r="H111" s="79"/>
      <c r="I111" s="80">
        <f>1.171+0.256</f>
        <v>1.427</v>
      </c>
      <c r="J111" s="81">
        <v>1600</v>
      </c>
      <c r="K111" s="81">
        <f t="shared" si="22"/>
        <v>2283.2000000000003</v>
      </c>
      <c r="L111" s="79"/>
      <c r="M111" s="102"/>
      <c r="N111" s="71"/>
    </row>
    <row r="112" spans="1:14" s="107" customFormat="1" ht="15" customHeight="1">
      <c r="A112" s="551"/>
      <c r="B112" s="551"/>
      <c r="C112" s="551"/>
      <c r="D112" s="551"/>
      <c r="E112" s="551"/>
      <c r="F112" s="98"/>
      <c r="G112" s="93" t="s">
        <v>315</v>
      </c>
      <c r="H112" s="79"/>
      <c r="I112" s="80">
        <f>4.782+1.275</f>
        <v>6.0570000000000004</v>
      </c>
      <c r="J112" s="81">
        <v>2184</v>
      </c>
      <c r="K112" s="81">
        <f t="shared" si="22"/>
        <v>13228.488000000001</v>
      </c>
      <c r="L112" s="79"/>
      <c r="M112" s="102"/>
      <c r="N112" s="71"/>
    </row>
    <row r="113" spans="1:14" s="107" customFormat="1" ht="15" customHeight="1">
      <c r="A113" s="551"/>
      <c r="B113" s="551"/>
      <c r="C113" s="551"/>
      <c r="D113" s="551"/>
      <c r="E113" s="551"/>
      <c r="F113" s="98"/>
      <c r="G113" s="552" t="s">
        <v>184</v>
      </c>
      <c r="H113" s="552"/>
      <c r="I113" s="80">
        <f>4.5+1.5</f>
        <v>6</v>
      </c>
      <c r="J113" s="81">
        <v>336</v>
      </c>
      <c r="K113" s="94">
        <f t="shared" si="22"/>
        <v>2016</v>
      </c>
      <c r="L113" s="79"/>
      <c r="M113" s="102"/>
      <c r="N113" s="71"/>
    </row>
    <row r="114" spans="1:14" s="107" customFormat="1" ht="15" customHeight="1">
      <c r="A114" s="551"/>
      <c r="B114" s="551"/>
      <c r="C114" s="551"/>
      <c r="D114" s="551"/>
      <c r="E114" s="551"/>
      <c r="F114" s="98"/>
      <c r="G114" s="95" t="s">
        <v>185</v>
      </c>
      <c r="H114" s="79"/>
      <c r="I114" s="96">
        <f>0.9+2.5</f>
        <v>3.4</v>
      </c>
      <c r="J114" s="81">
        <v>490</v>
      </c>
      <c r="K114" s="81">
        <f t="shared" si="22"/>
        <v>1666</v>
      </c>
      <c r="L114" s="79"/>
      <c r="M114" s="102"/>
      <c r="N114" s="71"/>
    </row>
    <row r="115" spans="1:14" s="107" customFormat="1" ht="15" customHeight="1">
      <c r="A115" s="551"/>
      <c r="B115" s="551"/>
      <c r="C115" s="551"/>
      <c r="D115" s="551"/>
      <c r="E115" s="273" t="s">
        <v>9</v>
      </c>
      <c r="F115" s="108">
        <f>SUM(F110:F114)</f>
        <v>3171.4399999999996</v>
      </c>
      <c r="G115" s="550"/>
      <c r="H115" s="550"/>
      <c r="I115" s="125"/>
      <c r="J115" s="97"/>
      <c r="K115" s="111">
        <f>SUM(K110:K114)</f>
        <v>25615.768000000004</v>
      </c>
      <c r="L115" s="111">
        <f>K115/F115</f>
        <v>8.0770148576041194</v>
      </c>
      <c r="M115" s="102"/>
      <c r="N115" s="71"/>
    </row>
    <row r="116" spans="1:14" s="107" customFormat="1" ht="15" customHeight="1">
      <c r="A116" s="551">
        <v>10034</v>
      </c>
      <c r="B116" s="552" t="s">
        <v>1114</v>
      </c>
      <c r="C116" s="89" t="s">
        <v>700</v>
      </c>
      <c r="D116" s="89" t="s">
        <v>297</v>
      </c>
      <c r="E116" s="552" t="s">
        <v>1143</v>
      </c>
      <c r="F116" s="222">
        <f>4400*1.0936</f>
        <v>4811.8399999999992</v>
      </c>
      <c r="G116" s="553" t="s">
        <v>405</v>
      </c>
      <c r="H116" s="79"/>
      <c r="I116" s="80">
        <v>6.96</v>
      </c>
      <c r="J116" s="81">
        <v>1708</v>
      </c>
      <c r="K116" s="81">
        <f t="shared" ref="K116:K120" si="23">I116*J116</f>
        <v>11887.68</v>
      </c>
      <c r="L116" s="79"/>
      <c r="M116" s="102"/>
      <c r="N116" s="71"/>
    </row>
    <row r="117" spans="1:14" s="107" customFormat="1" ht="15" customHeight="1">
      <c r="A117" s="551"/>
      <c r="B117" s="551"/>
      <c r="C117" s="551"/>
      <c r="D117" s="551"/>
      <c r="E117" s="551"/>
      <c r="F117" s="98"/>
      <c r="G117" s="553" t="s">
        <v>183</v>
      </c>
      <c r="H117" s="79"/>
      <c r="I117" s="80">
        <v>1.1200000000000001</v>
      </c>
      <c r="J117" s="81">
        <v>1600</v>
      </c>
      <c r="K117" s="81">
        <f t="shared" si="23"/>
        <v>1792.0000000000002</v>
      </c>
      <c r="L117" s="79"/>
      <c r="M117" s="102"/>
      <c r="N117" s="71"/>
    </row>
    <row r="118" spans="1:14" s="107" customFormat="1" ht="15" customHeight="1">
      <c r="A118" s="551"/>
      <c r="B118" s="551"/>
      <c r="C118" s="551"/>
      <c r="D118" s="551"/>
      <c r="E118" s="551"/>
      <c r="F118" s="98"/>
      <c r="G118" s="93" t="s">
        <v>315</v>
      </c>
      <c r="H118" s="79"/>
      <c r="I118" s="80">
        <v>6.3120000000000003</v>
      </c>
      <c r="J118" s="81">
        <v>2184</v>
      </c>
      <c r="K118" s="81">
        <f t="shared" si="23"/>
        <v>13785.408000000001</v>
      </c>
      <c r="L118" s="79"/>
      <c r="M118" s="102"/>
      <c r="N118" s="71"/>
    </row>
    <row r="119" spans="1:14" s="107" customFormat="1" ht="15" customHeight="1">
      <c r="A119" s="551"/>
      <c r="B119" s="551"/>
      <c r="C119" s="551"/>
      <c r="D119" s="551"/>
      <c r="E119" s="551"/>
      <c r="F119" s="98"/>
      <c r="G119" s="552" t="s">
        <v>184</v>
      </c>
      <c r="H119" s="552"/>
      <c r="I119" s="80">
        <v>12</v>
      </c>
      <c r="J119" s="81">
        <v>336</v>
      </c>
      <c r="K119" s="94">
        <f t="shared" si="23"/>
        <v>4032</v>
      </c>
      <c r="L119" s="79"/>
      <c r="M119" s="102"/>
      <c r="N119" s="71"/>
    </row>
    <row r="120" spans="1:14" s="107" customFormat="1" ht="15" customHeight="1">
      <c r="A120" s="551"/>
      <c r="B120" s="551"/>
      <c r="C120" s="551"/>
      <c r="D120" s="551"/>
      <c r="E120" s="551"/>
      <c r="F120" s="98"/>
      <c r="G120" s="95" t="s">
        <v>185</v>
      </c>
      <c r="H120" s="79"/>
      <c r="I120" s="96">
        <v>1.6</v>
      </c>
      <c r="J120" s="81">
        <v>490</v>
      </c>
      <c r="K120" s="81">
        <f t="shared" si="23"/>
        <v>784</v>
      </c>
      <c r="L120" s="79"/>
      <c r="M120" s="102"/>
      <c r="N120" s="71"/>
    </row>
    <row r="121" spans="1:14" s="71" customFormat="1" ht="15" customHeight="1">
      <c r="A121" s="551"/>
      <c r="B121" s="551"/>
      <c r="C121" s="551"/>
      <c r="D121" s="551"/>
      <c r="E121" s="550" t="s">
        <v>9</v>
      </c>
      <c r="F121" s="110">
        <f>SUM(F116:F120)</f>
        <v>4811.8399999999992</v>
      </c>
      <c r="G121" s="550"/>
      <c r="H121" s="550"/>
      <c r="I121" s="125"/>
      <c r="J121" s="97"/>
      <c r="K121" s="111">
        <f>SUM(K116:K120)</f>
        <v>32281.088000000003</v>
      </c>
      <c r="L121" s="111">
        <f>K121/F121</f>
        <v>6.7086785928044179</v>
      </c>
      <c r="M121" s="102"/>
    </row>
    <row r="122" spans="1:14" s="107" customFormat="1" ht="15" customHeight="1">
      <c r="A122" s="548"/>
      <c r="B122" s="548"/>
      <c r="C122" s="548"/>
      <c r="D122" s="126" t="s">
        <v>30</v>
      </c>
      <c r="E122" s="126"/>
      <c r="F122" s="127">
        <f>F50+F57+F63+F70+F74+F80+F86+F92+F103+F109+F115+F121</f>
        <v>27443.892000000003</v>
      </c>
      <c r="G122" s="128"/>
      <c r="H122" s="128"/>
      <c r="I122" s="128"/>
      <c r="J122" s="128"/>
      <c r="K122" s="127">
        <f>K50+K57+K63+K70+K74+K80+K86+K92+K103+K109+K115+K121</f>
        <v>145265.897</v>
      </c>
      <c r="L122" s="129">
        <f>K122/F122</f>
        <v>5.2931959140489253</v>
      </c>
      <c r="M122" s="131"/>
      <c r="N122" s="71"/>
    </row>
    <row r="123" spans="1:14" s="107" customFormat="1" ht="15" customHeight="1">
      <c r="A123" s="70" t="s">
        <v>40</v>
      </c>
      <c r="B123" s="70"/>
      <c r="C123" s="70"/>
      <c r="D123" s="70"/>
      <c r="E123" s="70"/>
      <c r="F123" s="71"/>
      <c r="G123" s="71"/>
      <c r="H123" s="71"/>
      <c r="I123" s="140"/>
      <c r="J123" s="71"/>
      <c r="K123" s="824" t="s">
        <v>1130</v>
      </c>
      <c r="L123" s="824"/>
      <c r="M123" s="824"/>
      <c r="N123" s="71"/>
    </row>
    <row r="124" spans="1:14" s="107" customFormat="1" ht="15" customHeight="1">
      <c r="A124" s="550" t="s">
        <v>0</v>
      </c>
      <c r="B124" s="550" t="s">
        <v>7</v>
      </c>
      <c r="C124" s="550" t="s">
        <v>13</v>
      </c>
      <c r="D124" s="550" t="s">
        <v>14</v>
      </c>
      <c r="E124" s="550" t="s">
        <v>8</v>
      </c>
      <c r="F124" s="550" t="s">
        <v>1</v>
      </c>
      <c r="G124" s="550" t="s">
        <v>2</v>
      </c>
      <c r="H124" s="550" t="s">
        <v>15</v>
      </c>
      <c r="I124" s="141" t="s">
        <v>3</v>
      </c>
      <c r="J124" s="550" t="s">
        <v>4</v>
      </c>
      <c r="K124" s="550" t="s">
        <v>5</v>
      </c>
      <c r="L124" s="550" t="s">
        <v>12</v>
      </c>
      <c r="M124" s="550" t="s">
        <v>6</v>
      </c>
      <c r="N124" s="123"/>
    </row>
    <row r="125" spans="1:14" s="107" customFormat="1" ht="15" customHeight="1">
      <c r="A125" s="552">
        <v>10305</v>
      </c>
      <c r="B125" s="552" t="s">
        <v>1089</v>
      </c>
      <c r="C125" s="552" t="s">
        <v>1040</v>
      </c>
      <c r="D125" s="552" t="s">
        <v>869</v>
      </c>
      <c r="E125" s="552" t="s">
        <v>102</v>
      </c>
      <c r="F125" s="90">
        <f>8730*1.0936</f>
        <v>9547.1279999999988</v>
      </c>
      <c r="G125" s="552" t="s">
        <v>27</v>
      </c>
      <c r="H125" s="79"/>
      <c r="I125" s="80">
        <v>380</v>
      </c>
      <c r="J125" s="81">
        <v>22</v>
      </c>
      <c r="K125" s="81">
        <f t="shared" ref="K125:K127" si="24">I125*J125</f>
        <v>8360</v>
      </c>
      <c r="L125" s="551"/>
      <c r="M125" s="551"/>
      <c r="N125" s="546"/>
    </row>
    <row r="126" spans="1:14" s="107" customFormat="1" ht="15" customHeight="1">
      <c r="A126" s="551"/>
      <c r="B126" s="552"/>
      <c r="C126" s="552"/>
      <c r="D126" s="552"/>
      <c r="E126" s="551"/>
      <c r="F126" s="552"/>
      <c r="G126" s="553" t="s">
        <v>49</v>
      </c>
      <c r="H126" s="79"/>
      <c r="I126" s="80">
        <v>30</v>
      </c>
      <c r="J126" s="81">
        <v>34</v>
      </c>
      <c r="K126" s="81">
        <f t="shared" si="24"/>
        <v>1020</v>
      </c>
      <c r="L126" s="551"/>
      <c r="M126" s="551"/>
      <c r="N126" s="546"/>
    </row>
    <row r="127" spans="1:14" s="107" customFormat="1" ht="15" customHeight="1">
      <c r="A127" s="551"/>
      <c r="B127" s="551"/>
      <c r="C127" s="551"/>
      <c r="D127" s="551"/>
      <c r="E127" s="551"/>
      <c r="F127" s="551"/>
      <c r="G127" s="552" t="s">
        <v>19</v>
      </c>
      <c r="H127" s="79"/>
      <c r="I127" s="80">
        <v>9</v>
      </c>
      <c r="J127" s="81">
        <v>80</v>
      </c>
      <c r="K127" s="81">
        <f t="shared" si="24"/>
        <v>720</v>
      </c>
      <c r="L127" s="551"/>
      <c r="M127" s="551"/>
      <c r="N127" s="546"/>
    </row>
    <row r="128" spans="1:14" s="107" customFormat="1" ht="15" customHeight="1">
      <c r="A128" s="551"/>
      <c r="B128" s="551"/>
      <c r="C128" s="551"/>
      <c r="D128" s="551"/>
      <c r="E128" s="550" t="s">
        <v>9</v>
      </c>
      <c r="F128" s="110">
        <f>SUM(F125:F127)</f>
        <v>9547.1279999999988</v>
      </c>
      <c r="G128" s="550"/>
      <c r="H128" s="550"/>
      <c r="I128" s="125"/>
      <c r="J128" s="97"/>
      <c r="K128" s="111">
        <f>SUM(K125:K127)</f>
        <v>10100</v>
      </c>
      <c r="L128" s="111">
        <f>K128/F128</f>
        <v>1.0579097713993153</v>
      </c>
      <c r="M128" s="102"/>
      <c r="N128" s="71"/>
    </row>
    <row r="129" spans="1:14" s="107" customFormat="1" ht="15" customHeight="1">
      <c r="A129" s="552">
        <v>10307</v>
      </c>
      <c r="B129" s="552" t="s">
        <v>1111</v>
      </c>
      <c r="C129" s="89" t="s">
        <v>700</v>
      </c>
      <c r="D129" s="89" t="s">
        <v>297</v>
      </c>
      <c r="E129" s="552" t="s">
        <v>1112</v>
      </c>
      <c r="F129" s="90">
        <f>4450*1.0936</f>
        <v>4866.5199999999995</v>
      </c>
      <c r="G129" s="552" t="s">
        <v>27</v>
      </c>
      <c r="H129" s="79"/>
      <c r="I129" s="80">
        <f>176+50</f>
        <v>226</v>
      </c>
      <c r="J129" s="81">
        <v>22</v>
      </c>
      <c r="K129" s="81">
        <f t="shared" ref="K129:K131" si="25">I129*J129</f>
        <v>4972</v>
      </c>
      <c r="L129" s="551"/>
      <c r="M129" s="551"/>
      <c r="N129" s="546"/>
    </row>
    <row r="130" spans="1:14" s="107" customFormat="1" ht="15" customHeight="1">
      <c r="A130" s="551"/>
      <c r="B130" s="552"/>
      <c r="C130" s="552"/>
      <c r="D130" s="552"/>
      <c r="E130" s="552"/>
      <c r="F130" s="552"/>
      <c r="G130" s="553" t="s">
        <v>49</v>
      </c>
      <c r="H130" s="79"/>
      <c r="I130" s="80">
        <f>16+10</f>
        <v>26</v>
      </c>
      <c r="J130" s="81">
        <v>34</v>
      </c>
      <c r="K130" s="81">
        <f t="shared" si="25"/>
        <v>884</v>
      </c>
      <c r="L130" s="551"/>
      <c r="M130" s="551"/>
      <c r="N130" s="546"/>
    </row>
    <row r="131" spans="1:14" s="107" customFormat="1" ht="15" customHeight="1">
      <c r="A131" s="551"/>
      <c r="B131" s="551"/>
      <c r="C131" s="551"/>
      <c r="D131" s="551"/>
      <c r="E131" s="551"/>
      <c r="F131" s="551"/>
      <c r="G131" s="552" t="s">
        <v>19</v>
      </c>
      <c r="H131" s="79"/>
      <c r="I131" s="80">
        <f>4.8+8</f>
        <v>12.8</v>
      </c>
      <c r="J131" s="81">
        <v>80</v>
      </c>
      <c r="K131" s="81">
        <f t="shared" si="25"/>
        <v>1024</v>
      </c>
      <c r="L131" s="551"/>
      <c r="M131" s="551"/>
      <c r="N131" s="546"/>
    </row>
    <row r="132" spans="1:14" s="107" customFormat="1" ht="15" customHeight="1">
      <c r="A132" s="551"/>
      <c r="B132" s="551"/>
      <c r="C132" s="551"/>
      <c r="D132" s="551"/>
      <c r="E132" s="550" t="s">
        <v>9</v>
      </c>
      <c r="F132" s="110">
        <f>SUM(F129:F131)</f>
        <v>4866.5199999999995</v>
      </c>
      <c r="G132" s="550"/>
      <c r="H132" s="550"/>
      <c r="I132" s="125"/>
      <c r="J132" s="97"/>
      <c r="K132" s="111">
        <f>SUM(K129:K131)</f>
        <v>6880</v>
      </c>
      <c r="L132" s="111">
        <f>K132/F132</f>
        <v>1.4137412360372505</v>
      </c>
      <c r="M132" s="102"/>
      <c r="N132" s="71"/>
    </row>
    <row r="133" spans="1:14" s="107" customFormat="1" ht="15" customHeight="1">
      <c r="A133" s="552">
        <v>1037</v>
      </c>
      <c r="B133" s="552" t="s">
        <v>966</v>
      </c>
      <c r="C133" s="552" t="s">
        <v>918</v>
      </c>
      <c r="D133" s="552" t="s">
        <v>883</v>
      </c>
      <c r="E133" s="552" t="s">
        <v>127</v>
      </c>
      <c r="F133" s="87">
        <f>4530*1.0936</f>
        <v>4954.0079999999998</v>
      </c>
      <c r="G133" s="552" t="s">
        <v>27</v>
      </c>
      <c r="H133" s="79"/>
      <c r="I133" s="80">
        <v>176</v>
      </c>
      <c r="J133" s="81">
        <v>22</v>
      </c>
      <c r="K133" s="81">
        <f t="shared" ref="K133:K135" si="26">I133*J133</f>
        <v>3872</v>
      </c>
      <c r="L133" s="551"/>
      <c r="M133" s="551"/>
      <c r="N133" s="546"/>
    </row>
    <row r="134" spans="1:14" s="107" customFormat="1" ht="15" customHeight="1">
      <c r="A134" s="551"/>
      <c r="B134" s="551"/>
      <c r="C134" s="551"/>
      <c r="D134" s="551"/>
      <c r="E134" s="551"/>
      <c r="F134" s="551"/>
      <c r="G134" s="553" t="s">
        <v>49</v>
      </c>
      <c r="H134" s="79"/>
      <c r="I134" s="80">
        <v>16</v>
      </c>
      <c r="J134" s="81">
        <v>34</v>
      </c>
      <c r="K134" s="81">
        <f t="shared" si="26"/>
        <v>544</v>
      </c>
      <c r="L134" s="551"/>
      <c r="M134" s="551"/>
      <c r="N134" s="546"/>
    </row>
    <row r="135" spans="1:14" s="107" customFormat="1" ht="15" customHeight="1">
      <c r="A135" s="551"/>
      <c r="B135" s="551"/>
      <c r="C135" s="551"/>
      <c r="D135" s="551"/>
      <c r="E135" s="551"/>
      <c r="F135" s="551"/>
      <c r="G135" s="552" t="s">
        <v>19</v>
      </c>
      <c r="H135" s="79"/>
      <c r="I135" s="80">
        <v>4.8</v>
      </c>
      <c r="J135" s="81">
        <v>80</v>
      </c>
      <c r="K135" s="81">
        <f t="shared" si="26"/>
        <v>384</v>
      </c>
      <c r="L135" s="551"/>
      <c r="M135" s="551"/>
      <c r="N135" s="546"/>
    </row>
    <row r="136" spans="1:14" s="107" customFormat="1" ht="15" customHeight="1">
      <c r="A136" s="551"/>
      <c r="B136" s="551"/>
      <c r="C136" s="551"/>
      <c r="D136" s="551"/>
      <c r="E136" s="550" t="s">
        <v>9</v>
      </c>
      <c r="F136" s="110">
        <f>SUM(F133:F135)</f>
        <v>4954.0079999999998</v>
      </c>
      <c r="G136" s="550"/>
      <c r="H136" s="550"/>
      <c r="I136" s="125"/>
      <c r="J136" s="97"/>
      <c r="K136" s="111">
        <f>SUM(K133:K135)</f>
        <v>4800</v>
      </c>
      <c r="L136" s="111">
        <f>K136/F136</f>
        <v>0.96891244422697742</v>
      </c>
      <c r="M136" s="551"/>
      <c r="N136" s="546"/>
    </row>
    <row r="137" spans="1:14" s="107" customFormat="1" ht="15" customHeight="1">
      <c r="A137" s="552">
        <v>10301</v>
      </c>
      <c r="B137" s="552" t="s">
        <v>1114</v>
      </c>
      <c r="C137" s="89" t="s">
        <v>700</v>
      </c>
      <c r="D137" s="89" t="s">
        <v>297</v>
      </c>
      <c r="E137" s="552" t="s">
        <v>1143</v>
      </c>
      <c r="F137" s="222">
        <f>4400*1.0936</f>
        <v>4811.8399999999992</v>
      </c>
      <c r="G137" s="552" t="s">
        <v>27</v>
      </c>
      <c r="H137" s="79"/>
      <c r="I137" s="80">
        <v>380</v>
      </c>
      <c r="J137" s="81">
        <v>22</v>
      </c>
      <c r="K137" s="81">
        <f t="shared" ref="K137:K139" si="27">I137*J137</f>
        <v>8360</v>
      </c>
      <c r="L137" s="551"/>
      <c r="M137" s="551"/>
      <c r="N137" s="546"/>
    </row>
    <row r="138" spans="1:14" s="107" customFormat="1" ht="15" customHeight="1">
      <c r="A138" s="551"/>
      <c r="B138" s="552"/>
      <c r="C138" s="552"/>
      <c r="D138" s="552"/>
      <c r="E138" s="552"/>
      <c r="F138" s="552"/>
      <c r="G138" s="553" t="s">
        <v>49</v>
      </c>
      <c r="H138" s="79"/>
      <c r="I138" s="80">
        <v>30</v>
      </c>
      <c r="J138" s="81">
        <v>34</v>
      </c>
      <c r="K138" s="81">
        <f t="shared" si="27"/>
        <v>1020</v>
      </c>
      <c r="L138" s="551"/>
      <c r="M138" s="551"/>
      <c r="N138" s="546"/>
    </row>
    <row r="139" spans="1:14" s="107" customFormat="1" ht="15" customHeight="1">
      <c r="A139" s="551"/>
      <c r="B139" s="551"/>
      <c r="C139" s="551"/>
      <c r="D139" s="551"/>
      <c r="E139" s="551"/>
      <c r="F139" s="551"/>
      <c r="G139" s="552" t="s">
        <v>19</v>
      </c>
      <c r="H139" s="79"/>
      <c r="I139" s="80">
        <v>9</v>
      </c>
      <c r="J139" s="81">
        <v>80</v>
      </c>
      <c r="K139" s="81">
        <f t="shared" si="27"/>
        <v>720</v>
      </c>
      <c r="L139" s="551"/>
      <c r="M139" s="551"/>
      <c r="N139" s="546"/>
    </row>
    <row r="140" spans="1:14" s="107" customFormat="1" ht="15" customHeight="1">
      <c r="A140" s="551"/>
      <c r="B140" s="551"/>
      <c r="C140" s="551"/>
      <c r="D140" s="551"/>
      <c r="E140" s="550" t="s">
        <v>9</v>
      </c>
      <c r="F140" s="110">
        <f>SUM(F137:F139)</f>
        <v>4811.8399999999992</v>
      </c>
      <c r="G140" s="550"/>
      <c r="H140" s="550"/>
      <c r="I140" s="125"/>
      <c r="J140" s="97"/>
      <c r="K140" s="111">
        <f>SUM(K137:K139)</f>
        <v>10100</v>
      </c>
      <c r="L140" s="111">
        <f>K140/F140</f>
        <v>2.0989891600718233</v>
      </c>
      <c r="M140" s="551"/>
      <c r="N140" s="546"/>
    </row>
    <row r="141" spans="1:14" s="107" customFormat="1" ht="15" customHeight="1">
      <c r="A141" s="551">
        <v>10301</v>
      </c>
      <c r="B141" s="552" t="s">
        <v>998</v>
      </c>
      <c r="C141" s="552" t="s">
        <v>792</v>
      </c>
      <c r="D141" s="552" t="s">
        <v>999</v>
      </c>
      <c r="E141" s="552" t="s">
        <v>1072</v>
      </c>
      <c r="F141" s="90">
        <f>10000*1.0936</f>
        <v>10935.999999999998</v>
      </c>
      <c r="G141" s="552" t="s">
        <v>27</v>
      </c>
      <c r="H141" s="79"/>
      <c r="I141" s="80">
        <v>50</v>
      </c>
      <c r="J141" s="81">
        <v>22</v>
      </c>
      <c r="K141" s="81">
        <f t="shared" ref="K141:K145" si="28">I141*J141</f>
        <v>1100</v>
      </c>
      <c r="L141" s="551"/>
      <c r="M141" s="551"/>
      <c r="N141" s="546"/>
    </row>
    <row r="142" spans="1:14" s="107" customFormat="1" ht="15" customHeight="1">
      <c r="A142" s="551"/>
      <c r="B142" s="551"/>
      <c r="C142" s="551"/>
      <c r="D142" s="551"/>
      <c r="E142" s="551"/>
      <c r="F142" s="551"/>
      <c r="G142" s="553" t="s">
        <v>49</v>
      </c>
      <c r="H142" s="79"/>
      <c r="I142" s="80">
        <v>13</v>
      </c>
      <c r="J142" s="81">
        <v>34</v>
      </c>
      <c r="K142" s="81">
        <f t="shared" si="28"/>
        <v>442</v>
      </c>
      <c r="L142" s="551"/>
      <c r="M142" s="551"/>
      <c r="N142" s="546"/>
    </row>
    <row r="143" spans="1:14" s="107" customFormat="1" ht="15" customHeight="1">
      <c r="A143" s="551"/>
      <c r="B143" s="551"/>
      <c r="C143" s="551"/>
      <c r="D143" s="551"/>
      <c r="E143" s="551"/>
      <c r="F143" s="551"/>
      <c r="G143" s="552" t="s">
        <v>19</v>
      </c>
      <c r="H143" s="79"/>
      <c r="I143" s="80">
        <v>15</v>
      </c>
      <c r="J143" s="81">
        <v>80</v>
      </c>
      <c r="K143" s="81">
        <f t="shared" si="28"/>
        <v>1200</v>
      </c>
      <c r="L143" s="551"/>
      <c r="M143" s="551"/>
      <c r="N143" s="546"/>
    </row>
    <row r="144" spans="1:14" s="107" customFormat="1" ht="15" customHeight="1">
      <c r="A144" s="551"/>
      <c r="B144" s="551"/>
      <c r="C144" s="551"/>
      <c r="D144" s="551"/>
      <c r="E144" s="551"/>
      <c r="F144" s="551"/>
      <c r="G144" s="95" t="s">
        <v>185</v>
      </c>
      <c r="H144" s="79"/>
      <c r="I144" s="96">
        <v>5</v>
      </c>
      <c r="J144" s="81">
        <v>490</v>
      </c>
      <c r="K144" s="81">
        <f t="shared" si="28"/>
        <v>2450</v>
      </c>
      <c r="L144" s="551"/>
      <c r="M144" s="551"/>
      <c r="N144" s="546"/>
    </row>
    <row r="145" spans="1:14" s="107" customFormat="1" ht="15" customHeight="1">
      <c r="A145" s="551"/>
      <c r="B145" s="551"/>
      <c r="C145" s="551"/>
      <c r="D145" s="551"/>
      <c r="E145" s="551"/>
      <c r="F145" s="551"/>
      <c r="G145" s="552" t="s">
        <v>28</v>
      </c>
      <c r="H145" s="79"/>
      <c r="I145" s="80">
        <v>75</v>
      </c>
      <c r="J145" s="81">
        <v>17</v>
      </c>
      <c r="K145" s="81">
        <f t="shared" si="28"/>
        <v>1275</v>
      </c>
      <c r="L145" s="79"/>
      <c r="M145" s="551"/>
      <c r="N145" s="546"/>
    </row>
    <row r="146" spans="1:14" s="107" customFormat="1" ht="15" customHeight="1">
      <c r="A146" s="551"/>
      <c r="B146" s="551"/>
      <c r="C146" s="551"/>
      <c r="D146" s="551"/>
      <c r="E146" s="550" t="s">
        <v>9</v>
      </c>
      <c r="F146" s="110">
        <f>SUM(F141:F145)</f>
        <v>10935.999999999998</v>
      </c>
      <c r="G146" s="550"/>
      <c r="H146" s="550"/>
      <c r="I146" s="125"/>
      <c r="J146" s="97"/>
      <c r="K146" s="111">
        <f>SUM(K141:K145)</f>
        <v>6467</v>
      </c>
      <c r="L146" s="111">
        <f>K146/F146</f>
        <v>0.59134967081199719</v>
      </c>
      <c r="M146" s="551"/>
      <c r="N146" s="546"/>
    </row>
    <row r="147" spans="1:14" s="107" customFormat="1" ht="15" customHeight="1">
      <c r="A147" s="548"/>
      <c r="B147" s="548"/>
      <c r="C147" s="548"/>
      <c r="D147" s="126" t="s">
        <v>30</v>
      </c>
      <c r="E147" s="142"/>
      <c r="F147" s="127">
        <f>F128+F132+F136+F140+F146</f>
        <v>35115.495999999992</v>
      </c>
      <c r="G147" s="128"/>
      <c r="H147" s="128"/>
      <c r="I147" s="128"/>
      <c r="J147" s="128"/>
      <c r="K147" s="127">
        <f>K128+K132+K136+K140+K146</f>
        <v>38347</v>
      </c>
      <c r="L147" s="129">
        <f>K147/F147</f>
        <v>1.0920250136862657</v>
      </c>
      <c r="M147" s="131"/>
      <c r="N147" s="71"/>
    </row>
    <row r="148" spans="1:14" s="71" customFormat="1" ht="15.95" customHeight="1">
      <c r="A148" s="70" t="s">
        <v>11</v>
      </c>
      <c r="B148" s="70"/>
      <c r="C148" s="70"/>
      <c r="D148" s="70"/>
      <c r="E148" s="70"/>
      <c r="K148" s="824" t="s">
        <v>1130</v>
      </c>
      <c r="L148" s="824"/>
      <c r="M148" s="824"/>
    </row>
    <row r="149" spans="1:14" s="71" customFormat="1" ht="15.95" customHeight="1">
      <c r="A149" s="550" t="s">
        <v>0</v>
      </c>
      <c r="B149" s="550" t="s">
        <v>7</v>
      </c>
      <c r="C149" s="550" t="s">
        <v>13</v>
      </c>
      <c r="D149" s="550" t="s">
        <v>14</v>
      </c>
      <c r="E149" s="550" t="s">
        <v>8</v>
      </c>
      <c r="F149" s="550" t="s">
        <v>1</v>
      </c>
      <c r="G149" s="550" t="s">
        <v>2</v>
      </c>
      <c r="H149" s="550" t="s">
        <v>15</v>
      </c>
      <c r="I149" s="550" t="s">
        <v>3</v>
      </c>
      <c r="J149" s="550" t="s">
        <v>4</v>
      </c>
      <c r="K149" s="550" t="s">
        <v>5</v>
      </c>
      <c r="L149" s="550" t="s">
        <v>12</v>
      </c>
      <c r="M149" s="550" t="s">
        <v>6</v>
      </c>
    </row>
    <row r="150" spans="1:14" s="71" customFormat="1" ht="15.95" customHeight="1">
      <c r="A150" s="552">
        <v>970</v>
      </c>
      <c r="B150" s="552" t="s">
        <v>945</v>
      </c>
      <c r="C150" s="552" t="s">
        <v>513</v>
      </c>
      <c r="D150" s="552" t="s">
        <v>74</v>
      </c>
      <c r="E150" s="552" t="s">
        <v>232</v>
      </c>
      <c r="F150" s="87">
        <f>1550*1.0936</f>
        <v>1695.08</v>
      </c>
      <c r="G150" s="173" t="s">
        <v>298</v>
      </c>
      <c r="H150" s="79"/>
      <c r="I150" s="80">
        <v>5</v>
      </c>
      <c r="J150" s="81">
        <v>435</v>
      </c>
      <c r="K150" s="94">
        <f t="shared" ref="K150:K152" si="29">I150*J150</f>
        <v>2175</v>
      </c>
      <c r="L150" s="102"/>
      <c r="M150" s="102"/>
    </row>
    <row r="151" spans="1:14" s="71" customFormat="1" ht="15.95" customHeight="1">
      <c r="A151" s="551"/>
      <c r="B151" s="551"/>
      <c r="C151" s="551"/>
      <c r="D151" s="551"/>
      <c r="E151" s="551"/>
      <c r="F151" s="98"/>
      <c r="G151" s="552" t="s">
        <v>202</v>
      </c>
      <c r="H151" s="79"/>
      <c r="I151" s="188">
        <v>1</v>
      </c>
      <c r="J151" s="81">
        <v>386</v>
      </c>
      <c r="K151" s="81">
        <f t="shared" si="29"/>
        <v>386</v>
      </c>
      <c r="L151" s="102"/>
      <c r="M151" s="102"/>
    </row>
    <row r="152" spans="1:14" s="71" customFormat="1" ht="15.95" customHeight="1">
      <c r="A152" s="551"/>
      <c r="B152" s="551"/>
      <c r="C152" s="551"/>
      <c r="D152" s="551"/>
      <c r="E152" s="550"/>
      <c r="F152" s="110"/>
      <c r="G152" s="173" t="s">
        <v>799</v>
      </c>
      <c r="H152" s="79"/>
      <c r="I152" s="188">
        <v>12.5</v>
      </c>
      <c r="J152" s="81">
        <v>350</v>
      </c>
      <c r="K152" s="94">
        <f t="shared" si="29"/>
        <v>4375</v>
      </c>
      <c r="L152" s="102"/>
      <c r="M152" s="102"/>
    </row>
    <row r="153" spans="1:14" s="71" customFormat="1" ht="15.95" customHeight="1">
      <c r="A153" s="550"/>
      <c r="B153" s="550"/>
      <c r="C153" s="317"/>
      <c r="D153" s="317"/>
      <c r="E153" s="317"/>
      <c r="G153" s="553" t="s">
        <v>798</v>
      </c>
      <c r="H153" s="79"/>
      <c r="I153" s="81">
        <v>4</v>
      </c>
      <c r="J153" s="81">
        <v>248</v>
      </c>
      <c r="K153" s="81">
        <f>I153*J153</f>
        <v>992</v>
      </c>
      <c r="L153" s="79"/>
      <c r="M153" s="545"/>
    </row>
    <row r="154" spans="1:14" s="71" customFormat="1" ht="15.95" customHeight="1">
      <c r="A154" s="550"/>
      <c r="B154" s="550"/>
      <c r="C154" s="317"/>
      <c r="D154" s="317"/>
      <c r="E154" s="550" t="s">
        <v>9</v>
      </c>
      <c r="F154" s="110">
        <f>SUM(F150:F153)</f>
        <v>1695.08</v>
      </c>
      <c r="G154" s="550"/>
      <c r="H154" s="550"/>
      <c r="I154" s="125"/>
      <c r="J154" s="97"/>
      <c r="K154" s="111">
        <f>SUM(K150:K153)</f>
        <v>7928</v>
      </c>
      <c r="L154" s="111">
        <f>K154/F154</f>
        <v>4.6770653892441656</v>
      </c>
      <c r="M154" s="545"/>
    </row>
    <row r="155" spans="1:14" s="71" customFormat="1" ht="15.95" customHeight="1">
      <c r="A155" s="545"/>
      <c r="B155" s="545"/>
      <c r="C155" s="70"/>
      <c r="D155" s="560" t="s">
        <v>30</v>
      </c>
      <c r="E155" s="560"/>
      <c r="F155" s="127">
        <f>F154</f>
        <v>1695.08</v>
      </c>
      <c r="G155" s="128"/>
      <c r="H155" s="128"/>
      <c r="I155" s="128"/>
      <c r="J155" s="128"/>
      <c r="K155" s="127">
        <f>K154</f>
        <v>7928</v>
      </c>
      <c r="L155" s="129">
        <f>K155/F155</f>
        <v>4.6770653892441656</v>
      </c>
      <c r="M155" s="545"/>
    </row>
    <row r="156" spans="1:14" s="71" customFormat="1" ht="15.95" customHeight="1">
      <c r="A156" s="70" t="s">
        <v>42</v>
      </c>
      <c r="B156" s="70"/>
      <c r="C156" s="70"/>
      <c r="D156" s="70"/>
      <c r="E156" s="70"/>
      <c r="K156" s="824" t="s">
        <v>1130</v>
      </c>
      <c r="L156" s="824"/>
      <c r="M156" s="824"/>
      <c r="N156" s="123"/>
    </row>
    <row r="157" spans="1:14" s="71" customFormat="1" ht="15.95" customHeight="1">
      <c r="A157" s="550" t="s">
        <v>0</v>
      </c>
      <c r="B157" s="550" t="s">
        <v>7</v>
      </c>
      <c r="C157" s="550" t="s">
        <v>13</v>
      </c>
      <c r="D157" s="550" t="s">
        <v>14</v>
      </c>
      <c r="E157" s="550" t="s">
        <v>8</v>
      </c>
      <c r="F157" s="550" t="s">
        <v>1</v>
      </c>
      <c r="G157" s="550" t="s">
        <v>2</v>
      </c>
      <c r="H157" s="550" t="s">
        <v>15</v>
      </c>
      <c r="I157" s="550" t="s">
        <v>3</v>
      </c>
      <c r="J157" s="550" t="s">
        <v>4</v>
      </c>
      <c r="K157" s="550" t="s">
        <v>5</v>
      </c>
      <c r="L157" s="550" t="s">
        <v>12</v>
      </c>
      <c r="M157" s="550" t="s">
        <v>6</v>
      </c>
      <c r="N157" s="123"/>
    </row>
    <row r="158" spans="1:14" s="71" customFormat="1" ht="15.95" customHeight="1">
      <c r="A158" s="552"/>
      <c r="B158" s="552"/>
      <c r="C158" s="552"/>
      <c r="D158" s="552"/>
      <c r="E158" s="552"/>
      <c r="F158" s="87"/>
      <c r="G158" s="91" t="s">
        <v>209</v>
      </c>
      <c r="H158" s="79"/>
      <c r="I158" s="80"/>
      <c r="J158" s="81">
        <v>350</v>
      </c>
      <c r="K158" s="81">
        <f t="shared" ref="K158:K162" si="30">I158*J158</f>
        <v>0</v>
      </c>
      <c r="L158" s="102"/>
      <c r="M158" s="102"/>
    </row>
    <row r="159" spans="1:14" s="71" customFormat="1" ht="15.95" customHeight="1">
      <c r="A159" s="552"/>
      <c r="B159" s="552"/>
      <c r="C159" s="552"/>
      <c r="D159" s="552"/>
      <c r="E159" s="552"/>
      <c r="F159" s="87"/>
      <c r="G159" s="91" t="s">
        <v>272</v>
      </c>
      <c r="H159" s="109"/>
      <c r="I159" s="80"/>
      <c r="J159" s="81">
        <v>700</v>
      </c>
      <c r="K159" s="81">
        <f t="shared" si="30"/>
        <v>0</v>
      </c>
      <c r="L159" s="102"/>
      <c r="M159" s="102"/>
    </row>
    <row r="160" spans="1:14" s="71" customFormat="1" ht="15.95" customHeight="1">
      <c r="A160" s="551"/>
      <c r="B160" s="551"/>
      <c r="C160" s="551"/>
      <c r="D160" s="551"/>
      <c r="E160" s="551"/>
      <c r="F160" s="98"/>
      <c r="G160" s="91" t="s">
        <v>228</v>
      </c>
      <c r="H160" s="109"/>
      <c r="I160" s="80"/>
      <c r="J160" s="81">
        <v>549</v>
      </c>
      <c r="K160" s="81">
        <f t="shared" si="30"/>
        <v>0</v>
      </c>
      <c r="L160" s="102"/>
      <c r="M160" s="102"/>
    </row>
    <row r="161" spans="1:13" s="71" customFormat="1" ht="15.95" customHeight="1">
      <c r="A161" s="551"/>
      <c r="B161" s="551"/>
      <c r="C161" s="551"/>
      <c r="D161" s="551"/>
      <c r="E161" s="551"/>
      <c r="F161" s="98"/>
      <c r="G161" s="91" t="s">
        <v>311</v>
      </c>
      <c r="H161" s="109"/>
      <c r="I161" s="80"/>
      <c r="J161" s="81">
        <v>347</v>
      </c>
      <c r="K161" s="81">
        <f t="shared" si="30"/>
        <v>0</v>
      </c>
      <c r="L161" s="102"/>
      <c r="M161" s="102"/>
    </row>
    <row r="162" spans="1:13" s="71" customFormat="1" ht="15.95" customHeight="1">
      <c r="A162" s="551"/>
      <c r="B162" s="551"/>
      <c r="C162" s="551"/>
      <c r="D162" s="551"/>
      <c r="E162" s="551"/>
      <c r="F162" s="98"/>
      <c r="G162" s="91" t="s">
        <v>216</v>
      </c>
      <c r="H162" s="112"/>
      <c r="I162" s="113"/>
      <c r="J162" s="81">
        <v>352</v>
      </c>
      <c r="K162" s="81">
        <f t="shared" si="30"/>
        <v>0</v>
      </c>
      <c r="L162" s="102"/>
      <c r="M162" s="102"/>
    </row>
    <row r="163" spans="1:13" s="71" customFormat="1" ht="15.95" customHeight="1">
      <c r="A163" s="551"/>
      <c r="B163" s="551"/>
      <c r="C163" s="551"/>
      <c r="D163" s="551"/>
      <c r="E163" s="551"/>
      <c r="F163" s="98"/>
      <c r="G163" s="91" t="s">
        <v>335</v>
      </c>
      <c r="H163" s="79"/>
      <c r="I163" s="80"/>
      <c r="J163" s="81">
        <v>401</v>
      </c>
      <c r="K163" s="196">
        <f t="shared" ref="K163:K164" si="31">I163*J163</f>
        <v>0</v>
      </c>
      <c r="L163" s="102"/>
      <c r="M163" s="102"/>
    </row>
    <row r="164" spans="1:13" s="71" customFormat="1" ht="15.95" customHeight="1">
      <c r="A164" s="551"/>
      <c r="B164" s="551"/>
      <c r="C164" s="551"/>
      <c r="D164" s="551"/>
      <c r="E164" s="551"/>
      <c r="F164" s="98"/>
      <c r="G164" s="91" t="s">
        <v>328</v>
      </c>
      <c r="H164" s="109"/>
      <c r="I164" s="80"/>
      <c r="J164" s="81">
        <v>680</v>
      </c>
      <c r="K164" s="81">
        <f t="shared" si="31"/>
        <v>0</v>
      </c>
      <c r="L164" s="102"/>
      <c r="M164" s="102"/>
    </row>
    <row r="165" spans="1:13" s="71" customFormat="1" ht="15.95" customHeight="1">
      <c r="A165" s="551"/>
      <c r="B165" s="551"/>
      <c r="C165" s="551"/>
      <c r="D165" s="551"/>
      <c r="E165" s="550"/>
      <c r="F165" s="110"/>
      <c r="G165" s="553" t="s">
        <v>211</v>
      </c>
      <c r="H165" s="79"/>
      <c r="I165" s="80"/>
      <c r="J165" s="81">
        <v>120</v>
      </c>
      <c r="K165" s="81">
        <f>I165*J165</f>
        <v>0</v>
      </c>
      <c r="L165" s="102"/>
      <c r="M165" s="102"/>
    </row>
    <row r="166" spans="1:13" s="71" customFormat="1" ht="15.95" customHeight="1">
      <c r="A166" s="551"/>
      <c r="B166" s="551"/>
      <c r="C166" s="551"/>
      <c r="D166" s="551"/>
      <c r="E166" s="551"/>
      <c r="F166" s="98"/>
      <c r="G166" s="553" t="s">
        <v>212</v>
      </c>
      <c r="H166" s="79"/>
      <c r="I166" s="80"/>
      <c r="J166" s="81">
        <v>280</v>
      </c>
      <c r="K166" s="81">
        <f t="shared" ref="K166:K168" si="32">I166*J166</f>
        <v>0</v>
      </c>
      <c r="L166" s="102"/>
      <c r="M166" s="102"/>
    </row>
    <row r="167" spans="1:13" s="71" customFormat="1" ht="15.95" customHeight="1">
      <c r="A167" s="551"/>
      <c r="B167" s="551"/>
      <c r="C167" s="551"/>
      <c r="D167" s="551"/>
      <c r="E167" s="551"/>
      <c r="F167" s="98"/>
      <c r="G167" s="553" t="s">
        <v>213</v>
      </c>
      <c r="H167" s="79"/>
      <c r="I167" s="80"/>
      <c r="J167" s="81">
        <v>348</v>
      </c>
      <c r="K167" s="81">
        <f t="shared" si="32"/>
        <v>0</v>
      </c>
      <c r="L167" s="102"/>
      <c r="M167" s="102"/>
    </row>
    <row r="168" spans="1:13" s="71" customFormat="1" ht="15.95" customHeight="1">
      <c r="A168" s="551"/>
      <c r="B168" s="551"/>
      <c r="C168" s="551"/>
      <c r="D168" s="551"/>
      <c r="E168" s="551"/>
      <c r="F168" s="98"/>
      <c r="G168" s="553" t="s">
        <v>45</v>
      </c>
      <c r="H168" s="79"/>
      <c r="I168" s="80"/>
      <c r="J168" s="81">
        <v>45</v>
      </c>
      <c r="K168" s="81">
        <f t="shared" si="32"/>
        <v>0</v>
      </c>
      <c r="L168" s="102"/>
      <c r="M168" s="102"/>
    </row>
    <row r="169" spans="1:13" s="71" customFormat="1" ht="15.95" customHeight="1">
      <c r="A169" s="551"/>
      <c r="B169" s="551"/>
      <c r="C169" s="551"/>
      <c r="D169" s="551"/>
      <c r="E169" s="550" t="s">
        <v>9</v>
      </c>
      <c r="F169" s="110">
        <f>SUM(F158:F168)</f>
        <v>0</v>
      </c>
      <c r="G169" s="550"/>
      <c r="H169" s="550"/>
      <c r="I169" s="97"/>
      <c r="J169" s="97"/>
      <c r="K169" s="111">
        <f>SUM(K158:K168)</f>
        <v>0</v>
      </c>
      <c r="L169" s="111" t="e">
        <f>K169/F169</f>
        <v>#DIV/0!</v>
      </c>
      <c r="M169" s="102"/>
    </row>
    <row r="170" spans="1:13" s="71" customFormat="1" ht="15.95" customHeight="1">
      <c r="D170" s="126" t="s">
        <v>30</v>
      </c>
      <c r="E170" s="126"/>
      <c r="F170" s="127">
        <f>F169</f>
        <v>0</v>
      </c>
      <c r="G170" s="128"/>
      <c r="H170" s="128"/>
      <c r="I170" s="128"/>
      <c r="J170" s="128"/>
      <c r="K170" s="127">
        <f>K169</f>
        <v>0</v>
      </c>
      <c r="L170" s="129" t="e">
        <f>K170/F170</f>
        <v>#DIV/0!</v>
      </c>
    </row>
    <row r="171" spans="1:13" s="71" customFormat="1" ht="15" customHeight="1"/>
    <row r="172" spans="1:13" s="71" customFormat="1" ht="15" customHeight="1"/>
    <row r="173" spans="1:13" s="71" customFormat="1" ht="15" customHeight="1">
      <c r="B173" s="107"/>
      <c r="C173" s="107"/>
      <c r="D173" s="133" t="s">
        <v>1009</v>
      </c>
      <c r="E173" s="405">
        <f>F122+F170</f>
        <v>27443.892000000003</v>
      </c>
      <c r="F173" s="133"/>
      <c r="G173" s="134">
        <f>K14+K23+K35+K42+K122+K147+K155+K170</f>
        <v>267582.897</v>
      </c>
      <c r="H173" s="135"/>
      <c r="I173" s="135"/>
      <c r="J173" s="135"/>
      <c r="K173" s="135"/>
      <c r="L173" s="134">
        <f>G173/E173</f>
        <v>9.7501803680031962</v>
      </c>
    </row>
    <row r="174" spans="1:13" s="71" customFormat="1" ht="15" customHeight="1">
      <c r="B174" s="107"/>
      <c r="C174" s="107"/>
      <c r="D174" s="109" t="s">
        <v>855</v>
      </c>
      <c r="E174" s="406"/>
      <c r="F174" s="109"/>
      <c r="G174" s="359">
        <f>K45+K46+K47+K51+K52+K53+K54+K58+K59+K60+K64+K65+K66+K71+K75+K76+K77+K81+K82+K83+K87+K88+K89+K93+K94+K95+K104+K105+K106+K110+K111+K112+K116+K117+K96+K118+K97+K98+K99+K100</f>
        <v>120287.93699999996</v>
      </c>
      <c r="H174" s="370"/>
      <c r="I174" s="359">
        <f>'15'!I230+'16'!G174</f>
        <v>1204161.4840000002</v>
      </c>
      <c r="J174" s="438">
        <f>G174+M187</f>
        <v>152304.29899999997</v>
      </c>
      <c r="K174" s="360"/>
      <c r="L174" s="396"/>
    </row>
    <row r="175" spans="1:13" s="71" customFormat="1" ht="15" customHeight="1">
      <c r="B175" s="107"/>
      <c r="C175" s="107"/>
      <c r="D175" s="323" t="s">
        <v>854</v>
      </c>
      <c r="E175" s="361"/>
      <c r="F175" s="323"/>
      <c r="G175" s="397">
        <f>G173-G174</f>
        <v>147294.96000000002</v>
      </c>
      <c r="H175" s="398"/>
      <c r="I175" s="359">
        <f>'15'!I231+'16'!G175</f>
        <v>2689752.0809999998</v>
      </c>
      <c r="J175" s="400"/>
      <c r="K175" s="400"/>
      <c r="L175" s="401"/>
    </row>
    <row r="176" spans="1:13" s="71" customFormat="1" ht="15" customHeight="1">
      <c r="B176" s="107"/>
      <c r="C176" s="107"/>
      <c r="D176" s="109" t="s">
        <v>853</v>
      </c>
      <c r="E176" s="407"/>
      <c r="F176" s="109"/>
      <c r="G176" s="410">
        <f>SUM(G174:G175)</f>
        <v>267582.897</v>
      </c>
      <c r="H176" s="402"/>
      <c r="I176" s="403">
        <f>'01'!G234+'02'!G281+'03'!G374+'04'!G284</f>
        <v>0</v>
      </c>
      <c r="J176" s="402"/>
      <c r="K176" s="402"/>
      <c r="L176" s="404">
        <f>G176/E173</f>
        <v>9.7501803680031962</v>
      </c>
    </row>
    <row r="177" spans="1:13" s="71" customFormat="1" ht="15" customHeight="1">
      <c r="B177" s="107"/>
      <c r="C177" s="107"/>
      <c r="D177" s="395" t="s">
        <v>906</v>
      </c>
      <c r="E177" s="408"/>
      <c r="F177" s="109"/>
      <c r="G177" s="409">
        <f>M187</f>
        <v>32016.362000000001</v>
      </c>
      <c r="H177" s="392"/>
      <c r="I177" s="391"/>
      <c r="J177" s="391"/>
      <c r="K177" s="393"/>
    </row>
    <row r="178" spans="1:13" s="71" customFormat="1" ht="15" customHeight="1">
      <c r="B178" s="107"/>
      <c r="C178" s="107"/>
      <c r="D178" s="106"/>
      <c r="E178" s="106"/>
      <c r="F178" s="106"/>
      <c r="G178" s="106"/>
      <c r="H178" s="246"/>
      <c r="I178" s="106"/>
      <c r="J178" s="106"/>
      <c r="K178" s="106"/>
      <c r="L178" s="106"/>
    </row>
    <row r="179" spans="1:13" s="71" customFormat="1" ht="15" customHeight="1">
      <c r="B179" s="107"/>
      <c r="C179" s="107"/>
      <c r="D179" s="829" t="s">
        <v>852</v>
      </c>
      <c r="E179" s="829"/>
      <c r="F179" s="357">
        <f>G187+G188+G189+G190</f>
        <v>81460</v>
      </c>
      <c r="G179" s="106"/>
      <c r="H179" s="500" t="s">
        <v>908</v>
      </c>
      <c r="I179" s="830" t="s">
        <v>196</v>
      </c>
      <c r="J179" s="831"/>
      <c r="K179" s="80">
        <f>0.375</f>
        <v>0.375</v>
      </c>
      <c r="L179" s="81">
        <v>530</v>
      </c>
      <c r="M179" s="81">
        <f t="shared" ref="M179:M185" si="33">K179*L179</f>
        <v>198.75</v>
      </c>
    </row>
    <row r="180" spans="1:13" s="71" customFormat="1" ht="15" customHeight="1">
      <c r="B180" s="107"/>
      <c r="C180" s="107"/>
      <c r="D180" s="829" t="s">
        <v>835</v>
      </c>
      <c r="E180" s="829"/>
      <c r="F180" s="357">
        <f>G185+G186</f>
        <v>0</v>
      </c>
      <c r="G180" s="106"/>
      <c r="H180" s="500" t="s">
        <v>909</v>
      </c>
      <c r="I180" s="832" t="s">
        <v>183</v>
      </c>
      <c r="J180" s="833"/>
      <c r="K180" s="80">
        <v>0.5</v>
      </c>
      <c r="L180" s="81">
        <v>888</v>
      </c>
      <c r="M180" s="81">
        <f t="shared" si="33"/>
        <v>444</v>
      </c>
    </row>
    <row r="181" spans="1:13" s="71" customFormat="1" ht="15" customHeight="1">
      <c r="B181" s="107"/>
      <c r="C181" s="107"/>
      <c r="D181" s="829" t="s">
        <v>836</v>
      </c>
      <c r="E181" s="829"/>
      <c r="F181" s="357">
        <f>SUM(F179:F180)</f>
        <v>81460</v>
      </c>
      <c r="G181" s="106"/>
      <c r="H181" s="500" t="s">
        <v>910</v>
      </c>
      <c r="I181" s="834" t="s">
        <v>315</v>
      </c>
      <c r="J181" s="835"/>
      <c r="K181" s="80">
        <f>12.5+1.5</f>
        <v>14</v>
      </c>
      <c r="L181" s="81">
        <v>2184</v>
      </c>
      <c r="M181" s="81">
        <f t="shared" si="33"/>
        <v>30576</v>
      </c>
    </row>
    <row r="182" spans="1:13" s="71" customFormat="1" ht="15" customHeight="1">
      <c r="B182" s="107"/>
      <c r="C182" s="107"/>
      <c r="D182" s="547" t="s">
        <v>847</v>
      </c>
      <c r="E182" s="547"/>
      <c r="F182" s="357">
        <f>F179-G175</f>
        <v>-65834.960000000021</v>
      </c>
      <c r="G182" s="106"/>
      <c r="H182" s="500" t="s">
        <v>908</v>
      </c>
      <c r="I182" s="832" t="s">
        <v>460</v>
      </c>
      <c r="J182" s="833"/>
      <c r="K182" s="80">
        <v>0.2</v>
      </c>
      <c r="L182" s="81">
        <v>920</v>
      </c>
      <c r="M182" s="81">
        <f t="shared" si="33"/>
        <v>184</v>
      </c>
    </row>
    <row r="183" spans="1:13" s="71" customFormat="1" ht="15" customHeight="1">
      <c r="B183" s="107"/>
      <c r="C183" s="107"/>
      <c r="D183" s="106"/>
      <c r="E183" s="106"/>
      <c r="F183" s="106"/>
      <c r="G183" s="106"/>
      <c r="H183" s="500" t="s">
        <v>912</v>
      </c>
      <c r="I183" s="832" t="s">
        <v>405</v>
      </c>
      <c r="J183" s="833"/>
      <c r="K183" s="80">
        <v>4.4999999999999998E-2</v>
      </c>
      <c r="L183" s="81">
        <v>1708</v>
      </c>
      <c r="M183" s="81">
        <f t="shared" si="33"/>
        <v>76.86</v>
      </c>
    </row>
    <row r="184" spans="1:13" s="71" customFormat="1" ht="15" customHeight="1">
      <c r="B184" s="836" t="s">
        <v>833</v>
      </c>
      <c r="C184" s="837"/>
      <c r="D184" s="273" t="s">
        <v>844</v>
      </c>
      <c r="E184" s="273" t="s">
        <v>845</v>
      </c>
      <c r="F184" s="273" t="s">
        <v>846</v>
      </c>
      <c r="G184" s="273" t="s">
        <v>5</v>
      </c>
      <c r="H184" s="500" t="s">
        <v>911</v>
      </c>
      <c r="I184" s="830" t="s">
        <v>926</v>
      </c>
      <c r="J184" s="831"/>
      <c r="K184" s="80">
        <v>0.21099999999999999</v>
      </c>
      <c r="L184" s="81">
        <v>2152</v>
      </c>
      <c r="M184" s="81">
        <f t="shared" si="33"/>
        <v>454.072</v>
      </c>
    </row>
    <row r="185" spans="1:13" s="71" customFormat="1" ht="15" customHeight="1">
      <c r="B185" s="107"/>
      <c r="C185" s="107"/>
      <c r="D185" s="273" t="s">
        <v>837</v>
      </c>
      <c r="E185" s="109">
        <v>15.5</v>
      </c>
      <c r="F185" s="332"/>
      <c r="G185" s="329">
        <f>F185*E185</f>
        <v>0</v>
      </c>
      <c r="H185" s="500" t="s">
        <v>909</v>
      </c>
      <c r="I185" s="830" t="s">
        <v>279</v>
      </c>
      <c r="J185" s="831"/>
      <c r="K185" s="102">
        <v>0.12</v>
      </c>
      <c r="L185" s="81">
        <v>689</v>
      </c>
      <c r="M185" s="144">
        <f t="shared" si="33"/>
        <v>82.679999999999993</v>
      </c>
    </row>
    <row r="186" spans="1:13" s="71" customFormat="1" ht="15" customHeight="1">
      <c r="B186" s="107"/>
      <c r="C186" s="107"/>
      <c r="D186" s="273" t="s">
        <v>849</v>
      </c>
      <c r="E186" s="109">
        <v>34</v>
      </c>
      <c r="F186" s="332"/>
      <c r="G186" s="329">
        <f t="shared" ref="G186:G193" si="34">F186*E186</f>
        <v>0</v>
      </c>
      <c r="H186" s="500" t="s">
        <v>911</v>
      </c>
      <c r="I186" s="847"/>
      <c r="J186" s="848"/>
      <c r="K186" s="109"/>
      <c r="L186" s="109"/>
      <c r="M186" s="102"/>
    </row>
    <row r="187" spans="1:13" s="71" customFormat="1" ht="15" customHeight="1">
      <c r="A187" s="546"/>
      <c r="B187" s="106"/>
      <c r="C187" s="106"/>
      <c r="D187" s="322" t="s">
        <v>843</v>
      </c>
      <c r="E187" s="317"/>
      <c r="F187" s="321">
        <f>SUM(F185:F186)</f>
        <v>0</v>
      </c>
      <c r="G187" s="320">
        <f>SUM(G185:G186)</f>
        <v>0</v>
      </c>
      <c r="H187" s="106"/>
      <c r="I187" s="844" t="s">
        <v>906</v>
      </c>
      <c r="J187" s="845"/>
      <c r="K187" s="490">
        <f>SUM(K179:K186)</f>
        <v>15.450999999999999</v>
      </c>
      <c r="L187" s="104"/>
      <c r="M187" s="489">
        <f>SUM(M179:M186)</f>
        <v>32016.362000000001</v>
      </c>
    </row>
    <row r="188" spans="1:13" s="71" customFormat="1" ht="15" customHeight="1">
      <c r="B188" s="107"/>
      <c r="C188" s="107"/>
      <c r="D188" s="273" t="s">
        <v>184</v>
      </c>
      <c r="E188" s="109">
        <v>336</v>
      </c>
      <c r="F188" s="332">
        <v>130</v>
      </c>
      <c r="G188" s="329">
        <f t="shared" si="34"/>
        <v>43680</v>
      </c>
      <c r="H188" s="106"/>
      <c r="I188" s="106"/>
      <c r="J188" s="106"/>
      <c r="K188" s="106"/>
      <c r="L188" s="106"/>
      <c r="M188" s="263">
        <f>G174+M187</f>
        <v>152304.29899999997</v>
      </c>
    </row>
    <row r="189" spans="1:13" s="71" customFormat="1" ht="15" customHeight="1">
      <c r="B189" s="107"/>
      <c r="C189" s="107"/>
      <c r="D189" s="390" t="s">
        <v>1066</v>
      </c>
      <c r="E189" s="389">
        <v>165</v>
      </c>
      <c r="F189" s="332">
        <v>130</v>
      </c>
      <c r="G189" s="329">
        <f t="shared" si="34"/>
        <v>21450</v>
      </c>
      <c r="H189" s="106"/>
      <c r="I189" s="106"/>
      <c r="J189" s="106"/>
      <c r="K189" s="106"/>
      <c r="L189" s="106"/>
    </row>
    <row r="190" spans="1:13" s="71" customFormat="1" ht="15" customHeight="1">
      <c r="B190" s="107"/>
      <c r="C190" s="107"/>
      <c r="D190" s="273" t="s">
        <v>907</v>
      </c>
      <c r="E190" s="389">
        <v>46</v>
      </c>
      <c r="F190" s="332">
        <v>355</v>
      </c>
      <c r="G190" s="329">
        <f t="shared" si="34"/>
        <v>16330</v>
      </c>
      <c r="H190" s="106"/>
      <c r="I190" s="106"/>
      <c r="J190" s="106"/>
      <c r="K190" s="106"/>
      <c r="L190" s="106"/>
    </row>
    <row r="191" spans="1:13" s="71" customFormat="1" ht="15" customHeight="1">
      <c r="B191" s="107"/>
      <c r="C191" s="107"/>
      <c r="D191" s="273" t="s">
        <v>24</v>
      </c>
      <c r="E191" s="389">
        <v>74</v>
      </c>
      <c r="F191" s="332">
        <v>1500</v>
      </c>
      <c r="G191" s="329">
        <f t="shared" ref="G191" si="35">F191*E191</f>
        <v>111000</v>
      </c>
      <c r="H191" s="106"/>
      <c r="I191" s="106"/>
      <c r="J191" s="106"/>
      <c r="K191" s="106"/>
      <c r="L191" s="106"/>
    </row>
    <row r="192" spans="1:13" s="71" customFormat="1" ht="15" customHeight="1">
      <c r="B192" s="107"/>
      <c r="C192" s="107"/>
      <c r="D192" s="273" t="s">
        <v>997</v>
      </c>
      <c r="E192" s="317">
        <v>120</v>
      </c>
      <c r="F192" s="492">
        <f>60+180</f>
        <v>240</v>
      </c>
      <c r="G192" s="329">
        <f t="shared" si="34"/>
        <v>28800</v>
      </c>
      <c r="H192" s="106"/>
      <c r="I192" s="106"/>
      <c r="J192" s="106"/>
      <c r="K192" s="106"/>
      <c r="L192" s="106"/>
    </row>
    <row r="193" spans="2:12" s="71" customFormat="1" ht="15" customHeight="1">
      <c r="B193" s="107"/>
      <c r="C193" s="107"/>
      <c r="D193" s="273" t="s">
        <v>1065</v>
      </c>
      <c r="E193" s="389">
        <v>165</v>
      </c>
      <c r="F193" s="332">
        <v>120</v>
      </c>
      <c r="G193" s="329">
        <f t="shared" si="34"/>
        <v>19800</v>
      </c>
      <c r="H193" s="107"/>
      <c r="I193" s="107"/>
      <c r="J193" s="107"/>
      <c r="K193" s="107"/>
      <c r="L193" s="107"/>
    </row>
    <row r="194" spans="2:12" s="71" customFormat="1" ht="15" customHeight="1">
      <c r="B194" s="107"/>
      <c r="C194" s="107"/>
      <c r="D194" s="390" t="s">
        <v>213</v>
      </c>
      <c r="E194" s="389">
        <v>348</v>
      </c>
      <c r="F194" s="332">
        <v>50</v>
      </c>
      <c r="G194" s="329">
        <f t="shared" ref="G194" si="36">F194*E194</f>
        <v>17400</v>
      </c>
      <c r="H194" s="107"/>
      <c r="I194" s="107"/>
      <c r="J194" s="107"/>
      <c r="K194" s="107"/>
      <c r="L194" s="107"/>
    </row>
    <row r="195" spans="2:12" s="71" customFormat="1" ht="15" customHeight="1">
      <c r="B195" s="107"/>
      <c r="C195" s="107"/>
      <c r="D195" s="553" t="s">
        <v>211</v>
      </c>
      <c r="E195" s="103">
        <v>120</v>
      </c>
      <c r="F195" s="332">
        <v>100</v>
      </c>
      <c r="G195" s="329">
        <f t="shared" ref="G195" si="37">F195*E195</f>
        <v>12000</v>
      </c>
      <c r="H195" s="107"/>
      <c r="I195" s="107"/>
      <c r="J195" s="107"/>
      <c r="K195" s="107"/>
      <c r="L195" s="107"/>
    </row>
    <row r="196" spans="2:12" s="71" customFormat="1" ht="15" customHeight="1">
      <c r="B196" s="107"/>
      <c r="C196" s="107"/>
      <c r="D196" s="331" t="s">
        <v>843</v>
      </c>
      <c r="E196" s="109"/>
      <c r="F196" s="332">
        <f>SUM(F188:F195)</f>
        <v>2625</v>
      </c>
      <c r="G196" s="329">
        <f>SUM(G188:G195)</f>
        <v>270460</v>
      </c>
    </row>
    <row r="197" spans="2:12" s="71" customFormat="1" ht="15" customHeight="1">
      <c r="B197" s="107"/>
      <c r="C197" s="107"/>
      <c r="D197" s="322" t="s">
        <v>969</v>
      </c>
      <c r="E197" s="317"/>
      <c r="F197" s="321">
        <f>F187+F196</f>
        <v>2625</v>
      </c>
      <c r="G197" s="320">
        <f>G187+G196</f>
        <v>270460</v>
      </c>
    </row>
    <row r="198" spans="2:12" s="71" customFormat="1" ht="15" customHeight="1">
      <c r="G198" s="561"/>
    </row>
    <row r="199" spans="2:12" s="71" customFormat="1" ht="15" customHeight="1"/>
    <row r="200" spans="2:12" s="71" customFormat="1" ht="15" customHeight="1"/>
    <row r="201" spans="2:12" s="71" customFormat="1" ht="15" customHeight="1"/>
    <row r="202" spans="2:12" s="71" customFormat="1" ht="15" customHeight="1"/>
    <row r="203" spans="2:12" s="71" customFormat="1" ht="15" customHeight="1"/>
    <row r="204" spans="2:12" s="71" customFormat="1" ht="15" customHeight="1"/>
    <row r="205" spans="2:12" s="71" customFormat="1" ht="15" customHeight="1"/>
    <row r="206" spans="2:12" s="71" customFormat="1" ht="15" customHeight="1"/>
    <row r="207" spans="2:12" s="71" customFormat="1" ht="15" customHeight="1"/>
    <row r="208" spans="2:12" s="71" customFormat="1" ht="15" customHeight="1"/>
    <row r="209" spans="1:13" s="71" customFormat="1" ht="15" customHeight="1"/>
    <row r="210" spans="1:13" ht="15" customHeight="1"/>
    <row r="211" spans="1:13" ht="15" customHeight="1"/>
    <row r="212" spans="1:13" ht="15" customHeight="1"/>
    <row r="213" spans="1:13" s="64" customFormat="1" ht="15" customHeight="1">
      <c r="A213" s="840" t="s">
        <v>240</v>
      </c>
      <c r="B213" s="840"/>
      <c r="C213" s="840" t="s">
        <v>765</v>
      </c>
      <c r="D213" s="840"/>
      <c r="E213" s="840" t="s">
        <v>764</v>
      </c>
      <c r="F213" s="840"/>
      <c r="G213" s="380" t="s">
        <v>66</v>
      </c>
      <c r="H213" s="840" t="s">
        <v>411</v>
      </c>
      <c r="I213" s="840"/>
      <c r="J213" s="840"/>
      <c r="K213" s="840" t="s">
        <v>68</v>
      </c>
      <c r="L213" s="840"/>
      <c r="M213" s="840"/>
    </row>
  </sheetData>
  <mergeCells count="30">
    <mergeCell ref="K213:M213"/>
    <mergeCell ref="I186:J186"/>
    <mergeCell ref="I187:J187"/>
    <mergeCell ref="A213:B213"/>
    <mergeCell ref="C213:D213"/>
    <mergeCell ref="E213:F213"/>
    <mergeCell ref="H213:J213"/>
    <mergeCell ref="I182:J182"/>
    <mergeCell ref="I183:J183"/>
    <mergeCell ref="B184:C184"/>
    <mergeCell ref="I184:J184"/>
    <mergeCell ref="I185:J185"/>
    <mergeCell ref="D181:E181"/>
    <mergeCell ref="I181:J181"/>
    <mergeCell ref="K123:M123"/>
    <mergeCell ref="K148:M148"/>
    <mergeCell ref="K156:M156"/>
    <mergeCell ref="A43:B43"/>
    <mergeCell ref="D179:E179"/>
    <mergeCell ref="D180:E180"/>
    <mergeCell ref="A1:N1"/>
    <mergeCell ref="A2:N2"/>
    <mergeCell ref="A3:N3"/>
    <mergeCell ref="K4:M4"/>
    <mergeCell ref="K15:M15"/>
    <mergeCell ref="K24:M24"/>
    <mergeCell ref="K36:M36"/>
    <mergeCell ref="K43:M43"/>
    <mergeCell ref="I179:J179"/>
    <mergeCell ref="I180:J180"/>
  </mergeCells>
  <pageMargins left="0.45" right="0.2" top="0.25" bottom="0.25" header="0.3" footer="0.3"/>
  <pageSetup scale="8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287"/>
  <sheetViews>
    <sheetView topLeftCell="A43" workbookViewId="0">
      <selection activeCell="G174" sqref="G174:K174"/>
    </sheetView>
  </sheetViews>
  <sheetFormatPr defaultRowHeight="15"/>
  <cols>
    <col min="2" max="2" width="13.42578125" bestFit="1" customWidth="1"/>
    <col min="3" max="3" width="15.42578125" customWidth="1"/>
    <col min="4" max="4" width="18.7109375" customWidth="1"/>
    <col min="5" max="5" width="11.7109375" customWidth="1"/>
    <col min="6" max="6" width="10.5703125" bestFit="1" customWidth="1"/>
    <col min="7" max="7" width="21.140625" customWidth="1"/>
    <col min="8" max="8" width="6.42578125" bestFit="1" customWidth="1"/>
    <col min="9" max="9" width="10.7109375" customWidth="1"/>
    <col min="10" max="10" width="10.42578125" customWidth="1"/>
    <col min="11" max="11" width="12.140625" customWidth="1"/>
    <col min="12" max="12" width="9.42578125" customWidth="1"/>
    <col min="13" max="13" width="10.85546875" customWidth="1"/>
    <col min="14" max="14" width="10.5703125" customWidth="1"/>
  </cols>
  <sheetData>
    <row r="1" spans="1:14" s="71" customFormat="1" ht="23.25">
      <c r="A1" s="846" t="s">
        <v>146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383"/>
    </row>
    <row r="2" spans="1:14" s="107" customFormat="1" ht="15.95" customHeight="1">
      <c r="A2" s="827" t="s">
        <v>147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384"/>
    </row>
    <row r="3" spans="1:14" s="562" customFormat="1" ht="15.95" customHeight="1">
      <c r="A3" s="828" t="s">
        <v>148</v>
      </c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  <c r="M3" s="828"/>
      <c r="N3" s="385"/>
    </row>
    <row r="4" spans="1:14" s="107" customFormat="1" ht="15.95" customHeight="1">
      <c r="A4" s="70" t="s">
        <v>21</v>
      </c>
      <c r="B4" s="70"/>
      <c r="C4" s="70"/>
      <c r="D4" s="70"/>
      <c r="E4" s="70"/>
      <c r="F4" s="71"/>
      <c r="G4" s="71"/>
      <c r="H4" s="71"/>
      <c r="I4" s="71"/>
      <c r="J4" s="71"/>
      <c r="K4" s="824" t="s">
        <v>1110</v>
      </c>
      <c r="L4" s="824"/>
      <c r="M4" s="824"/>
      <c r="N4" s="71"/>
    </row>
    <row r="5" spans="1:14" s="107" customFormat="1" ht="15.95" customHeight="1">
      <c r="A5" s="550" t="s">
        <v>0</v>
      </c>
      <c r="B5" s="550" t="s">
        <v>7</v>
      </c>
      <c r="C5" s="550" t="s">
        <v>13</v>
      </c>
      <c r="D5" s="550" t="s">
        <v>14</v>
      </c>
      <c r="E5" s="550" t="s">
        <v>8</v>
      </c>
      <c r="F5" s="550" t="s">
        <v>1</v>
      </c>
      <c r="G5" s="550" t="s">
        <v>2</v>
      </c>
      <c r="H5" s="550" t="s">
        <v>15</v>
      </c>
      <c r="I5" s="550" t="s">
        <v>3</v>
      </c>
      <c r="J5" s="550" t="s">
        <v>4</v>
      </c>
      <c r="K5" s="550" t="s">
        <v>5</v>
      </c>
      <c r="L5" s="550" t="s">
        <v>12</v>
      </c>
      <c r="M5" s="550" t="s">
        <v>6</v>
      </c>
      <c r="N5" s="71"/>
    </row>
    <row r="6" spans="1:14" s="107" customFormat="1" ht="15.95" customHeight="1">
      <c r="A6" s="551">
        <v>1</v>
      </c>
      <c r="B6" s="552" t="s">
        <v>1013</v>
      </c>
      <c r="C6" s="552" t="s">
        <v>766</v>
      </c>
      <c r="D6" s="552" t="s">
        <v>465</v>
      </c>
      <c r="E6" s="551"/>
      <c r="F6" s="98">
        <f>14249*1.0936</f>
        <v>15582.706399999999</v>
      </c>
      <c r="G6" s="552" t="s">
        <v>170</v>
      </c>
      <c r="H6" s="79"/>
      <c r="I6" s="80">
        <v>10.5</v>
      </c>
      <c r="J6" s="81">
        <v>227</v>
      </c>
      <c r="K6" s="81">
        <f t="shared" ref="K6:K7" si="0">I6*J6</f>
        <v>2383.5</v>
      </c>
      <c r="L6" s="102"/>
      <c r="M6" s="156" t="e">
        <f>I6+I14+#REF!</f>
        <v>#REF!</v>
      </c>
      <c r="N6" s="552" t="s">
        <v>173</v>
      </c>
    </row>
    <row r="7" spans="1:14" s="107" customFormat="1" ht="15.95" customHeight="1">
      <c r="A7" s="551"/>
      <c r="B7" s="552"/>
      <c r="C7" s="552"/>
      <c r="D7" s="552"/>
      <c r="E7" s="551"/>
      <c r="F7" s="98"/>
      <c r="G7" s="552" t="s">
        <v>171</v>
      </c>
      <c r="H7" s="79"/>
      <c r="I7" s="80">
        <v>10.5</v>
      </c>
      <c r="J7" s="81">
        <v>416</v>
      </c>
      <c r="K7" s="81">
        <f t="shared" si="0"/>
        <v>4368</v>
      </c>
      <c r="L7" s="102"/>
      <c r="M7" s="156" t="e">
        <f>I7+I12+I15+#REF!+#REF!+#REF!+#REF!+#REF!+#REF!+#REF!</f>
        <v>#REF!</v>
      </c>
      <c r="N7" s="552" t="s">
        <v>174</v>
      </c>
    </row>
    <row r="8" spans="1:14" s="107" customFormat="1" ht="15.95" customHeight="1">
      <c r="A8" s="551"/>
      <c r="B8" s="552"/>
      <c r="C8" s="552"/>
      <c r="D8" s="552"/>
      <c r="E8" s="551"/>
      <c r="F8" s="98"/>
      <c r="G8" s="552" t="s">
        <v>172</v>
      </c>
      <c r="H8" s="79"/>
      <c r="I8" s="80">
        <v>12</v>
      </c>
      <c r="J8" s="81">
        <v>165</v>
      </c>
      <c r="K8" s="81">
        <f>I8*J8</f>
        <v>1980</v>
      </c>
      <c r="L8" s="102"/>
      <c r="M8" s="156" t="e">
        <f>I8+#REF!+I16+#REF!+#REF!+#REF!+#REF!+#REF!+#REF!+#REF!</f>
        <v>#REF!</v>
      </c>
      <c r="N8" s="552" t="s">
        <v>172</v>
      </c>
    </row>
    <row r="9" spans="1:14" s="107" customFormat="1" ht="15.95" customHeight="1">
      <c r="A9" s="551"/>
      <c r="B9" s="552"/>
      <c r="C9" s="552"/>
      <c r="D9" s="552"/>
      <c r="E9" s="550" t="s">
        <v>9</v>
      </c>
      <c r="F9" s="110">
        <f>SUM(F6:F8)</f>
        <v>15582.706399999999</v>
      </c>
      <c r="G9" s="550"/>
      <c r="H9" s="550"/>
      <c r="I9" s="125"/>
      <c r="J9" s="97"/>
      <c r="K9" s="111">
        <f>SUM(K6:K8)</f>
        <v>8731.5</v>
      </c>
      <c r="L9" s="111">
        <f>K9/F9</f>
        <v>0.56033270318177852</v>
      </c>
      <c r="M9" s="156" t="e">
        <f>I10+#REF!+#REF!+#REF!+#REF!+#REF!+#REF!+I42+#REF!+#REF!+#REF!</f>
        <v>#REF!</v>
      </c>
      <c r="N9" s="552" t="s">
        <v>24</v>
      </c>
    </row>
    <row r="10" spans="1:14" s="107" customFormat="1" ht="15.95" customHeight="1">
      <c r="A10" s="551">
        <v>2</v>
      </c>
      <c r="B10" s="577" t="s">
        <v>1167</v>
      </c>
      <c r="C10" s="552" t="s">
        <v>121</v>
      </c>
      <c r="D10" s="552" t="s">
        <v>180</v>
      </c>
      <c r="E10" s="551"/>
      <c r="F10" s="98">
        <f>4373*1.0936</f>
        <v>4782.3127999999997</v>
      </c>
      <c r="G10" s="552" t="s">
        <v>170</v>
      </c>
      <c r="H10" s="79"/>
      <c r="I10" s="80">
        <v>5</v>
      </c>
      <c r="J10" s="81">
        <v>227</v>
      </c>
      <c r="K10" s="81">
        <f t="shared" ref="K10:K11" si="1">I10*J10</f>
        <v>1135</v>
      </c>
      <c r="L10" s="102"/>
      <c r="M10" s="156" t="e">
        <f>I11+#REF!+#REF!+#REF!+#REF!+#REF!+#REF!</f>
        <v>#REF!</v>
      </c>
      <c r="N10" s="552" t="s">
        <v>175</v>
      </c>
    </row>
    <row r="11" spans="1:14" s="107" customFormat="1" ht="15.95" customHeight="1">
      <c r="A11" s="551"/>
      <c r="B11" s="556" t="s">
        <v>1153</v>
      </c>
      <c r="C11" s="552" t="s">
        <v>516</v>
      </c>
      <c r="D11" s="552" t="s">
        <v>1109</v>
      </c>
      <c r="E11" s="552"/>
      <c r="F11" s="90">
        <f>528*1.0936</f>
        <v>577.42079999999999</v>
      </c>
      <c r="G11" s="552" t="s">
        <v>171</v>
      </c>
      <c r="H11" s="79"/>
      <c r="I11" s="80">
        <v>3</v>
      </c>
      <c r="J11" s="81">
        <v>416</v>
      </c>
      <c r="K11" s="81">
        <f t="shared" si="1"/>
        <v>1248</v>
      </c>
      <c r="L11" s="102"/>
      <c r="M11" s="156" t="e">
        <f>#REF!+#REF!+#REF!+#REF!+#REF!+#REF!+#REF!</f>
        <v>#REF!</v>
      </c>
      <c r="N11" s="553" t="s">
        <v>176</v>
      </c>
    </row>
    <row r="12" spans="1:14" s="107" customFormat="1" ht="15.95" customHeight="1">
      <c r="A12" s="551"/>
      <c r="B12" s="551"/>
      <c r="C12" s="551"/>
      <c r="D12" s="551"/>
      <c r="E12" s="550"/>
      <c r="F12" s="110"/>
      <c r="G12" s="552" t="s">
        <v>172</v>
      </c>
      <c r="H12" s="79"/>
      <c r="I12" s="80">
        <v>4</v>
      </c>
      <c r="J12" s="81">
        <v>165</v>
      </c>
      <c r="K12" s="81">
        <f>I12*J12</f>
        <v>660</v>
      </c>
      <c r="L12" s="102"/>
      <c r="M12" s="156" t="e">
        <f>I43+#REF!+#REF!+#REF!</f>
        <v>#REF!</v>
      </c>
      <c r="N12" s="430" t="s">
        <v>10</v>
      </c>
    </row>
    <row r="13" spans="1:14" s="107" customFormat="1" ht="15.95" customHeight="1">
      <c r="A13" s="551"/>
      <c r="B13" s="551"/>
      <c r="C13" s="551"/>
      <c r="D13" s="551"/>
      <c r="E13" s="550" t="s">
        <v>9</v>
      </c>
      <c r="F13" s="110">
        <f>SUM(F10:F12)</f>
        <v>5359.7335999999996</v>
      </c>
      <c r="G13" s="550"/>
      <c r="H13" s="550"/>
      <c r="I13" s="125"/>
      <c r="J13" s="97"/>
      <c r="K13" s="111">
        <f>SUM(K10:K12)</f>
        <v>3043</v>
      </c>
      <c r="L13" s="111">
        <f>K13/F13</f>
        <v>0.56775209872371268</v>
      </c>
      <c r="M13" s="156"/>
      <c r="N13" s="553"/>
    </row>
    <row r="14" spans="1:14" s="107" customFormat="1" ht="15.95" customHeight="1">
      <c r="A14" s="551">
        <v>3</v>
      </c>
      <c r="B14" s="577" t="s">
        <v>1167</v>
      </c>
      <c r="C14" s="552" t="s">
        <v>121</v>
      </c>
      <c r="D14" s="552" t="s">
        <v>180</v>
      </c>
      <c r="E14" s="551"/>
      <c r="F14" s="98">
        <f>10360*1.0936</f>
        <v>11329.696</v>
      </c>
      <c r="G14" s="552" t="s">
        <v>170</v>
      </c>
      <c r="H14" s="79"/>
      <c r="I14" s="80">
        <v>11</v>
      </c>
      <c r="J14" s="81">
        <v>227</v>
      </c>
      <c r="K14" s="81">
        <f t="shared" ref="K14:K15" si="2">I14*J14</f>
        <v>2497</v>
      </c>
      <c r="L14" s="102"/>
      <c r="M14" s="156"/>
      <c r="N14" s="430"/>
    </row>
    <row r="15" spans="1:14" s="107" customFormat="1" ht="15.95" customHeight="1">
      <c r="A15" s="551"/>
      <c r="B15" s="552" t="s">
        <v>269</v>
      </c>
      <c r="C15" s="552"/>
      <c r="D15" s="552"/>
      <c r="E15" s="552"/>
      <c r="F15" s="90">
        <f>45*1.0936</f>
        <v>49.211999999999996</v>
      </c>
      <c r="G15" s="552" t="s">
        <v>171</v>
      </c>
      <c r="H15" s="79"/>
      <c r="I15" s="80">
        <v>7</v>
      </c>
      <c r="J15" s="81">
        <v>416</v>
      </c>
      <c r="K15" s="81">
        <f t="shared" si="2"/>
        <v>2912</v>
      </c>
      <c r="L15" s="102"/>
      <c r="M15" s="102"/>
      <c r="N15" s="71"/>
    </row>
    <row r="16" spans="1:14" s="107" customFormat="1" ht="15.95" customHeight="1">
      <c r="A16" s="551"/>
      <c r="B16" s="551"/>
      <c r="C16" s="551"/>
      <c r="D16" s="551"/>
      <c r="E16" s="550"/>
      <c r="F16" s="110"/>
      <c r="G16" s="552" t="s">
        <v>172</v>
      </c>
      <c r="H16" s="79"/>
      <c r="I16" s="80">
        <v>8</v>
      </c>
      <c r="J16" s="81">
        <v>165</v>
      </c>
      <c r="K16" s="81">
        <f>I16*J16</f>
        <v>1320</v>
      </c>
      <c r="L16" s="102"/>
      <c r="M16" s="102"/>
      <c r="N16" s="71"/>
    </row>
    <row r="17" spans="1:15" s="107" customFormat="1" ht="15.95" customHeight="1">
      <c r="A17" s="551"/>
      <c r="B17" s="551"/>
      <c r="C17" s="551"/>
      <c r="D17" s="551"/>
      <c r="E17" s="550" t="s">
        <v>9</v>
      </c>
      <c r="F17" s="110">
        <f>SUM(F14:F16)</f>
        <v>11378.907999999999</v>
      </c>
      <c r="G17" s="550"/>
      <c r="H17" s="550"/>
      <c r="I17" s="125"/>
      <c r="J17" s="97"/>
      <c r="K17" s="111">
        <f>SUM(K14:K16)</f>
        <v>6729</v>
      </c>
      <c r="L17" s="111">
        <f>K17/F17</f>
        <v>0.5913572725959293</v>
      </c>
      <c r="M17" s="102"/>
      <c r="N17" s="71"/>
    </row>
    <row r="18" spans="1:15" s="107" customFormat="1" ht="15.95" customHeight="1">
      <c r="D18" s="133" t="s">
        <v>30</v>
      </c>
      <c r="E18" s="133"/>
      <c r="F18" s="134">
        <f>F9+F13+F17</f>
        <v>32321.347999999998</v>
      </c>
      <c r="G18" s="135"/>
      <c r="H18" s="135"/>
      <c r="I18" s="135"/>
      <c r="J18" s="135"/>
      <c r="K18" s="134">
        <f>K9+K13+K17</f>
        <v>18503.5</v>
      </c>
      <c r="L18" s="151">
        <f>K18/F18</f>
        <v>0.57248540500229139</v>
      </c>
    </row>
    <row r="19" spans="1:15" s="107" customFormat="1" ht="15.95" customHeight="1">
      <c r="A19" s="70" t="s">
        <v>23</v>
      </c>
      <c r="B19" s="70"/>
      <c r="C19" s="70"/>
      <c r="D19" s="70"/>
      <c r="E19" s="70"/>
      <c r="F19" s="71"/>
      <c r="G19" s="71"/>
      <c r="H19" s="71"/>
      <c r="I19" s="71"/>
      <c r="J19" s="71"/>
      <c r="K19" s="824" t="s">
        <v>1110</v>
      </c>
      <c r="L19" s="824"/>
      <c r="M19" s="824"/>
      <c r="N19" s="71"/>
    </row>
    <row r="20" spans="1:15" s="107" customFormat="1" ht="15.95" customHeight="1">
      <c r="A20" s="550" t="s">
        <v>0</v>
      </c>
      <c r="B20" s="550" t="s">
        <v>7</v>
      </c>
      <c r="C20" s="550" t="s">
        <v>13</v>
      </c>
      <c r="D20" s="550" t="s">
        <v>14</v>
      </c>
      <c r="E20" s="550" t="s">
        <v>8</v>
      </c>
      <c r="F20" s="550" t="s">
        <v>1</v>
      </c>
      <c r="G20" s="550" t="s">
        <v>2</v>
      </c>
      <c r="H20" s="550" t="s">
        <v>15</v>
      </c>
      <c r="I20" s="550" t="s">
        <v>3</v>
      </c>
      <c r="J20" s="550" t="s">
        <v>4</v>
      </c>
      <c r="K20" s="550" t="s">
        <v>5</v>
      </c>
      <c r="L20" s="550" t="s">
        <v>12</v>
      </c>
      <c r="M20" s="550" t="s">
        <v>6</v>
      </c>
      <c r="N20" s="71"/>
    </row>
    <row r="21" spans="1:15" s="107" customFormat="1" ht="15.95" customHeight="1">
      <c r="A21" s="550">
        <v>1</v>
      </c>
      <c r="B21" s="552" t="s">
        <v>1013</v>
      </c>
      <c r="C21" s="552" t="s">
        <v>766</v>
      </c>
      <c r="D21" s="552" t="s">
        <v>465</v>
      </c>
      <c r="E21" s="551"/>
      <c r="F21" s="98">
        <f>7525*1.0936</f>
        <v>8229.34</v>
      </c>
      <c r="G21" s="552" t="s">
        <v>24</v>
      </c>
      <c r="H21" s="79"/>
      <c r="I21" s="80">
        <v>80</v>
      </c>
      <c r="J21" s="81">
        <v>74</v>
      </c>
      <c r="K21" s="81">
        <f t="shared" ref="K21:K23" si="3">I21*J21</f>
        <v>5920</v>
      </c>
      <c r="L21" s="102"/>
      <c r="M21" s="550"/>
      <c r="N21" s="71"/>
    </row>
    <row r="22" spans="1:15" s="107" customFormat="1" ht="15.95" customHeight="1">
      <c r="A22" s="550"/>
      <c r="B22" s="550"/>
      <c r="C22" s="550"/>
      <c r="D22" s="550"/>
      <c r="E22" s="550"/>
      <c r="F22" s="550"/>
      <c r="G22" s="88" t="s">
        <v>18</v>
      </c>
      <c r="H22" s="79"/>
      <c r="I22" s="80">
        <v>40</v>
      </c>
      <c r="J22" s="81">
        <v>46</v>
      </c>
      <c r="K22" s="81">
        <f t="shared" si="3"/>
        <v>1840</v>
      </c>
      <c r="L22" s="102"/>
      <c r="M22" s="550"/>
      <c r="N22" s="71"/>
      <c r="O22" s="107">
        <f>4373+10360</f>
        <v>14733</v>
      </c>
    </row>
    <row r="23" spans="1:15" s="107" customFormat="1" ht="15.95" customHeight="1">
      <c r="A23" s="550"/>
      <c r="B23" s="550"/>
      <c r="C23" s="550"/>
      <c r="D23" s="550"/>
      <c r="E23" s="550"/>
      <c r="F23" s="550"/>
      <c r="G23" s="552" t="s">
        <v>171</v>
      </c>
      <c r="H23" s="79"/>
      <c r="I23" s="80">
        <v>20</v>
      </c>
      <c r="J23" s="81">
        <v>416</v>
      </c>
      <c r="K23" s="81">
        <f t="shared" si="3"/>
        <v>8320</v>
      </c>
      <c r="L23" s="102"/>
      <c r="M23" s="550"/>
      <c r="N23" s="71"/>
    </row>
    <row r="24" spans="1:15" s="107" customFormat="1" ht="15.95" customHeight="1">
      <c r="A24" s="550"/>
      <c r="B24" s="550"/>
      <c r="C24" s="550"/>
      <c r="D24" s="550"/>
      <c r="E24" s="550"/>
      <c r="F24" s="550"/>
      <c r="G24" s="552" t="s">
        <v>172</v>
      </c>
      <c r="H24" s="79"/>
      <c r="I24" s="80">
        <v>18</v>
      </c>
      <c r="J24" s="81">
        <v>165</v>
      </c>
      <c r="K24" s="81">
        <f>I24*J24</f>
        <v>2970</v>
      </c>
      <c r="L24" s="102"/>
      <c r="M24" s="550"/>
      <c r="N24" s="71"/>
    </row>
    <row r="25" spans="1:15" s="107" customFormat="1" ht="15.95" customHeight="1">
      <c r="A25" s="550"/>
      <c r="B25" s="550"/>
      <c r="C25" s="550"/>
      <c r="D25" s="550"/>
      <c r="E25" s="550"/>
      <c r="F25" s="550"/>
      <c r="G25" s="553" t="s">
        <v>181</v>
      </c>
      <c r="H25" s="79"/>
      <c r="I25" s="80">
        <v>20</v>
      </c>
      <c r="J25" s="81">
        <v>165</v>
      </c>
      <c r="K25" s="81">
        <f t="shared" ref="K25" si="4">I25*J25</f>
        <v>3300</v>
      </c>
      <c r="L25" s="102"/>
      <c r="M25" s="550"/>
      <c r="N25" s="71"/>
    </row>
    <row r="26" spans="1:15" s="107" customFormat="1" ht="15.95" customHeight="1">
      <c r="A26" s="550"/>
      <c r="B26" s="550"/>
      <c r="C26" s="550"/>
      <c r="D26" s="550"/>
      <c r="E26" s="550" t="s">
        <v>9</v>
      </c>
      <c r="F26" s="110">
        <f>SUM(F21:F25)</f>
        <v>8229.34</v>
      </c>
      <c r="G26" s="550"/>
      <c r="H26" s="550"/>
      <c r="I26" s="125"/>
      <c r="J26" s="97"/>
      <c r="K26" s="111">
        <f>SUM(K21:K25)</f>
        <v>22350</v>
      </c>
      <c r="L26" s="111">
        <f>K26/F26</f>
        <v>2.7158921614613081</v>
      </c>
      <c r="M26" s="102"/>
      <c r="N26" s="71"/>
    </row>
    <row r="27" spans="1:15" s="107" customFormat="1" ht="15.95" customHeight="1">
      <c r="A27" s="550">
        <v>2</v>
      </c>
      <c r="B27" s="552" t="s">
        <v>1107</v>
      </c>
      <c r="C27" s="552" t="s">
        <v>1033</v>
      </c>
      <c r="D27" s="552" t="s">
        <v>1085</v>
      </c>
      <c r="E27" s="552"/>
      <c r="F27" s="90">
        <f>1780*1.0936</f>
        <v>1946.6079999999997</v>
      </c>
      <c r="G27" s="552" t="s">
        <v>24</v>
      </c>
      <c r="H27" s="79"/>
      <c r="I27" s="80">
        <v>80</v>
      </c>
      <c r="J27" s="81">
        <v>74</v>
      </c>
      <c r="K27" s="81">
        <f t="shared" ref="K27:K29" si="5">I27*J27</f>
        <v>5920</v>
      </c>
      <c r="L27" s="102"/>
      <c r="M27" s="550"/>
      <c r="N27" s="71"/>
    </row>
    <row r="28" spans="1:15" s="107" customFormat="1" ht="15.95" customHeight="1">
      <c r="A28" s="550"/>
      <c r="B28" s="552" t="s">
        <v>1108</v>
      </c>
      <c r="C28" s="552" t="s">
        <v>1033</v>
      </c>
      <c r="D28" s="552" t="s">
        <v>1085</v>
      </c>
      <c r="E28" s="552"/>
      <c r="F28" s="90">
        <f>1780*1.0936</f>
        <v>1946.6079999999997</v>
      </c>
      <c r="G28" s="88" t="s">
        <v>18</v>
      </c>
      <c r="H28" s="79"/>
      <c r="I28" s="80">
        <v>40</v>
      </c>
      <c r="J28" s="81">
        <v>46</v>
      </c>
      <c r="K28" s="81">
        <f t="shared" si="5"/>
        <v>1840</v>
      </c>
      <c r="L28" s="102"/>
      <c r="M28" s="550"/>
      <c r="N28" s="71"/>
    </row>
    <row r="29" spans="1:15" s="107" customFormat="1" ht="15.95" customHeight="1">
      <c r="A29" s="550"/>
      <c r="B29" s="552" t="s">
        <v>1121</v>
      </c>
      <c r="C29" s="552" t="s">
        <v>1033</v>
      </c>
      <c r="D29" s="552" t="s">
        <v>1085</v>
      </c>
      <c r="E29" s="552"/>
      <c r="F29" s="90">
        <f>1950*1.0936</f>
        <v>2132.52</v>
      </c>
      <c r="G29" s="552" t="s">
        <v>171</v>
      </c>
      <c r="H29" s="79"/>
      <c r="I29" s="80">
        <v>21</v>
      </c>
      <c r="J29" s="81">
        <v>416</v>
      </c>
      <c r="K29" s="81">
        <f t="shared" si="5"/>
        <v>8736</v>
      </c>
      <c r="L29" s="102"/>
      <c r="M29" s="550"/>
      <c r="N29" s="71"/>
    </row>
    <row r="30" spans="1:15" s="107" customFormat="1" ht="15.95" customHeight="1">
      <c r="A30" s="550"/>
      <c r="B30" s="552" t="s">
        <v>1122</v>
      </c>
      <c r="C30" s="552" t="s">
        <v>1033</v>
      </c>
      <c r="D30" s="552" t="s">
        <v>1085</v>
      </c>
      <c r="E30" s="552"/>
      <c r="F30" s="90">
        <f>1950*1.0936</f>
        <v>2132.52</v>
      </c>
      <c r="G30" s="552" t="s">
        <v>172</v>
      </c>
      <c r="H30" s="79"/>
      <c r="I30" s="80">
        <v>18</v>
      </c>
      <c r="J30" s="81">
        <v>165</v>
      </c>
      <c r="K30" s="81">
        <f>I30*J30</f>
        <v>2970</v>
      </c>
      <c r="L30" s="102"/>
      <c r="M30" s="550"/>
      <c r="N30" s="71"/>
    </row>
    <row r="31" spans="1:15" s="107" customFormat="1" ht="15.95" customHeight="1">
      <c r="A31" s="550"/>
      <c r="B31" s="552"/>
      <c r="C31" s="552"/>
      <c r="D31" s="552"/>
      <c r="E31" s="552"/>
      <c r="F31" s="90"/>
      <c r="G31" s="553" t="s">
        <v>181</v>
      </c>
      <c r="H31" s="79"/>
      <c r="I31" s="80">
        <v>16</v>
      </c>
      <c r="J31" s="81">
        <v>165</v>
      </c>
      <c r="K31" s="81">
        <f t="shared" ref="K31" si="6">I31*J31</f>
        <v>2640</v>
      </c>
      <c r="L31" s="102"/>
      <c r="M31" s="550"/>
      <c r="N31" s="71"/>
    </row>
    <row r="32" spans="1:15" s="107" customFormat="1" ht="15.95" customHeight="1">
      <c r="A32" s="550"/>
      <c r="B32" s="550"/>
      <c r="C32" s="550"/>
      <c r="D32" s="550"/>
      <c r="E32" s="550" t="s">
        <v>9</v>
      </c>
      <c r="F32" s="110">
        <f>SUM(F27:F31)</f>
        <v>8158.2559999999994</v>
      </c>
      <c r="G32" s="550"/>
      <c r="H32" s="550"/>
      <c r="I32" s="125"/>
      <c r="J32" s="97"/>
      <c r="K32" s="111">
        <f>SUM(K27:K31)</f>
        <v>22106</v>
      </c>
      <c r="L32" s="111">
        <f>K32/F32</f>
        <v>2.7096477482442327</v>
      </c>
      <c r="M32" s="102"/>
      <c r="N32" s="71"/>
    </row>
    <row r="33" spans="1:14" s="107" customFormat="1" ht="15.95" customHeight="1">
      <c r="A33" s="550">
        <v>3</v>
      </c>
      <c r="B33" s="552" t="s">
        <v>277</v>
      </c>
      <c r="C33" s="552" t="s">
        <v>516</v>
      </c>
      <c r="D33" s="552" t="s">
        <v>1109</v>
      </c>
      <c r="E33" s="552"/>
      <c r="F33" s="90">
        <f>553*1.0936</f>
        <v>604.7607999999999</v>
      </c>
      <c r="G33" s="552" t="s">
        <v>24</v>
      </c>
      <c r="H33" s="79"/>
      <c r="I33" s="80">
        <v>10</v>
      </c>
      <c r="J33" s="81">
        <v>74</v>
      </c>
      <c r="K33" s="81">
        <f t="shared" ref="K33:K35" si="7">I33*J33</f>
        <v>740</v>
      </c>
      <c r="L33" s="550"/>
      <c r="M33" s="550"/>
      <c r="N33" s="71"/>
    </row>
    <row r="34" spans="1:14" s="107" customFormat="1" ht="15.95" customHeight="1">
      <c r="A34" s="550"/>
      <c r="B34" s="552" t="s">
        <v>269</v>
      </c>
      <c r="C34" s="552"/>
      <c r="D34" s="552"/>
      <c r="E34" s="552"/>
      <c r="F34" s="90">
        <f>643*1.0936</f>
        <v>703.1848</v>
      </c>
      <c r="G34" s="88" t="s">
        <v>18</v>
      </c>
      <c r="H34" s="79"/>
      <c r="I34" s="80">
        <v>5</v>
      </c>
      <c r="J34" s="81">
        <v>46</v>
      </c>
      <c r="K34" s="81">
        <f t="shared" si="7"/>
        <v>230</v>
      </c>
      <c r="L34" s="550"/>
      <c r="M34" s="550"/>
      <c r="N34" s="71"/>
    </row>
    <row r="35" spans="1:14" s="107" customFormat="1" ht="15.95" customHeight="1">
      <c r="A35" s="550"/>
      <c r="B35" s="550"/>
      <c r="C35" s="550"/>
      <c r="D35" s="550"/>
      <c r="E35" s="550"/>
      <c r="F35" s="550"/>
      <c r="G35" s="552" t="s">
        <v>171</v>
      </c>
      <c r="H35" s="79"/>
      <c r="I35" s="80">
        <v>3</v>
      </c>
      <c r="J35" s="81">
        <v>416</v>
      </c>
      <c r="K35" s="81">
        <f t="shared" si="7"/>
        <v>1248</v>
      </c>
      <c r="L35" s="550"/>
      <c r="M35" s="550"/>
      <c r="N35" s="71"/>
    </row>
    <row r="36" spans="1:14" s="107" customFormat="1" ht="15.95" customHeight="1">
      <c r="A36" s="550"/>
      <c r="B36" s="550"/>
      <c r="C36" s="550"/>
      <c r="D36" s="550"/>
      <c r="E36" s="550"/>
      <c r="F36" s="550"/>
      <c r="G36" s="552" t="s">
        <v>172</v>
      </c>
      <c r="H36" s="79"/>
      <c r="I36" s="80">
        <v>2</v>
      </c>
      <c r="J36" s="81">
        <v>165</v>
      </c>
      <c r="K36" s="81">
        <f>I36*J36</f>
        <v>330</v>
      </c>
      <c r="L36" s="550"/>
      <c r="M36" s="550"/>
      <c r="N36" s="71"/>
    </row>
    <row r="37" spans="1:14" s="107" customFormat="1" ht="15.95" customHeight="1">
      <c r="A37" s="550"/>
      <c r="B37" s="550"/>
      <c r="C37" s="550"/>
      <c r="D37" s="550"/>
      <c r="E37" s="550"/>
      <c r="F37" s="550"/>
      <c r="G37" s="553" t="s">
        <v>181</v>
      </c>
      <c r="H37" s="79"/>
      <c r="I37" s="80">
        <v>6</v>
      </c>
      <c r="J37" s="81">
        <v>165</v>
      </c>
      <c r="K37" s="81">
        <f t="shared" ref="K37" si="8">I37*J37</f>
        <v>990</v>
      </c>
      <c r="L37" s="550"/>
      <c r="M37" s="550"/>
      <c r="N37" s="71"/>
    </row>
    <row r="38" spans="1:14" s="107" customFormat="1" ht="15.95" customHeight="1">
      <c r="A38" s="550"/>
      <c r="B38" s="550"/>
      <c r="C38" s="550"/>
      <c r="D38" s="550"/>
      <c r="E38" s="550" t="s">
        <v>9</v>
      </c>
      <c r="F38" s="110">
        <f>SUM(F33:F37)</f>
        <v>1307.9456</v>
      </c>
      <c r="G38" s="550"/>
      <c r="H38" s="550"/>
      <c r="I38" s="125"/>
      <c r="J38" s="97"/>
      <c r="K38" s="111">
        <f>SUM(K33:K37)</f>
        <v>3538</v>
      </c>
      <c r="L38" s="111">
        <f>K38/F38</f>
        <v>2.7050054681173283</v>
      </c>
      <c r="M38" s="550"/>
      <c r="N38" s="71"/>
    </row>
    <row r="39" spans="1:14" s="107" customFormat="1" ht="15.95" customHeight="1">
      <c r="A39" s="131"/>
      <c r="B39" s="131"/>
      <c r="C39" s="131"/>
      <c r="D39" s="550" t="s">
        <v>30</v>
      </c>
      <c r="E39" s="550"/>
      <c r="F39" s="127">
        <f>F26+F32+F38</f>
        <v>17695.541599999997</v>
      </c>
      <c r="G39" s="132"/>
      <c r="H39" s="132"/>
      <c r="I39" s="132"/>
      <c r="J39" s="132"/>
      <c r="K39" s="127">
        <f>K26+K32+K38</f>
        <v>47994</v>
      </c>
      <c r="L39" s="129">
        <f>K39/F39</f>
        <v>2.7122085938302112</v>
      </c>
      <c r="M39" s="102"/>
      <c r="N39" s="71"/>
    </row>
    <row r="40" spans="1:14" s="107" customFormat="1" ht="15.95" customHeight="1">
      <c r="A40" s="70" t="s">
        <v>22</v>
      </c>
      <c r="B40" s="70"/>
      <c r="C40" s="70"/>
      <c r="D40" s="70"/>
      <c r="E40" s="70"/>
      <c r="F40" s="71"/>
      <c r="G40" s="71"/>
      <c r="H40" s="71"/>
      <c r="I40" s="71"/>
      <c r="J40" s="71"/>
      <c r="K40" s="824" t="s">
        <v>1110</v>
      </c>
      <c r="L40" s="824"/>
      <c r="M40" s="824"/>
      <c r="N40" s="71"/>
    </row>
    <row r="41" spans="1:14" s="107" customFormat="1" ht="15.95" customHeight="1">
      <c r="A41" s="550" t="s">
        <v>0</v>
      </c>
      <c r="B41" s="550" t="s">
        <v>7</v>
      </c>
      <c r="C41" s="550" t="s">
        <v>13</v>
      </c>
      <c r="D41" s="550" t="s">
        <v>14</v>
      </c>
      <c r="E41" s="550" t="s">
        <v>8</v>
      </c>
      <c r="F41" s="550" t="s">
        <v>1</v>
      </c>
      <c r="G41" s="550" t="s">
        <v>2</v>
      </c>
      <c r="H41" s="550" t="s">
        <v>15</v>
      </c>
      <c r="I41" s="550" t="s">
        <v>3</v>
      </c>
      <c r="J41" s="550" t="s">
        <v>4</v>
      </c>
      <c r="K41" s="550" t="s">
        <v>5</v>
      </c>
      <c r="L41" s="550" t="s">
        <v>12</v>
      </c>
      <c r="M41" s="550" t="s">
        <v>6</v>
      </c>
      <c r="N41" s="71"/>
    </row>
    <row r="42" spans="1:14" s="107" customFormat="1" ht="15.95" customHeight="1">
      <c r="A42" s="551">
        <v>1</v>
      </c>
      <c r="B42" s="552" t="s">
        <v>1077</v>
      </c>
      <c r="C42" s="552" t="s">
        <v>1078</v>
      </c>
      <c r="D42" s="552" t="s">
        <v>1079</v>
      </c>
      <c r="E42" s="552"/>
      <c r="F42" s="87">
        <f>9558*1.0936</f>
        <v>10452.628799999999</v>
      </c>
      <c r="G42" s="552" t="s">
        <v>24</v>
      </c>
      <c r="H42" s="79"/>
      <c r="I42" s="80">
        <v>120</v>
      </c>
      <c r="J42" s="81">
        <v>74</v>
      </c>
      <c r="K42" s="81">
        <f t="shared" ref="K42:K43" si="9">I42*J42</f>
        <v>8880</v>
      </c>
      <c r="L42" s="102"/>
      <c r="M42" s="124"/>
      <c r="N42" s="71"/>
    </row>
    <row r="43" spans="1:14" s="107" customFormat="1" ht="15.95" customHeight="1">
      <c r="A43" s="551"/>
      <c r="B43" s="552" t="s">
        <v>269</v>
      </c>
      <c r="C43" s="552"/>
      <c r="D43" s="552"/>
      <c r="E43" s="552"/>
      <c r="F43" s="90">
        <f>222*1.0936</f>
        <v>242.77919999999997</v>
      </c>
      <c r="G43" s="430" t="s">
        <v>10</v>
      </c>
      <c r="H43" s="79"/>
      <c r="I43" s="80">
        <v>30</v>
      </c>
      <c r="J43" s="81">
        <v>120</v>
      </c>
      <c r="K43" s="81">
        <f t="shared" si="9"/>
        <v>3600</v>
      </c>
      <c r="L43" s="102"/>
      <c r="M43" s="102"/>
      <c r="N43" s="71"/>
    </row>
    <row r="44" spans="1:14" s="107" customFormat="1" ht="15.95" customHeight="1">
      <c r="A44" s="551"/>
      <c r="B44" s="552"/>
      <c r="C44" s="552"/>
      <c r="D44" s="552"/>
      <c r="E44" s="550" t="s">
        <v>9</v>
      </c>
      <c r="F44" s="110">
        <f>SUM(F42:F43)</f>
        <v>10695.407999999999</v>
      </c>
      <c r="G44" s="550"/>
      <c r="H44" s="550"/>
      <c r="I44" s="125"/>
      <c r="J44" s="97"/>
      <c r="K44" s="111">
        <f>SUM(K42:K43)</f>
        <v>12480</v>
      </c>
      <c r="L44" s="111">
        <f>K44/F44</f>
        <v>1.1668559067592372</v>
      </c>
      <c r="M44" s="102"/>
      <c r="N44" s="71"/>
    </row>
    <row r="45" spans="1:14" s="107" customFormat="1" ht="15.95" customHeight="1">
      <c r="A45" s="71"/>
      <c r="B45" s="71"/>
      <c r="C45" s="71"/>
      <c r="D45" s="126" t="s">
        <v>30</v>
      </c>
      <c r="E45" s="126"/>
      <c r="F45" s="127">
        <f>F44</f>
        <v>10695.407999999999</v>
      </c>
      <c r="G45" s="128"/>
      <c r="H45" s="128"/>
      <c r="I45" s="128"/>
      <c r="J45" s="128"/>
      <c r="K45" s="127">
        <f>K44</f>
        <v>12480</v>
      </c>
      <c r="L45" s="129">
        <f>K45/F45</f>
        <v>1.1668559067592372</v>
      </c>
      <c r="M45" s="71"/>
      <c r="N45" s="71"/>
    </row>
    <row r="46" spans="1:14" s="71" customFormat="1" ht="15.95" customHeight="1">
      <c r="A46" s="70" t="s">
        <v>16</v>
      </c>
      <c r="B46" s="70"/>
      <c r="C46" s="70"/>
      <c r="D46" s="70"/>
      <c r="E46" s="70"/>
      <c r="K46" s="824" t="s">
        <v>1110</v>
      </c>
      <c r="L46" s="824"/>
      <c r="M46" s="824"/>
    </row>
    <row r="47" spans="1:14" s="71" customFormat="1" ht="15.95" customHeight="1">
      <c r="A47" s="550" t="s">
        <v>0</v>
      </c>
      <c r="B47" s="550" t="s">
        <v>7</v>
      </c>
      <c r="C47" s="550" t="s">
        <v>13</v>
      </c>
      <c r="D47" s="550" t="s">
        <v>14</v>
      </c>
      <c r="E47" s="550" t="s">
        <v>8</v>
      </c>
      <c r="F47" s="550" t="s">
        <v>1</v>
      </c>
      <c r="G47" s="550" t="s">
        <v>2</v>
      </c>
      <c r="H47" s="550" t="s">
        <v>15</v>
      </c>
      <c r="I47" s="550" t="s">
        <v>3</v>
      </c>
      <c r="J47" s="550" t="s">
        <v>4</v>
      </c>
      <c r="K47" s="550" t="s">
        <v>5</v>
      </c>
      <c r="L47" s="550" t="s">
        <v>12</v>
      </c>
      <c r="M47" s="550" t="s">
        <v>6</v>
      </c>
    </row>
    <row r="48" spans="1:14" s="71" customFormat="1" ht="15.95" customHeight="1">
      <c r="A48" s="551">
        <v>5353</v>
      </c>
      <c r="B48" s="552" t="s">
        <v>358</v>
      </c>
      <c r="C48" s="552" t="s">
        <v>121</v>
      </c>
      <c r="D48" s="552" t="s">
        <v>334</v>
      </c>
      <c r="E48" s="552" t="s">
        <v>404</v>
      </c>
      <c r="F48" s="87"/>
      <c r="G48" s="552" t="s">
        <v>24</v>
      </c>
      <c r="H48" s="79"/>
      <c r="I48" s="80"/>
      <c r="J48" s="81">
        <v>74</v>
      </c>
      <c r="K48" s="81">
        <f t="shared" ref="K48:K49" si="10">I48*J48</f>
        <v>0</v>
      </c>
      <c r="L48" s="102"/>
      <c r="M48" s="139"/>
    </row>
    <row r="49" spans="1:14" s="71" customFormat="1" ht="15.95" customHeight="1">
      <c r="A49" s="551"/>
      <c r="B49" s="552"/>
      <c r="C49" s="552" t="s">
        <v>497</v>
      </c>
      <c r="D49" s="552"/>
      <c r="E49" s="552" t="s">
        <v>496</v>
      </c>
      <c r="F49" s="552"/>
      <c r="G49" s="430" t="s">
        <v>25</v>
      </c>
      <c r="H49" s="79"/>
      <c r="I49" s="80"/>
      <c r="J49" s="81">
        <v>172</v>
      </c>
      <c r="K49" s="81">
        <f t="shared" si="10"/>
        <v>0</v>
      </c>
      <c r="L49" s="102"/>
      <c r="M49" s="102"/>
    </row>
    <row r="50" spans="1:14" s="71" customFormat="1" ht="15.95" customHeight="1">
      <c r="A50" s="551"/>
      <c r="B50" s="551"/>
      <c r="C50" s="551"/>
      <c r="D50" s="551"/>
      <c r="E50" s="550" t="s">
        <v>9</v>
      </c>
      <c r="F50" s="110">
        <f>SUM(F48:F49)</f>
        <v>0</v>
      </c>
      <c r="G50" s="550"/>
      <c r="H50" s="550"/>
      <c r="I50" s="125"/>
      <c r="J50" s="97"/>
      <c r="K50" s="111">
        <f>SUM(K48:K49)</f>
        <v>0</v>
      </c>
      <c r="L50" s="111" t="e">
        <f>K50/F50</f>
        <v>#DIV/0!</v>
      </c>
      <c r="M50" s="102"/>
    </row>
    <row r="51" spans="1:14" s="71" customFormat="1" ht="15.95" customHeight="1">
      <c r="A51" s="548"/>
      <c r="B51" s="548"/>
      <c r="C51" s="548"/>
      <c r="D51" s="126" t="s">
        <v>30</v>
      </c>
      <c r="E51" s="126"/>
      <c r="F51" s="127">
        <f>F50</f>
        <v>0</v>
      </c>
      <c r="G51" s="128"/>
      <c r="H51" s="128"/>
      <c r="I51" s="128"/>
      <c r="J51" s="128"/>
      <c r="K51" s="127">
        <f>K50</f>
        <v>0</v>
      </c>
      <c r="L51" s="129" t="e">
        <f>K51/F51</f>
        <v>#DIV/0!</v>
      </c>
      <c r="M51" s="131"/>
    </row>
    <row r="52" spans="1:14" s="71" customFormat="1" ht="15.95" customHeight="1">
      <c r="A52" s="70" t="s">
        <v>72</v>
      </c>
      <c r="B52" s="70"/>
      <c r="C52" s="70"/>
      <c r="D52" s="70"/>
      <c r="E52" s="70"/>
      <c r="I52" s="140"/>
      <c r="K52" s="824" t="s">
        <v>1110</v>
      </c>
      <c r="L52" s="824"/>
      <c r="M52" s="824"/>
    </row>
    <row r="53" spans="1:14" s="71" customFormat="1" ht="15.95" customHeight="1">
      <c r="A53" s="550" t="s">
        <v>0</v>
      </c>
      <c r="B53" s="550" t="s">
        <v>7</v>
      </c>
      <c r="C53" s="550" t="s">
        <v>13</v>
      </c>
      <c r="D53" s="550" t="s">
        <v>14</v>
      </c>
      <c r="E53" s="550" t="s">
        <v>8</v>
      </c>
      <c r="F53" s="550" t="s">
        <v>1</v>
      </c>
      <c r="G53" s="550" t="s">
        <v>2</v>
      </c>
      <c r="H53" s="550" t="s">
        <v>15</v>
      </c>
      <c r="I53" s="141" t="s">
        <v>3</v>
      </c>
      <c r="J53" s="550" t="s">
        <v>4</v>
      </c>
      <c r="K53" s="550" t="s">
        <v>5</v>
      </c>
      <c r="L53" s="550" t="s">
        <v>12</v>
      </c>
      <c r="M53" s="550" t="s">
        <v>6</v>
      </c>
      <c r="N53" s="123"/>
    </row>
    <row r="54" spans="1:14" s="71" customFormat="1" ht="15.95" customHeight="1">
      <c r="A54" s="552">
        <v>10028</v>
      </c>
      <c r="B54" s="552" t="s">
        <v>1111</v>
      </c>
      <c r="C54" s="89" t="s">
        <v>700</v>
      </c>
      <c r="D54" s="89" t="s">
        <v>297</v>
      </c>
      <c r="E54" s="552" t="s">
        <v>1112</v>
      </c>
      <c r="F54" s="90">
        <f>4450*1.0936</f>
        <v>4866.5199999999995</v>
      </c>
      <c r="G54" s="553" t="s">
        <v>405</v>
      </c>
      <c r="H54" s="79"/>
      <c r="I54" s="80">
        <f>0.975+0.745+0.05+0.03</f>
        <v>1.8</v>
      </c>
      <c r="J54" s="81">
        <v>1708</v>
      </c>
      <c r="K54" s="81">
        <f t="shared" ref="K54:K58" si="11">I54*J54</f>
        <v>3074.4</v>
      </c>
      <c r="L54" s="79"/>
      <c r="M54" s="79"/>
    </row>
    <row r="55" spans="1:14" s="71" customFormat="1" ht="15.95" customHeight="1">
      <c r="A55" s="552"/>
      <c r="B55" s="550"/>
      <c r="C55" s="550"/>
      <c r="D55" s="550"/>
      <c r="E55" s="550"/>
      <c r="F55" s="550"/>
      <c r="G55" s="553" t="s">
        <v>183</v>
      </c>
      <c r="H55" s="79"/>
      <c r="I55" s="80">
        <f>0.33+0.267+0.03</f>
        <v>0.627</v>
      </c>
      <c r="J55" s="81">
        <v>1600</v>
      </c>
      <c r="K55" s="81">
        <f t="shared" si="11"/>
        <v>1003.2</v>
      </c>
      <c r="L55" s="79"/>
      <c r="M55" s="79"/>
    </row>
    <row r="56" spans="1:14" s="71" customFormat="1" ht="15.95" customHeight="1">
      <c r="A56" s="552"/>
      <c r="B56" s="550"/>
      <c r="C56" s="550"/>
      <c r="D56" s="550"/>
      <c r="E56" s="550"/>
      <c r="F56" s="550"/>
      <c r="G56" s="93" t="s">
        <v>315</v>
      </c>
      <c r="H56" s="79"/>
      <c r="I56" s="80">
        <f>0.9+0.495+0.08+0.06</f>
        <v>1.5350000000000001</v>
      </c>
      <c r="J56" s="81">
        <v>2184</v>
      </c>
      <c r="K56" s="81">
        <f t="shared" si="11"/>
        <v>3352.4400000000005</v>
      </c>
      <c r="L56" s="79"/>
      <c r="M56" s="79"/>
    </row>
    <row r="57" spans="1:14" s="71" customFormat="1" ht="15.95" customHeight="1">
      <c r="A57" s="552"/>
      <c r="B57" s="550"/>
      <c r="C57" s="550"/>
      <c r="D57" s="550"/>
      <c r="E57" s="550"/>
      <c r="F57" s="550"/>
      <c r="G57" s="552" t="s">
        <v>184</v>
      </c>
      <c r="H57" s="552"/>
      <c r="I57" s="80">
        <f>5+3.2</f>
        <v>8.1999999999999993</v>
      </c>
      <c r="J57" s="81">
        <v>336</v>
      </c>
      <c r="K57" s="94">
        <f t="shared" si="11"/>
        <v>2755.2</v>
      </c>
      <c r="L57" s="79"/>
      <c r="M57" s="79"/>
    </row>
    <row r="58" spans="1:14" s="71" customFormat="1" ht="15.95" customHeight="1">
      <c r="A58" s="552"/>
      <c r="B58" s="550"/>
      <c r="C58" s="550"/>
      <c r="D58" s="550"/>
      <c r="E58" s="550"/>
      <c r="F58" s="550"/>
      <c r="G58" s="95" t="s">
        <v>185</v>
      </c>
      <c r="H58" s="79"/>
      <c r="I58" s="96">
        <f>1+0.6</f>
        <v>1.6</v>
      </c>
      <c r="J58" s="81">
        <v>490</v>
      </c>
      <c r="K58" s="81">
        <f t="shared" si="11"/>
        <v>784</v>
      </c>
      <c r="L58" s="79"/>
      <c r="M58" s="79"/>
    </row>
    <row r="59" spans="1:14" s="71" customFormat="1" ht="15.95" customHeight="1">
      <c r="A59" s="552"/>
      <c r="B59" s="552"/>
      <c r="C59" s="552"/>
      <c r="D59" s="552"/>
      <c r="E59" s="273" t="s">
        <v>9</v>
      </c>
      <c r="F59" s="108">
        <f>SUM(F54:F58)</f>
        <v>4866.5199999999995</v>
      </c>
      <c r="G59" s="273"/>
      <c r="H59" s="273"/>
      <c r="I59" s="80"/>
      <c r="J59" s="81"/>
      <c r="K59" s="103">
        <f>SUM(K54:K58)</f>
        <v>10969.240000000002</v>
      </c>
      <c r="L59" s="103">
        <f>K59/F59</f>
        <v>2.2540213540682053</v>
      </c>
      <c r="M59" s="79"/>
    </row>
    <row r="60" spans="1:14" s="71" customFormat="1" ht="15.95" customHeight="1">
      <c r="A60" s="552">
        <v>10030</v>
      </c>
      <c r="B60" s="552" t="s">
        <v>1114</v>
      </c>
      <c r="C60" s="89" t="s">
        <v>700</v>
      </c>
      <c r="D60" s="89" t="s">
        <v>297</v>
      </c>
      <c r="E60" s="552" t="s">
        <v>1113</v>
      </c>
      <c r="F60" s="90">
        <f>2060*1.0936</f>
        <v>2252.8159999999998</v>
      </c>
      <c r="G60" s="553" t="s">
        <v>405</v>
      </c>
      <c r="H60" s="79"/>
      <c r="I60" s="80">
        <v>5</v>
      </c>
      <c r="J60" s="81">
        <v>1708</v>
      </c>
      <c r="K60" s="81">
        <f t="shared" ref="K60:K64" si="12">I60*J60</f>
        <v>8540</v>
      </c>
      <c r="L60" s="79"/>
      <c r="M60" s="79"/>
    </row>
    <row r="61" spans="1:14" s="71" customFormat="1" ht="15.95" customHeight="1">
      <c r="A61" s="552"/>
      <c r="B61" s="552"/>
      <c r="C61" s="552"/>
      <c r="D61" s="552"/>
      <c r="E61" s="552"/>
      <c r="F61" s="87"/>
      <c r="G61" s="553" t="s">
        <v>183</v>
      </c>
      <c r="H61" s="79"/>
      <c r="I61" s="80">
        <f>0.765+0.035</f>
        <v>0.8</v>
      </c>
      <c r="J61" s="81">
        <v>1600</v>
      </c>
      <c r="K61" s="81">
        <f t="shared" si="12"/>
        <v>1280</v>
      </c>
      <c r="L61" s="79"/>
      <c r="M61" s="79"/>
    </row>
    <row r="62" spans="1:14" s="71" customFormat="1" ht="15.95" customHeight="1">
      <c r="A62" s="552"/>
      <c r="B62" s="552"/>
      <c r="C62" s="552"/>
      <c r="D62" s="552"/>
      <c r="E62" s="552"/>
      <c r="F62" s="87"/>
      <c r="G62" s="93" t="s">
        <v>315</v>
      </c>
      <c r="H62" s="79"/>
      <c r="I62" s="80">
        <f>4.45+0.08</f>
        <v>4.53</v>
      </c>
      <c r="J62" s="81">
        <v>2184</v>
      </c>
      <c r="K62" s="81">
        <f t="shared" si="12"/>
        <v>9893.52</v>
      </c>
      <c r="L62" s="79"/>
      <c r="M62" s="79"/>
    </row>
    <row r="63" spans="1:14" s="71" customFormat="1" ht="15.95" customHeight="1">
      <c r="A63" s="552"/>
      <c r="B63" s="552"/>
      <c r="C63" s="552"/>
      <c r="D63" s="552"/>
      <c r="E63" s="552"/>
      <c r="F63" s="87"/>
      <c r="G63" s="552" t="s">
        <v>184</v>
      </c>
      <c r="H63" s="552"/>
      <c r="I63" s="80">
        <f>5+0.7</f>
        <v>5.7</v>
      </c>
      <c r="J63" s="81">
        <v>336</v>
      </c>
      <c r="K63" s="94">
        <f t="shared" si="12"/>
        <v>1915.2</v>
      </c>
      <c r="L63" s="79"/>
      <c r="M63" s="79"/>
    </row>
    <row r="64" spans="1:14" s="71" customFormat="1" ht="15.95" customHeight="1">
      <c r="A64" s="552"/>
      <c r="B64" s="552"/>
      <c r="C64" s="552"/>
      <c r="D64" s="552"/>
      <c r="E64" s="552"/>
      <c r="F64" s="87"/>
      <c r="G64" s="95" t="s">
        <v>185</v>
      </c>
      <c r="H64" s="79"/>
      <c r="I64" s="96">
        <f>1+0.15</f>
        <v>1.1499999999999999</v>
      </c>
      <c r="J64" s="81">
        <v>490</v>
      </c>
      <c r="K64" s="81">
        <f t="shared" si="12"/>
        <v>563.5</v>
      </c>
      <c r="L64" s="79"/>
      <c r="M64" s="79"/>
    </row>
    <row r="65" spans="1:13" s="71" customFormat="1" ht="15.95" customHeight="1">
      <c r="A65" s="552"/>
      <c r="B65" s="552"/>
      <c r="C65" s="552"/>
      <c r="D65" s="552"/>
      <c r="E65" s="273" t="s">
        <v>9</v>
      </c>
      <c r="F65" s="108">
        <f>SUM(F60:F64)</f>
        <v>2252.8159999999998</v>
      </c>
      <c r="G65" s="273"/>
      <c r="H65" s="273"/>
      <c r="I65" s="80"/>
      <c r="J65" s="81"/>
      <c r="K65" s="103">
        <f>SUM(K60:K64)</f>
        <v>22192.22</v>
      </c>
      <c r="L65" s="103">
        <f>K65/F65</f>
        <v>9.8508799653411572</v>
      </c>
      <c r="M65" s="79"/>
    </row>
    <row r="66" spans="1:13" s="71" customFormat="1" ht="15.95" customHeight="1">
      <c r="A66" s="552">
        <v>10018</v>
      </c>
      <c r="B66" s="552" t="s">
        <v>865</v>
      </c>
      <c r="C66" s="89" t="s">
        <v>700</v>
      </c>
      <c r="D66" s="89" t="s">
        <v>297</v>
      </c>
      <c r="E66" s="552" t="s">
        <v>1115</v>
      </c>
      <c r="F66" s="90">
        <f>6270*1.0936</f>
        <v>6856.8719999999994</v>
      </c>
      <c r="G66" s="553" t="s">
        <v>405</v>
      </c>
      <c r="H66" s="79"/>
      <c r="I66" s="80">
        <f>0.537+0.026+0.06+0.07</f>
        <v>0.69300000000000006</v>
      </c>
      <c r="J66" s="81">
        <v>1708</v>
      </c>
      <c r="K66" s="81">
        <f t="shared" ref="K66:K70" si="13">I66*J66</f>
        <v>1183.644</v>
      </c>
      <c r="L66" s="79"/>
      <c r="M66" s="79"/>
    </row>
    <row r="67" spans="1:13" s="71" customFormat="1" ht="15.95" customHeight="1">
      <c r="A67" s="552"/>
      <c r="B67" s="552"/>
      <c r="C67" s="552"/>
      <c r="D67" s="552"/>
      <c r="E67" s="552"/>
      <c r="F67" s="87"/>
      <c r="G67" s="91" t="s">
        <v>926</v>
      </c>
      <c r="H67" s="79"/>
      <c r="I67" s="80">
        <f>0.712+0.152+0.105</f>
        <v>0.96899999999999997</v>
      </c>
      <c r="J67" s="81">
        <v>2152</v>
      </c>
      <c r="K67" s="81">
        <f t="shared" si="13"/>
        <v>2085.288</v>
      </c>
      <c r="L67" s="79"/>
      <c r="M67" s="79"/>
    </row>
    <row r="68" spans="1:13" s="71" customFormat="1" ht="15.95" customHeight="1">
      <c r="A68" s="552"/>
      <c r="B68" s="552"/>
      <c r="C68" s="552"/>
      <c r="D68" s="552"/>
      <c r="E68" s="552"/>
      <c r="F68" s="87"/>
      <c r="G68" s="93" t="s">
        <v>315</v>
      </c>
      <c r="H68" s="79"/>
      <c r="I68" s="80">
        <f>1.166+0.223</f>
        <v>1.389</v>
      </c>
      <c r="J68" s="81">
        <v>2184</v>
      </c>
      <c r="K68" s="81">
        <f t="shared" si="13"/>
        <v>3033.576</v>
      </c>
      <c r="L68" s="79"/>
      <c r="M68" s="79"/>
    </row>
    <row r="69" spans="1:13" s="71" customFormat="1" ht="15.95" customHeight="1">
      <c r="A69" s="552"/>
      <c r="B69" s="552"/>
      <c r="C69" s="552"/>
      <c r="D69" s="552"/>
      <c r="E69" s="552"/>
      <c r="F69" s="87"/>
      <c r="G69" s="552" t="s">
        <v>184</v>
      </c>
      <c r="H69" s="552"/>
      <c r="I69" s="80">
        <v>7.5</v>
      </c>
      <c r="J69" s="81">
        <v>336</v>
      </c>
      <c r="K69" s="94">
        <f t="shared" si="13"/>
        <v>2520</v>
      </c>
      <c r="L69" s="79"/>
      <c r="M69" s="79"/>
    </row>
    <row r="70" spans="1:13" s="71" customFormat="1" ht="15.95" customHeight="1">
      <c r="A70" s="552"/>
      <c r="B70" s="552"/>
      <c r="C70" s="552"/>
      <c r="D70" s="552"/>
      <c r="E70" s="552"/>
      <c r="F70" s="87"/>
      <c r="G70" s="95" t="s">
        <v>185</v>
      </c>
      <c r="H70" s="79"/>
      <c r="I70" s="96">
        <v>1.5</v>
      </c>
      <c r="J70" s="81">
        <v>490</v>
      </c>
      <c r="K70" s="81">
        <f t="shared" si="13"/>
        <v>735</v>
      </c>
      <c r="L70" s="79"/>
      <c r="M70" s="79"/>
    </row>
    <row r="71" spans="1:13" s="71" customFormat="1" ht="15.95" customHeight="1">
      <c r="A71" s="552"/>
      <c r="B71" s="552"/>
      <c r="C71" s="552"/>
      <c r="D71" s="552"/>
      <c r="E71" s="273" t="s">
        <v>9</v>
      </c>
      <c r="F71" s="108">
        <f>SUM(F66:F70)</f>
        <v>6856.8719999999994</v>
      </c>
      <c r="G71" s="273"/>
      <c r="H71" s="273"/>
      <c r="I71" s="80"/>
      <c r="J71" s="81"/>
      <c r="K71" s="103">
        <f>SUM(K66:K70)</f>
        <v>9557.5079999999998</v>
      </c>
      <c r="L71" s="158">
        <f>K71/F71</f>
        <v>1.3938583074031425</v>
      </c>
      <c r="M71" s="79"/>
    </row>
    <row r="72" spans="1:13" s="71" customFormat="1" ht="15.95" customHeight="1">
      <c r="A72" s="552">
        <v>10025</v>
      </c>
      <c r="B72" s="552" t="s">
        <v>929</v>
      </c>
      <c r="C72" s="89" t="s">
        <v>513</v>
      </c>
      <c r="D72" s="89" t="s">
        <v>297</v>
      </c>
      <c r="E72" s="552" t="s">
        <v>779</v>
      </c>
      <c r="F72" s="90">
        <f>110*1.0936</f>
        <v>120.29599999999999</v>
      </c>
      <c r="G72" s="553" t="s">
        <v>405</v>
      </c>
      <c r="H72" s="79"/>
      <c r="I72" s="80">
        <v>0.623</v>
      </c>
      <c r="J72" s="81">
        <v>1708</v>
      </c>
      <c r="K72" s="81">
        <f t="shared" ref="K72:K76" si="14">I72*J72</f>
        <v>1064.0840000000001</v>
      </c>
      <c r="L72" s="79"/>
      <c r="M72" s="79"/>
    </row>
    <row r="73" spans="1:13" s="71" customFormat="1" ht="15.95" customHeight="1">
      <c r="A73" s="552"/>
      <c r="B73" s="552"/>
      <c r="C73" s="552"/>
      <c r="D73" s="552"/>
      <c r="E73" s="552"/>
      <c r="F73" s="87"/>
      <c r="G73" s="553" t="s">
        <v>183</v>
      </c>
      <c r="H73" s="79"/>
      <c r="I73" s="80">
        <v>0.11899999999999999</v>
      </c>
      <c r="J73" s="81">
        <v>1600</v>
      </c>
      <c r="K73" s="81">
        <f t="shared" si="14"/>
        <v>190.39999999999998</v>
      </c>
      <c r="L73" s="79"/>
      <c r="M73" s="79"/>
    </row>
    <row r="74" spans="1:13" s="71" customFormat="1" ht="15.95" customHeight="1">
      <c r="A74" s="552"/>
      <c r="B74" s="552"/>
      <c r="C74" s="552"/>
      <c r="D74" s="552"/>
      <c r="E74" s="552"/>
      <c r="F74" s="87"/>
      <c r="G74" s="93" t="s">
        <v>315</v>
      </c>
      <c r="H74" s="79"/>
      <c r="I74" s="80">
        <v>0.66500000000000004</v>
      </c>
      <c r="J74" s="81">
        <v>2184</v>
      </c>
      <c r="K74" s="81">
        <f t="shared" si="14"/>
        <v>1452.3600000000001</v>
      </c>
      <c r="L74" s="79"/>
      <c r="M74" s="79"/>
    </row>
    <row r="75" spans="1:13" s="71" customFormat="1" ht="15.95" customHeight="1">
      <c r="A75" s="552"/>
      <c r="B75" s="552"/>
      <c r="C75" s="552"/>
      <c r="D75" s="552"/>
      <c r="E75" s="552"/>
      <c r="F75" s="87"/>
      <c r="G75" s="552" t="s">
        <v>184</v>
      </c>
      <c r="H75" s="552"/>
      <c r="I75" s="80">
        <v>0.7</v>
      </c>
      <c r="J75" s="81">
        <v>336</v>
      </c>
      <c r="K75" s="94">
        <f t="shared" si="14"/>
        <v>235.2</v>
      </c>
      <c r="L75" s="79"/>
      <c r="M75" s="79"/>
    </row>
    <row r="76" spans="1:13" s="71" customFormat="1" ht="15.95" customHeight="1">
      <c r="A76" s="552"/>
      <c r="B76" s="552"/>
      <c r="C76" s="552"/>
      <c r="D76" s="552"/>
      <c r="E76" s="552"/>
      <c r="F76" s="87"/>
      <c r="G76" s="95" t="s">
        <v>185</v>
      </c>
      <c r="H76" s="79"/>
      <c r="I76" s="96">
        <v>0.14000000000000001</v>
      </c>
      <c r="J76" s="81">
        <v>490</v>
      </c>
      <c r="K76" s="81">
        <f t="shared" si="14"/>
        <v>68.600000000000009</v>
      </c>
      <c r="L76" s="79"/>
      <c r="M76" s="79"/>
    </row>
    <row r="77" spans="1:13" s="71" customFormat="1" ht="15.95" customHeight="1">
      <c r="A77" s="552"/>
      <c r="B77" s="552"/>
      <c r="C77" s="552"/>
      <c r="D77" s="552"/>
      <c r="E77" s="273" t="s">
        <v>9</v>
      </c>
      <c r="F77" s="108">
        <f>SUM(F72:F76)</f>
        <v>120.29599999999999</v>
      </c>
      <c r="G77" s="273"/>
      <c r="H77" s="273"/>
      <c r="I77" s="80"/>
      <c r="J77" s="81"/>
      <c r="K77" s="103">
        <f>SUM(K72:K76)</f>
        <v>3010.6439999999998</v>
      </c>
      <c r="L77" s="103">
        <f>K77/F77</f>
        <v>25.026966815189201</v>
      </c>
      <c r="M77" s="79"/>
    </row>
    <row r="78" spans="1:13" s="71" customFormat="1" ht="15.95" customHeight="1">
      <c r="A78" s="552">
        <v>10019</v>
      </c>
      <c r="B78" s="552" t="s">
        <v>966</v>
      </c>
      <c r="C78" s="552" t="s">
        <v>918</v>
      </c>
      <c r="D78" s="552" t="s">
        <v>883</v>
      </c>
      <c r="E78" s="552" t="s">
        <v>127</v>
      </c>
      <c r="F78" s="87">
        <f>4530*1.0936</f>
        <v>4954.0079999999998</v>
      </c>
      <c r="G78" s="553" t="s">
        <v>405</v>
      </c>
      <c r="H78" s="79"/>
      <c r="I78" s="80">
        <f>1.4+1.17</f>
        <v>2.57</v>
      </c>
      <c r="J78" s="81">
        <v>1708</v>
      </c>
      <c r="K78" s="81">
        <f t="shared" ref="K78:K82" si="15">I78*J78</f>
        <v>4389.5599999999995</v>
      </c>
      <c r="L78" s="79"/>
      <c r="M78" s="79"/>
    </row>
    <row r="79" spans="1:13" s="71" customFormat="1" ht="15.95" customHeight="1">
      <c r="A79" s="552"/>
      <c r="B79" s="552"/>
      <c r="C79" s="552"/>
      <c r="D79" s="552"/>
      <c r="E79" s="552"/>
      <c r="F79" s="87"/>
      <c r="G79" s="553" t="s">
        <v>183</v>
      </c>
      <c r="H79" s="79"/>
      <c r="I79" s="80">
        <f>0.42+0.324</f>
        <v>0.74399999999999999</v>
      </c>
      <c r="J79" s="81">
        <v>1600</v>
      </c>
      <c r="K79" s="81">
        <f t="shared" si="15"/>
        <v>1190.4000000000001</v>
      </c>
      <c r="L79" s="79"/>
      <c r="M79" s="79"/>
    </row>
    <row r="80" spans="1:13" s="71" customFormat="1" ht="15.95" customHeight="1">
      <c r="A80" s="552"/>
      <c r="B80" s="552"/>
      <c r="C80" s="552"/>
      <c r="D80" s="552"/>
      <c r="E80" s="552"/>
      <c r="F80" s="87"/>
      <c r="G80" s="93" t="s">
        <v>315</v>
      </c>
      <c r="H80" s="79"/>
      <c r="I80" s="80">
        <f>1.18+0.85</f>
        <v>2.0299999999999998</v>
      </c>
      <c r="J80" s="81">
        <v>2184</v>
      </c>
      <c r="K80" s="81">
        <f t="shared" si="15"/>
        <v>4433.5199999999995</v>
      </c>
      <c r="L80" s="79"/>
      <c r="M80" s="79"/>
    </row>
    <row r="81" spans="1:13" s="71" customFormat="1" ht="15.95" customHeight="1">
      <c r="A81" s="552"/>
      <c r="B81" s="552"/>
      <c r="C81" s="552"/>
      <c r="D81" s="552"/>
      <c r="E81" s="552"/>
      <c r="F81" s="87"/>
      <c r="G81" s="552" t="s">
        <v>184</v>
      </c>
      <c r="H81" s="552"/>
      <c r="I81" s="80">
        <v>5</v>
      </c>
      <c r="J81" s="81">
        <v>336</v>
      </c>
      <c r="K81" s="94">
        <f t="shared" si="15"/>
        <v>1680</v>
      </c>
      <c r="L81" s="79"/>
      <c r="M81" s="79"/>
    </row>
    <row r="82" spans="1:13" s="71" customFormat="1" ht="15.95" customHeight="1">
      <c r="A82" s="552"/>
      <c r="B82" s="552"/>
      <c r="C82" s="552"/>
      <c r="D82" s="552"/>
      <c r="E82" s="552"/>
      <c r="F82" s="87"/>
      <c r="G82" s="95" t="s">
        <v>185</v>
      </c>
      <c r="H82" s="79"/>
      <c r="I82" s="96">
        <v>1</v>
      </c>
      <c r="J82" s="81">
        <v>490</v>
      </c>
      <c r="K82" s="81">
        <f t="shared" si="15"/>
        <v>490</v>
      </c>
      <c r="L82" s="79"/>
      <c r="M82" s="79"/>
    </row>
    <row r="83" spans="1:13" s="71" customFormat="1" ht="15.95" customHeight="1">
      <c r="A83" s="552"/>
      <c r="B83" s="552"/>
      <c r="C83" s="552"/>
      <c r="D83" s="552"/>
      <c r="E83" s="273" t="s">
        <v>9</v>
      </c>
      <c r="F83" s="108">
        <f>SUM(F78:F82)</f>
        <v>4954.0079999999998</v>
      </c>
      <c r="G83" s="273"/>
      <c r="H83" s="273"/>
      <c r="I83" s="80"/>
      <c r="J83" s="81"/>
      <c r="K83" s="103">
        <f>SUM(K78:K82)</f>
        <v>12183.48</v>
      </c>
      <c r="L83" s="103">
        <f>K83/F83</f>
        <v>2.4593177887480198</v>
      </c>
      <c r="M83" s="79"/>
    </row>
    <row r="84" spans="1:13" s="71" customFormat="1" ht="15.95" customHeight="1">
      <c r="A84" s="552">
        <v>10027</v>
      </c>
      <c r="B84" s="552" t="s">
        <v>998</v>
      </c>
      <c r="C84" s="552" t="s">
        <v>792</v>
      </c>
      <c r="D84" s="552" t="s">
        <v>999</v>
      </c>
      <c r="E84" s="552" t="s">
        <v>1072</v>
      </c>
      <c r="F84" s="90">
        <f>1000*1.0936</f>
        <v>1093.5999999999999</v>
      </c>
      <c r="G84" s="91" t="s">
        <v>196</v>
      </c>
      <c r="H84" s="79"/>
      <c r="I84" s="80">
        <f>0.67+0.225</f>
        <v>0.89500000000000002</v>
      </c>
      <c r="J84" s="81">
        <v>888</v>
      </c>
      <c r="K84" s="81">
        <f t="shared" ref="K84:K88" si="16">I84*J84</f>
        <v>794.76</v>
      </c>
      <c r="L84" s="102"/>
      <c r="M84" s="102"/>
    </row>
    <row r="85" spans="1:13" s="71" customFormat="1" ht="15.95" customHeight="1">
      <c r="A85" s="552"/>
      <c r="B85" s="552"/>
      <c r="C85" s="552"/>
      <c r="D85" s="552"/>
      <c r="E85" s="552"/>
      <c r="F85" s="552"/>
      <c r="G85" s="91" t="s">
        <v>281</v>
      </c>
      <c r="H85" s="79"/>
      <c r="I85" s="80">
        <f>0.48+0.1</f>
        <v>0.57999999999999996</v>
      </c>
      <c r="J85" s="81">
        <v>1035</v>
      </c>
      <c r="K85" s="81">
        <f t="shared" si="16"/>
        <v>600.29999999999995</v>
      </c>
      <c r="L85" s="102"/>
      <c r="M85" s="102"/>
    </row>
    <row r="86" spans="1:13" s="71" customFormat="1" ht="15.95" customHeight="1">
      <c r="A86" s="552"/>
      <c r="B86" s="551"/>
      <c r="C86" s="551"/>
      <c r="D86" s="551"/>
      <c r="E86" s="552"/>
      <c r="F86" s="98"/>
      <c r="G86" s="91" t="s">
        <v>532</v>
      </c>
      <c r="H86" s="79"/>
      <c r="I86" s="80">
        <f>3.5+0.85</f>
        <v>4.3499999999999996</v>
      </c>
      <c r="J86" s="81">
        <v>476</v>
      </c>
      <c r="K86" s="81">
        <f t="shared" si="16"/>
        <v>2070.6</v>
      </c>
      <c r="L86" s="102"/>
      <c r="M86" s="102"/>
    </row>
    <row r="87" spans="1:13" s="71" customFormat="1" ht="15.95" customHeight="1">
      <c r="A87" s="552"/>
      <c r="B87" s="551"/>
      <c r="C87" s="551"/>
      <c r="D87" s="551"/>
      <c r="E87" s="552"/>
      <c r="F87" s="98"/>
      <c r="G87" s="552" t="s">
        <v>184</v>
      </c>
      <c r="H87" s="552"/>
      <c r="I87" s="80">
        <v>2</v>
      </c>
      <c r="J87" s="81">
        <v>336</v>
      </c>
      <c r="K87" s="94">
        <f t="shared" si="16"/>
        <v>672</v>
      </c>
      <c r="L87" s="102"/>
      <c r="M87" s="102"/>
    </row>
    <row r="88" spans="1:13" s="71" customFormat="1" ht="15.95" customHeight="1">
      <c r="A88" s="552"/>
      <c r="B88" s="551"/>
      <c r="C88" s="551"/>
      <c r="D88" s="551"/>
      <c r="E88" s="552"/>
      <c r="F88" s="98"/>
      <c r="G88" s="95" t="s">
        <v>185</v>
      </c>
      <c r="H88" s="79"/>
      <c r="I88" s="96">
        <v>0.4</v>
      </c>
      <c r="J88" s="81">
        <v>490</v>
      </c>
      <c r="K88" s="81">
        <f t="shared" si="16"/>
        <v>196</v>
      </c>
      <c r="L88" s="102"/>
      <c r="M88" s="102"/>
    </row>
    <row r="89" spans="1:13" s="71" customFormat="1" ht="15.95" customHeight="1">
      <c r="A89" s="552"/>
      <c r="B89" s="551"/>
      <c r="C89" s="551"/>
      <c r="D89" s="551"/>
      <c r="E89" s="550" t="s">
        <v>9</v>
      </c>
      <c r="F89" s="110">
        <f>SUM(F84:F88)</f>
        <v>1093.5999999999999</v>
      </c>
      <c r="G89" s="550"/>
      <c r="H89" s="550"/>
      <c r="I89" s="125"/>
      <c r="J89" s="97"/>
      <c r="K89" s="111">
        <f>SUM(K84:K88)</f>
        <v>4333.66</v>
      </c>
      <c r="L89" s="111">
        <f>K89/F89</f>
        <v>3.9627468910021948</v>
      </c>
      <c r="M89" s="102"/>
    </row>
    <row r="90" spans="1:13" s="71" customFormat="1" ht="15.95" customHeight="1">
      <c r="A90" s="552">
        <v>10023</v>
      </c>
      <c r="B90" s="552" t="s">
        <v>1083</v>
      </c>
      <c r="C90" s="89" t="s">
        <v>1026</v>
      </c>
      <c r="D90" s="89" t="s">
        <v>1116</v>
      </c>
      <c r="E90" s="552" t="s">
        <v>257</v>
      </c>
      <c r="F90" s="90">
        <f>3400*1.0936</f>
        <v>3718.24</v>
      </c>
      <c r="G90" s="91" t="s">
        <v>196</v>
      </c>
      <c r="H90" s="79"/>
      <c r="I90" s="80">
        <f>0.328+0.82+2.492</f>
        <v>3.6399999999999997</v>
      </c>
      <c r="J90" s="81">
        <v>888</v>
      </c>
      <c r="K90" s="81">
        <f t="shared" ref="K90" si="17">I90*J90</f>
        <v>3232.3199999999997</v>
      </c>
      <c r="L90" s="79"/>
      <c r="M90" s="79"/>
    </row>
    <row r="91" spans="1:13" s="71" customFormat="1" ht="15.95" customHeight="1">
      <c r="A91" s="552"/>
      <c r="B91" s="552"/>
      <c r="C91" s="552"/>
      <c r="D91" s="552"/>
      <c r="E91" s="552"/>
      <c r="F91" s="87"/>
      <c r="G91" s="91" t="s">
        <v>1097</v>
      </c>
      <c r="H91" s="79"/>
      <c r="I91" s="80">
        <f>0.069+0.17+0.592</f>
        <v>0.83099999999999996</v>
      </c>
      <c r="J91" s="81">
        <v>645</v>
      </c>
      <c r="K91" s="81">
        <f t="shared" ref="K91:K94" si="18">I91*J91</f>
        <v>535.995</v>
      </c>
      <c r="L91" s="79"/>
      <c r="M91" s="79"/>
    </row>
    <row r="92" spans="1:13" s="71" customFormat="1" ht="15.95" customHeight="1">
      <c r="A92" s="552"/>
      <c r="B92" s="552"/>
      <c r="C92" s="552"/>
      <c r="D92" s="552"/>
      <c r="E92" s="552"/>
      <c r="F92" s="87"/>
      <c r="G92" s="91" t="s">
        <v>191</v>
      </c>
      <c r="H92" s="79"/>
      <c r="I92" s="80">
        <f>0.075+0.22+0.56</f>
        <v>0.85499999999999998</v>
      </c>
      <c r="J92" s="81">
        <v>1628</v>
      </c>
      <c r="K92" s="81">
        <f t="shared" si="18"/>
        <v>1391.94</v>
      </c>
      <c r="L92" s="79"/>
      <c r="M92" s="79"/>
    </row>
    <row r="93" spans="1:13" s="71" customFormat="1" ht="15.95" customHeight="1">
      <c r="A93" s="552"/>
      <c r="B93" s="552"/>
      <c r="C93" s="552"/>
      <c r="D93" s="552"/>
      <c r="E93" s="552"/>
      <c r="F93" s="87"/>
      <c r="G93" s="552" t="s">
        <v>184</v>
      </c>
      <c r="H93" s="552"/>
      <c r="I93" s="80">
        <f>0.5+1.2+4</f>
        <v>5.7</v>
      </c>
      <c r="J93" s="81">
        <v>336</v>
      </c>
      <c r="K93" s="94">
        <f t="shared" si="18"/>
        <v>1915.2</v>
      </c>
      <c r="L93" s="79"/>
      <c r="M93" s="79"/>
    </row>
    <row r="94" spans="1:13" s="71" customFormat="1" ht="15.95" customHeight="1">
      <c r="A94" s="552"/>
      <c r="B94" s="552"/>
      <c r="C94" s="552"/>
      <c r="D94" s="552"/>
      <c r="E94" s="552"/>
      <c r="F94" s="87"/>
      <c r="G94" s="95" t="s">
        <v>185</v>
      </c>
      <c r="H94" s="79"/>
      <c r="I94" s="96">
        <f>0.8+0.3+0.1</f>
        <v>1.2000000000000002</v>
      </c>
      <c r="J94" s="81">
        <v>490</v>
      </c>
      <c r="K94" s="81">
        <f t="shared" si="18"/>
        <v>588.00000000000011</v>
      </c>
      <c r="L94" s="79"/>
      <c r="M94" s="79"/>
    </row>
    <row r="95" spans="1:13" s="71" customFormat="1" ht="15.95" customHeight="1">
      <c r="A95" s="552"/>
      <c r="B95" s="552"/>
      <c r="C95" s="552"/>
      <c r="D95" s="552"/>
      <c r="E95" s="550" t="s">
        <v>9</v>
      </c>
      <c r="F95" s="110">
        <f>SUM(F90:F94)</f>
        <v>3718.24</v>
      </c>
      <c r="G95" s="550"/>
      <c r="H95" s="550"/>
      <c r="I95" s="125"/>
      <c r="J95" s="97"/>
      <c r="K95" s="111">
        <f>SUM(K90:K94)</f>
        <v>7663.454999999999</v>
      </c>
      <c r="L95" s="111">
        <f>K95/F95</f>
        <v>2.0610436658203879</v>
      </c>
      <c r="M95" s="79"/>
    </row>
    <row r="96" spans="1:13" s="71" customFormat="1" ht="15.95" customHeight="1">
      <c r="A96" s="552">
        <v>10021</v>
      </c>
      <c r="B96" s="552" t="s">
        <v>894</v>
      </c>
      <c r="C96" s="552" t="s">
        <v>121</v>
      </c>
      <c r="D96" s="552" t="s">
        <v>1117</v>
      </c>
      <c r="E96" s="552" t="s">
        <v>822</v>
      </c>
      <c r="F96" s="90">
        <f>35*1.0936</f>
        <v>38.275999999999996</v>
      </c>
      <c r="G96" s="553" t="s">
        <v>405</v>
      </c>
      <c r="H96" s="79"/>
      <c r="I96" s="80">
        <v>0.21</v>
      </c>
      <c r="J96" s="81">
        <v>1708</v>
      </c>
      <c r="K96" s="81">
        <f t="shared" ref="K96:K100" si="19">I96*J96</f>
        <v>358.68</v>
      </c>
      <c r="L96" s="79"/>
      <c r="M96" s="79"/>
    </row>
    <row r="97" spans="1:13" s="71" customFormat="1" ht="15.95" customHeight="1">
      <c r="A97" s="552"/>
      <c r="B97" s="552"/>
      <c r="C97" s="552"/>
      <c r="D97" s="552"/>
      <c r="E97" s="552"/>
      <c r="F97" s="87"/>
      <c r="G97" s="91" t="s">
        <v>1097</v>
      </c>
      <c r="H97" s="79"/>
      <c r="I97" s="80">
        <v>5.1999999999999998E-2</v>
      </c>
      <c r="J97" s="81">
        <v>645</v>
      </c>
      <c r="K97" s="81">
        <f t="shared" si="19"/>
        <v>33.54</v>
      </c>
      <c r="L97" s="79"/>
      <c r="M97" s="79"/>
    </row>
    <row r="98" spans="1:13" s="71" customFormat="1" ht="15.95" customHeight="1">
      <c r="A98" s="552"/>
      <c r="B98" s="552"/>
      <c r="C98" s="552"/>
      <c r="D98" s="552"/>
      <c r="E98" s="552"/>
      <c r="F98" s="87"/>
      <c r="G98" s="91" t="s">
        <v>191</v>
      </c>
      <c r="H98" s="79"/>
      <c r="I98" s="80">
        <v>0.128</v>
      </c>
      <c r="J98" s="81">
        <v>1628</v>
      </c>
      <c r="K98" s="81">
        <f t="shared" si="19"/>
        <v>208.38400000000001</v>
      </c>
      <c r="L98" s="79"/>
      <c r="M98" s="79"/>
    </row>
    <row r="99" spans="1:13" s="71" customFormat="1" ht="15.95" customHeight="1">
      <c r="A99" s="552"/>
      <c r="B99" s="552"/>
      <c r="C99" s="552"/>
      <c r="D99" s="552"/>
      <c r="E99" s="552"/>
      <c r="F99" s="87"/>
      <c r="G99" s="552" t="s">
        <v>184</v>
      </c>
      <c r="H99" s="552"/>
      <c r="I99" s="80">
        <v>0.5</v>
      </c>
      <c r="J99" s="81">
        <v>336</v>
      </c>
      <c r="K99" s="94">
        <f t="shared" si="19"/>
        <v>168</v>
      </c>
      <c r="L99" s="79"/>
      <c r="M99" s="79"/>
    </row>
    <row r="100" spans="1:13" s="71" customFormat="1" ht="15.95" customHeight="1">
      <c r="A100" s="552"/>
      <c r="B100" s="552"/>
      <c r="C100" s="552"/>
      <c r="D100" s="552"/>
      <c r="E100" s="552"/>
      <c r="F100" s="87"/>
      <c r="G100" s="95" t="s">
        <v>185</v>
      </c>
      <c r="H100" s="79"/>
      <c r="I100" s="96">
        <v>0.1</v>
      </c>
      <c r="J100" s="81">
        <v>490</v>
      </c>
      <c r="K100" s="81">
        <f t="shared" si="19"/>
        <v>49</v>
      </c>
      <c r="L100" s="79"/>
      <c r="M100" s="79"/>
    </row>
    <row r="101" spans="1:13" s="71" customFormat="1" ht="15.95" customHeight="1">
      <c r="A101" s="552"/>
      <c r="B101" s="552"/>
      <c r="C101" s="552"/>
      <c r="D101" s="552"/>
      <c r="E101" s="550" t="s">
        <v>9</v>
      </c>
      <c r="F101" s="110">
        <f>SUM(F96:F100)</f>
        <v>38.275999999999996</v>
      </c>
      <c r="G101" s="550"/>
      <c r="H101" s="550"/>
      <c r="I101" s="125"/>
      <c r="J101" s="97"/>
      <c r="K101" s="111">
        <f>SUM(K96:K100)</f>
        <v>817.60400000000004</v>
      </c>
      <c r="L101" s="111">
        <f>K101/F101</f>
        <v>21.360748249555861</v>
      </c>
      <c r="M101" s="79"/>
    </row>
    <row r="102" spans="1:13" s="71" customFormat="1" ht="15.95" customHeight="1">
      <c r="A102" s="552">
        <v>10024</v>
      </c>
      <c r="B102" s="552" t="s">
        <v>277</v>
      </c>
      <c r="C102" s="552" t="s">
        <v>121</v>
      </c>
      <c r="D102" s="552" t="s">
        <v>1093</v>
      </c>
      <c r="E102" s="552" t="s">
        <v>397</v>
      </c>
      <c r="F102" s="90">
        <f>1000*1.0936</f>
        <v>1093.5999999999999</v>
      </c>
      <c r="G102" s="553" t="s">
        <v>405</v>
      </c>
      <c r="H102" s="79"/>
      <c r="I102" s="80">
        <f>3.06</f>
        <v>3.06</v>
      </c>
      <c r="J102" s="81">
        <v>1708</v>
      </c>
      <c r="K102" s="81">
        <f t="shared" ref="K102:K108" si="20">I102*J102</f>
        <v>5226.4800000000005</v>
      </c>
      <c r="L102" s="79"/>
      <c r="M102" s="79"/>
    </row>
    <row r="103" spans="1:13" s="71" customFormat="1" ht="15.95" customHeight="1">
      <c r="A103" s="552"/>
      <c r="B103" s="552"/>
      <c r="C103" s="552"/>
      <c r="D103" s="552"/>
      <c r="E103" s="552"/>
      <c r="F103" s="87"/>
      <c r="G103" s="553" t="s">
        <v>183</v>
      </c>
      <c r="H103" s="79"/>
      <c r="I103" s="80">
        <f>0.72+0.015</f>
        <v>0.73499999999999999</v>
      </c>
      <c r="J103" s="81">
        <v>1600</v>
      </c>
      <c r="K103" s="81">
        <f t="shared" si="20"/>
        <v>1176</v>
      </c>
      <c r="L103" s="79"/>
      <c r="M103" s="79"/>
    </row>
    <row r="104" spans="1:13" s="71" customFormat="1" ht="15.95" customHeight="1">
      <c r="A104" s="552"/>
      <c r="B104" s="552"/>
      <c r="C104" s="552"/>
      <c r="D104" s="552"/>
      <c r="E104" s="552"/>
      <c r="F104" s="87"/>
      <c r="G104" s="93" t="s">
        <v>315</v>
      </c>
      <c r="H104" s="79"/>
      <c r="I104" s="80">
        <f>3.354+0.16</f>
        <v>3.5140000000000002</v>
      </c>
      <c r="J104" s="81">
        <v>2184</v>
      </c>
      <c r="K104" s="81">
        <f t="shared" si="20"/>
        <v>7674.5760000000009</v>
      </c>
      <c r="L104" s="79"/>
      <c r="M104" s="79"/>
    </row>
    <row r="105" spans="1:13" s="71" customFormat="1" ht="15.95" customHeight="1">
      <c r="A105" s="552"/>
      <c r="B105" s="552"/>
      <c r="C105" s="552"/>
      <c r="D105" s="552"/>
      <c r="E105" s="552"/>
      <c r="F105" s="87"/>
      <c r="G105" s="553" t="s">
        <v>314</v>
      </c>
      <c r="H105" s="79"/>
      <c r="I105" s="80">
        <v>0.03</v>
      </c>
      <c r="J105" s="81">
        <v>1695</v>
      </c>
      <c r="K105" s="81">
        <f t="shared" si="20"/>
        <v>50.85</v>
      </c>
      <c r="L105" s="550"/>
      <c r="M105" s="79"/>
    </row>
    <row r="106" spans="1:13" s="71" customFormat="1" ht="15.95" customHeight="1">
      <c r="A106" s="552"/>
      <c r="B106" s="552"/>
      <c r="C106" s="552"/>
      <c r="D106" s="552"/>
      <c r="E106" s="552"/>
      <c r="F106" s="87"/>
      <c r="G106" s="91" t="s">
        <v>192</v>
      </c>
      <c r="H106" s="79"/>
      <c r="I106" s="80">
        <v>0.03</v>
      </c>
      <c r="J106" s="81">
        <v>1126</v>
      </c>
      <c r="K106" s="81">
        <f t="shared" si="20"/>
        <v>33.78</v>
      </c>
      <c r="L106" s="550"/>
      <c r="M106" s="79"/>
    </row>
    <row r="107" spans="1:13" s="71" customFormat="1" ht="15.95" customHeight="1">
      <c r="A107" s="552"/>
      <c r="B107" s="552"/>
      <c r="C107" s="552"/>
      <c r="D107" s="552"/>
      <c r="E107" s="552"/>
      <c r="F107" s="87"/>
      <c r="G107" s="552" t="s">
        <v>184</v>
      </c>
      <c r="H107" s="552"/>
      <c r="I107" s="80">
        <v>3</v>
      </c>
      <c r="J107" s="81">
        <v>336</v>
      </c>
      <c r="K107" s="94">
        <f t="shared" si="20"/>
        <v>1008</v>
      </c>
      <c r="L107" s="79"/>
      <c r="M107" s="79"/>
    </row>
    <row r="108" spans="1:13" s="71" customFormat="1" ht="15.95" customHeight="1">
      <c r="A108" s="552"/>
      <c r="B108" s="552"/>
      <c r="C108" s="552"/>
      <c r="D108" s="552"/>
      <c r="E108" s="552"/>
      <c r="F108" s="87"/>
      <c r="G108" s="95" t="s">
        <v>185</v>
      </c>
      <c r="H108" s="79"/>
      <c r="I108" s="96">
        <v>0.6</v>
      </c>
      <c r="J108" s="81">
        <v>490</v>
      </c>
      <c r="K108" s="81">
        <f t="shared" si="20"/>
        <v>294</v>
      </c>
      <c r="L108" s="79"/>
      <c r="M108" s="79"/>
    </row>
    <row r="109" spans="1:13" s="71" customFormat="1" ht="15.95" customHeight="1">
      <c r="A109" s="552"/>
      <c r="B109" s="552"/>
      <c r="C109" s="552"/>
      <c r="D109" s="552"/>
      <c r="E109" s="550" t="s">
        <v>9</v>
      </c>
      <c r="F109" s="110">
        <f>SUM(F102:F108)</f>
        <v>1093.5999999999999</v>
      </c>
      <c r="G109" s="550"/>
      <c r="H109" s="550"/>
      <c r="I109" s="125"/>
      <c r="J109" s="97"/>
      <c r="K109" s="111">
        <f>SUM(K102:K108)</f>
        <v>15463.686000000002</v>
      </c>
      <c r="L109" s="111">
        <f>K109/F109</f>
        <v>14.140166422823704</v>
      </c>
      <c r="M109" s="79"/>
    </row>
    <row r="110" spans="1:13" s="71" customFormat="1" ht="15.95" customHeight="1">
      <c r="A110" s="552">
        <v>8446</v>
      </c>
      <c r="B110" s="552" t="s">
        <v>520</v>
      </c>
      <c r="C110" s="552" t="s">
        <v>121</v>
      </c>
      <c r="D110" s="552" t="s">
        <v>120</v>
      </c>
      <c r="E110" s="552" t="s">
        <v>640</v>
      </c>
      <c r="F110" s="90">
        <f>50*1.0936</f>
        <v>54.679999999999993</v>
      </c>
      <c r="G110" s="553" t="s">
        <v>405</v>
      </c>
      <c r="H110" s="79"/>
      <c r="I110" s="80">
        <v>0.27</v>
      </c>
      <c r="J110" s="81">
        <v>1708</v>
      </c>
      <c r="K110" s="81">
        <f t="shared" ref="K110:K114" si="21">I110*J110</f>
        <v>461.16</v>
      </c>
      <c r="L110" s="79"/>
      <c r="M110" s="79"/>
    </row>
    <row r="111" spans="1:13" s="71" customFormat="1" ht="15.95" customHeight="1">
      <c r="A111" s="552"/>
      <c r="B111" s="552"/>
      <c r="C111" s="552"/>
      <c r="D111" s="552"/>
      <c r="E111" s="552"/>
      <c r="F111" s="87"/>
      <c r="G111" s="553" t="s">
        <v>183</v>
      </c>
      <c r="H111" s="79"/>
      <c r="I111" s="80">
        <v>0.1</v>
      </c>
      <c r="J111" s="81">
        <v>1600</v>
      </c>
      <c r="K111" s="81">
        <f t="shared" si="21"/>
        <v>160</v>
      </c>
      <c r="L111" s="79"/>
      <c r="M111" s="79"/>
    </row>
    <row r="112" spans="1:13" s="71" customFormat="1" ht="15.95" customHeight="1">
      <c r="A112" s="552"/>
      <c r="B112" s="552"/>
      <c r="C112" s="552"/>
      <c r="D112" s="552"/>
      <c r="E112" s="552"/>
      <c r="F112" s="87"/>
      <c r="G112" s="91" t="s">
        <v>260</v>
      </c>
      <c r="H112" s="79"/>
      <c r="I112" s="80">
        <v>0.53700000000000003</v>
      </c>
      <c r="J112" s="81">
        <v>4545</v>
      </c>
      <c r="K112" s="81">
        <f t="shared" si="21"/>
        <v>2440.665</v>
      </c>
      <c r="L112" s="79"/>
      <c r="M112" s="79"/>
    </row>
    <row r="113" spans="1:14" s="71" customFormat="1" ht="15.95" customHeight="1">
      <c r="A113" s="552"/>
      <c r="B113" s="552"/>
      <c r="C113" s="552"/>
      <c r="D113" s="552"/>
      <c r="E113" s="552"/>
      <c r="F113" s="87"/>
      <c r="G113" s="552" t="s">
        <v>184</v>
      </c>
      <c r="H113" s="552"/>
      <c r="I113" s="80">
        <v>0.5</v>
      </c>
      <c r="J113" s="81">
        <v>336</v>
      </c>
      <c r="K113" s="94">
        <f t="shared" si="21"/>
        <v>168</v>
      </c>
      <c r="L113" s="79"/>
      <c r="M113" s="79"/>
    </row>
    <row r="114" spans="1:14" s="71" customFormat="1" ht="15.95" customHeight="1">
      <c r="A114" s="552"/>
      <c r="B114" s="552"/>
      <c r="C114" s="552"/>
      <c r="D114" s="552"/>
      <c r="E114" s="552"/>
      <c r="F114" s="87"/>
      <c r="G114" s="95" t="s">
        <v>185</v>
      </c>
      <c r="H114" s="79"/>
      <c r="I114" s="96">
        <v>0.1</v>
      </c>
      <c r="J114" s="81">
        <v>490</v>
      </c>
      <c r="K114" s="81">
        <f t="shared" si="21"/>
        <v>49</v>
      </c>
      <c r="L114" s="79"/>
      <c r="M114" s="79"/>
    </row>
    <row r="115" spans="1:14" s="71" customFormat="1" ht="15.95" customHeight="1">
      <c r="A115" s="552"/>
      <c r="B115" s="552"/>
      <c r="C115" s="552"/>
      <c r="D115" s="552"/>
      <c r="E115" s="550" t="s">
        <v>9</v>
      </c>
      <c r="F115" s="110">
        <f>SUM(F110:F114)</f>
        <v>54.679999999999993</v>
      </c>
      <c r="G115" s="550"/>
      <c r="H115" s="550"/>
      <c r="I115" s="125"/>
      <c r="J115" s="97"/>
      <c r="K115" s="111">
        <f>SUM(K110:K114)</f>
        <v>3278.8249999999998</v>
      </c>
      <c r="L115" s="111">
        <f>K115/F115</f>
        <v>59.963880760790055</v>
      </c>
      <c r="M115" s="79"/>
    </row>
    <row r="116" spans="1:14" s="71" customFormat="1" ht="15.95" customHeight="1">
      <c r="A116" s="552">
        <v>8434</v>
      </c>
      <c r="B116" s="552" t="s">
        <v>1118</v>
      </c>
      <c r="C116" s="552" t="s">
        <v>121</v>
      </c>
      <c r="D116" s="552" t="s">
        <v>74</v>
      </c>
      <c r="E116" s="552" t="s">
        <v>261</v>
      </c>
      <c r="F116" s="90">
        <f>160*1.0936</f>
        <v>174.976</v>
      </c>
      <c r="G116" s="93" t="s">
        <v>190</v>
      </c>
      <c r="H116" s="79"/>
      <c r="I116" s="80">
        <v>0.126</v>
      </c>
      <c r="J116" s="81">
        <v>644</v>
      </c>
      <c r="K116" s="81">
        <f t="shared" ref="K116:K120" si="22">I116*J116</f>
        <v>81.144000000000005</v>
      </c>
      <c r="L116" s="79"/>
      <c r="M116" s="79"/>
    </row>
    <row r="117" spans="1:14" s="71" customFormat="1" ht="15.95" customHeight="1">
      <c r="A117" s="552"/>
      <c r="B117" s="552"/>
      <c r="C117" s="552"/>
      <c r="D117" s="552"/>
      <c r="E117" s="552"/>
      <c r="F117" s="552"/>
      <c r="G117" s="553" t="s">
        <v>183</v>
      </c>
      <c r="H117" s="79"/>
      <c r="I117" s="80">
        <v>3.6999999999999998E-2</v>
      </c>
      <c r="J117" s="81">
        <v>1600</v>
      </c>
      <c r="K117" s="81">
        <f t="shared" si="22"/>
        <v>59.199999999999996</v>
      </c>
      <c r="L117" s="79"/>
      <c r="M117" s="79"/>
    </row>
    <row r="118" spans="1:14" s="71" customFormat="1" ht="15.95" customHeight="1">
      <c r="A118" s="552"/>
      <c r="B118" s="552"/>
      <c r="C118" s="552"/>
      <c r="D118" s="552"/>
      <c r="E118" s="552"/>
      <c r="F118" s="87"/>
      <c r="G118" s="93" t="s">
        <v>315</v>
      </c>
      <c r="H118" s="79"/>
      <c r="I118" s="80">
        <v>0.17399999999999999</v>
      </c>
      <c r="J118" s="81">
        <v>2184</v>
      </c>
      <c r="K118" s="81">
        <f t="shared" si="22"/>
        <v>380.01599999999996</v>
      </c>
      <c r="L118" s="79"/>
      <c r="M118" s="79"/>
    </row>
    <row r="119" spans="1:14" s="71" customFormat="1" ht="15.95" customHeight="1">
      <c r="A119" s="552"/>
      <c r="B119" s="552"/>
      <c r="C119" s="552"/>
      <c r="D119" s="552"/>
      <c r="E119" s="552"/>
      <c r="F119" s="87"/>
      <c r="G119" s="552" t="s">
        <v>184</v>
      </c>
      <c r="H119" s="79"/>
      <c r="I119" s="80">
        <v>1</v>
      </c>
      <c r="J119" s="81">
        <v>336</v>
      </c>
      <c r="K119" s="81">
        <f t="shared" si="22"/>
        <v>336</v>
      </c>
      <c r="L119" s="79"/>
      <c r="M119" s="79"/>
    </row>
    <row r="120" spans="1:14" s="71" customFormat="1" ht="15.95" customHeight="1">
      <c r="A120" s="552"/>
      <c r="B120" s="552"/>
      <c r="C120" s="552"/>
      <c r="D120" s="552"/>
      <c r="E120" s="552"/>
      <c r="F120" s="87"/>
      <c r="G120" s="95" t="s">
        <v>185</v>
      </c>
      <c r="H120" s="79"/>
      <c r="I120" s="96">
        <v>0.2</v>
      </c>
      <c r="J120" s="81">
        <v>490</v>
      </c>
      <c r="K120" s="81">
        <f t="shared" si="22"/>
        <v>98</v>
      </c>
      <c r="L120" s="79"/>
      <c r="M120" s="79"/>
    </row>
    <row r="121" spans="1:14" s="71" customFormat="1" ht="15.95" customHeight="1">
      <c r="A121" s="552"/>
      <c r="B121" s="552"/>
      <c r="C121" s="552"/>
      <c r="D121" s="552"/>
      <c r="E121" s="550" t="s">
        <v>9</v>
      </c>
      <c r="F121" s="110">
        <f>SUM(F116:F120)</f>
        <v>174.976</v>
      </c>
      <c r="G121" s="550"/>
      <c r="H121" s="550"/>
      <c r="I121" s="125"/>
      <c r="J121" s="97"/>
      <c r="K121" s="111">
        <f>SUM(K116:K120)</f>
        <v>954.3599999999999</v>
      </c>
      <c r="L121" s="111">
        <f>K121/F121</f>
        <v>5.4542337234820772</v>
      </c>
      <c r="M121" s="79"/>
    </row>
    <row r="122" spans="1:14" s="71" customFormat="1" ht="15.95" customHeight="1">
      <c r="A122" s="549"/>
      <c r="B122" s="549"/>
      <c r="C122" s="549"/>
      <c r="D122" s="133" t="s">
        <v>30</v>
      </c>
      <c r="E122" s="133"/>
      <c r="F122" s="134">
        <f>F59+F65+F71+F77+F83+F89+F95+F101+F109+F115+F121</f>
        <v>25223.883999999998</v>
      </c>
      <c r="G122" s="135"/>
      <c r="H122" s="135"/>
      <c r="I122" s="135"/>
      <c r="J122" s="135"/>
      <c r="K122" s="134">
        <f>K59+K65+K71+K77+K83+K89+K95+K101+K109+K115+K121</f>
        <v>90424.682000000015</v>
      </c>
      <c r="L122" s="151">
        <f>K122/F122</f>
        <v>3.5848833589624824</v>
      </c>
      <c r="M122" s="137"/>
    </row>
    <row r="123" spans="1:14" s="71" customFormat="1" ht="16.5" customHeight="1">
      <c r="A123" s="70" t="s">
        <v>40</v>
      </c>
      <c r="B123" s="70"/>
      <c r="C123" s="70"/>
      <c r="D123" s="70"/>
      <c r="E123" s="70"/>
      <c r="I123" s="140"/>
      <c r="K123" s="824" t="s">
        <v>1110</v>
      </c>
      <c r="L123" s="824"/>
      <c r="M123" s="824"/>
    </row>
    <row r="124" spans="1:14" s="71" customFormat="1" ht="16.5" customHeight="1">
      <c r="A124" s="550" t="s">
        <v>0</v>
      </c>
      <c r="B124" s="550" t="s">
        <v>7</v>
      </c>
      <c r="C124" s="550" t="s">
        <v>13</v>
      </c>
      <c r="D124" s="550" t="s">
        <v>14</v>
      </c>
      <c r="E124" s="550" t="s">
        <v>8</v>
      </c>
      <c r="F124" s="550" t="s">
        <v>1</v>
      </c>
      <c r="G124" s="550" t="s">
        <v>2</v>
      </c>
      <c r="H124" s="550" t="s">
        <v>15</v>
      </c>
      <c r="I124" s="141" t="s">
        <v>3</v>
      </c>
      <c r="J124" s="550" t="s">
        <v>4</v>
      </c>
      <c r="K124" s="550" t="s">
        <v>5</v>
      </c>
      <c r="L124" s="550" t="s">
        <v>12</v>
      </c>
      <c r="M124" s="550" t="s">
        <v>6</v>
      </c>
      <c r="N124" s="123"/>
    </row>
    <row r="125" spans="1:14" s="71" customFormat="1" ht="16.5" customHeight="1">
      <c r="A125" s="552">
        <v>9945</v>
      </c>
      <c r="B125" s="552" t="s">
        <v>1081</v>
      </c>
      <c r="C125" s="89" t="s">
        <v>1026</v>
      </c>
      <c r="D125" s="89" t="s">
        <v>274</v>
      </c>
      <c r="E125" s="552" t="s">
        <v>102</v>
      </c>
      <c r="F125" s="90">
        <f>1750*1.0936</f>
        <v>1913.7999999999997</v>
      </c>
      <c r="G125" s="552" t="s">
        <v>27</v>
      </c>
      <c r="H125" s="79"/>
      <c r="I125" s="80">
        <v>75</v>
      </c>
      <c r="J125" s="81">
        <v>22</v>
      </c>
      <c r="K125" s="81">
        <f t="shared" ref="K125:K127" si="23">I125*J125</f>
        <v>1650</v>
      </c>
      <c r="L125" s="551"/>
      <c r="M125" s="551"/>
      <c r="N125" s="546"/>
    </row>
    <row r="126" spans="1:14" s="71" customFormat="1" ht="16.5" customHeight="1">
      <c r="A126" s="551"/>
      <c r="B126" s="552"/>
      <c r="C126" s="552"/>
      <c r="D126" s="552"/>
      <c r="E126" s="551"/>
      <c r="F126" s="552"/>
      <c r="G126" s="553" t="s">
        <v>49</v>
      </c>
      <c r="H126" s="79"/>
      <c r="I126" s="80">
        <v>6</v>
      </c>
      <c r="J126" s="81">
        <v>34</v>
      </c>
      <c r="K126" s="81">
        <f t="shared" si="23"/>
        <v>204</v>
      </c>
      <c r="L126" s="551"/>
      <c r="M126" s="551"/>
      <c r="N126" s="546"/>
    </row>
    <row r="127" spans="1:14" s="71" customFormat="1" ht="16.5" customHeight="1">
      <c r="A127" s="551"/>
      <c r="B127" s="551"/>
      <c r="C127" s="551"/>
      <c r="D127" s="551"/>
      <c r="E127" s="551"/>
      <c r="F127" s="551"/>
      <c r="G127" s="552" t="s">
        <v>19</v>
      </c>
      <c r="H127" s="79"/>
      <c r="I127" s="80">
        <v>1.8</v>
      </c>
      <c r="J127" s="81">
        <v>80</v>
      </c>
      <c r="K127" s="81">
        <f t="shared" si="23"/>
        <v>144</v>
      </c>
      <c r="L127" s="551"/>
      <c r="M127" s="551"/>
      <c r="N127" s="546"/>
    </row>
    <row r="128" spans="1:14" s="71" customFormat="1" ht="16.5" customHeight="1">
      <c r="A128" s="551"/>
      <c r="B128" s="551"/>
      <c r="C128" s="551"/>
      <c r="D128" s="551"/>
      <c r="E128" s="550" t="s">
        <v>9</v>
      </c>
      <c r="F128" s="110">
        <f>SUM(F125:F127)</f>
        <v>1913.7999999999997</v>
      </c>
      <c r="G128" s="550"/>
      <c r="H128" s="550"/>
      <c r="I128" s="125"/>
      <c r="J128" s="97"/>
      <c r="K128" s="111">
        <f>SUM(K125:K127)</f>
        <v>1998</v>
      </c>
      <c r="L128" s="111">
        <f>K128/F128</f>
        <v>1.0439962378513952</v>
      </c>
      <c r="M128" s="102"/>
    </row>
    <row r="129" spans="1:14" s="71" customFormat="1" ht="16.5" customHeight="1">
      <c r="A129" s="551">
        <v>9930</v>
      </c>
      <c r="B129" s="552" t="s">
        <v>1083</v>
      </c>
      <c r="C129" s="89" t="s">
        <v>1026</v>
      </c>
      <c r="D129" s="89" t="s">
        <v>364</v>
      </c>
      <c r="E129" s="552" t="s">
        <v>257</v>
      </c>
      <c r="F129" s="90">
        <f>2220*1.0936</f>
        <v>2427.7919999999999</v>
      </c>
      <c r="G129" s="552" t="s">
        <v>27</v>
      </c>
      <c r="H129" s="79"/>
      <c r="I129" s="80">
        <v>200</v>
      </c>
      <c r="J129" s="81">
        <v>22</v>
      </c>
      <c r="K129" s="81">
        <f t="shared" ref="K129:K131" si="24">I129*J129</f>
        <v>4400</v>
      </c>
      <c r="L129" s="551"/>
      <c r="M129" s="551"/>
      <c r="N129" s="546"/>
    </row>
    <row r="130" spans="1:14" s="71" customFormat="1" ht="16.5" customHeight="1">
      <c r="A130" s="551"/>
      <c r="B130" s="551"/>
      <c r="C130" s="551"/>
      <c r="D130" s="551"/>
      <c r="E130" s="551"/>
      <c r="F130" s="551"/>
      <c r="G130" s="553" t="s">
        <v>49</v>
      </c>
      <c r="H130" s="79"/>
      <c r="I130" s="80">
        <v>16</v>
      </c>
      <c r="J130" s="81">
        <v>34</v>
      </c>
      <c r="K130" s="81">
        <f t="shared" si="24"/>
        <v>544</v>
      </c>
      <c r="L130" s="551"/>
      <c r="M130" s="551"/>
      <c r="N130" s="546"/>
    </row>
    <row r="131" spans="1:14" s="71" customFormat="1" ht="16.5" customHeight="1">
      <c r="A131" s="551"/>
      <c r="B131" s="551"/>
      <c r="C131" s="551"/>
      <c r="D131" s="551"/>
      <c r="E131" s="551"/>
      <c r="F131" s="551"/>
      <c r="G131" s="552" t="s">
        <v>19</v>
      </c>
      <c r="H131" s="79"/>
      <c r="I131" s="80">
        <v>4.8</v>
      </c>
      <c r="J131" s="81">
        <v>80</v>
      </c>
      <c r="K131" s="81">
        <f t="shared" si="24"/>
        <v>384</v>
      </c>
      <c r="L131" s="551"/>
      <c r="M131" s="551"/>
      <c r="N131" s="546"/>
    </row>
    <row r="132" spans="1:14" s="71" customFormat="1" ht="16.5" customHeight="1">
      <c r="A132" s="551"/>
      <c r="B132" s="551"/>
      <c r="C132" s="551"/>
      <c r="D132" s="551"/>
      <c r="E132" s="550" t="s">
        <v>9</v>
      </c>
      <c r="F132" s="110">
        <f>SUM(F129:F131)</f>
        <v>2427.7919999999999</v>
      </c>
      <c r="G132" s="550"/>
      <c r="H132" s="550"/>
      <c r="I132" s="125"/>
      <c r="J132" s="97"/>
      <c r="K132" s="111">
        <f>SUM(K129:K131)</f>
        <v>5328</v>
      </c>
      <c r="L132" s="111">
        <f>K132/F132</f>
        <v>2.1945866861741039</v>
      </c>
      <c r="M132" s="102"/>
      <c r="N132" s="546"/>
    </row>
    <row r="133" spans="1:14" s="71" customFormat="1" ht="16.5" customHeight="1">
      <c r="A133" s="551">
        <v>9932</v>
      </c>
      <c r="B133" s="552" t="s">
        <v>1098</v>
      </c>
      <c r="C133" s="552" t="s">
        <v>1095</v>
      </c>
      <c r="D133" s="552" t="s">
        <v>74</v>
      </c>
      <c r="E133" s="552" t="s">
        <v>1096</v>
      </c>
      <c r="F133" s="87">
        <f>2300*1.0936</f>
        <v>2515.2799999999997</v>
      </c>
      <c r="G133" s="552" t="s">
        <v>27</v>
      </c>
      <c r="H133" s="79"/>
      <c r="I133" s="80">
        <f>100+15</f>
        <v>115</v>
      </c>
      <c r="J133" s="81">
        <v>22</v>
      </c>
      <c r="K133" s="81">
        <f t="shared" ref="K133:K135" si="25">I133*J133</f>
        <v>2530</v>
      </c>
      <c r="L133" s="551"/>
      <c r="M133" s="551"/>
      <c r="N133" s="546"/>
    </row>
    <row r="134" spans="1:14" s="71" customFormat="1" ht="16.5" customHeight="1">
      <c r="A134" s="551"/>
      <c r="B134" s="551"/>
      <c r="C134" s="551"/>
      <c r="D134" s="551"/>
      <c r="E134" s="551"/>
      <c r="F134" s="551"/>
      <c r="G134" s="553" t="s">
        <v>49</v>
      </c>
      <c r="H134" s="79"/>
      <c r="I134" s="80">
        <f>8+12</f>
        <v>20</v>
      </c>
      <c r="J134" s="81">
        <v>34</v>
      </c>
      <c r="K134" s="81">
        <f t="shared" si="25"/>
        <v>680</v>
      </c>
      <c r="L134" s="551"/>
      <c r="M134" s="551"/>
      <c r="N134" s="546"/>
    </row>
    <row r="135" spans="1:14" s="71" customFormat="1" ht="16.5" customHeight="1">
      <c r="A135" s="551"/>
      <c r="B135" s="551"/>
      <c r="C135" s="551"/>
      <c r="D135" s="551"/>
      <c r="E135" s="551"/>
      <c r="F135" s="551"/>
      <c r="G135" s="552" t="s">
        <v>19</v>
      </c>
      <c r="H135" s="79"/>
      <c r="I135" s="80">
        <f>3.6+2.4</f>
        <v>6</v>
      </c>
      <c r="J135" s="81">
        <v>80</v>
      </c>
      <c r="K135" s="81">
        <f t="shared" si="25"/>
        <v>480</v>
      </c>
      <c r="L135" s="551"/>
      <c r="M135" s="551"/>
      <c r="N135" s="546"/>
    </row>
    <row r="136" spans="1:14" s="71" customFormat="1" ht="16.5" customHeight="1">
      <c r="A136" s="551"/>
      <c r="B136" s="551"/>
      <c r="C136" s="551"/>
      <c r="D136" s="551"/>
      <c r="E136" s="550" t="s">
        <v>9</v>
      </c>
      <c r="F136" s="110">
        <f>SUM(F133:F135)</f>
        <v>2515.2799999999997</v>
      </c>
      <c r="G136" s="550"/>
      <c r="H136" s="550"/>
      <c r="I136" s="125"/>
      <c r="J136" s="97"/>
      <c r="K136" s="111">
        <f>SUM(K133:K135)</f>
        <v>3690</v>
      </c>
      <c r="L136" s="111">
        <f>K136/F136</f>
        <v>1.4670334913011673</v>
      </c>
      <c r="M136" s="551"/>
      <c r="N136" s="546"/>
    </row>
    <row r="137" spans="1:14" s="71" customFormat="1" ht="16.5" customHeight="1">
      <c r="A137" s="551">
        <v>9944</v>
      </c>
      <c r="B137" s="552" t="s">
        <v>998</v>
      </c>
      <c r="C137" s="552" t="s">
        <v>792</v>
      </c>
      <c r="D137" s="552" t="s">
        <v>1016</v>
      </c>
      <c r="E137" s="552" t="s">
        <v>1072</v>
      </c>
      <c r="F137" s="90">
        <f>6530*1.0936</f>
        <v>7141.2079999999996</v>
      </c>
      <c r="G137" s="552" t="s">
        <v>27</v>
      </c>
      <c r="H137" s="79"/>
      <c r="I137" s="80">
        <f>380+100</f>
        <v>480</v>
      </c>
      <c r="J137" s="81">
        <v>22</v>
      </c>
      <c r="K137" s="81">
        <f t="shared" ref="K137:K139" si="26">I137*J137</f>
        <v>10560</v>
      </c>
      <c r="L137" s="551"/>
      <c r="M137" s="551"/>
      <c r="N137" s="546"/>
    </row>
    <row r="138" spans="1:14" s="71" customFormat="1" ht="16.5" customHeight="1">
      <c r="A138" s="551"/>
      <c r="B138" s="551"/>
      <c r="C138" s="551"/>
      <c r="D138" s="551"/>
      <c r="E138" s="551"/>
      <c r="F138" s="551"/>
      <c r="G138" s="553" t="s">
        <v>49</v>
      </c>
      <c r="H138" s="79"/>
      <c r="I138" s="80">
        <f>30+8</f>
        <v>38</v>
      </c>
      <c r="J138" s="81">
        <v>34</v>
      </c>
      <c r="K138" s="81">
        <f t="shared" si="26"/>
        <v>1292</v>
      </c>
      <c r="L138" s="551"/>
      <c r="M138" s="551"/>
      <c r="N138" s="546"/>
    </row>
    <row r="139" spans="1:14" s="71" customFormat="1" ht="16.5" customHeight="1">
      <c r="A139" s="551"/>
      <c r="B139" s="551"/>
      <c r="C139" s="551"/>
      <c r="D139" s="551"/>
      <c r="E139" s="551"/>
      <c r="F139" s="551"/>
      <c r="G139" s="552" t="s">
        <v>19</v>
      </c>
      <c r="H139" s="79"/>
      <c r="I139" s="80">
        <f>9+2.4</f>
        <v>11.4</v>
      </c>
      <c r="J139" s="81">
        <v>80</v>
      </c>
      <c r="K139" s="81">
        <f t="shared" si="26"/>
        <v>912</v>
      </c>
      <c r="L139" s="551"/>
      <c r="M139" s="551"/>
      <c r="N139" s="546"/>
    </row>
    <row r="140" spans="1:14" s="71" customFormat="1" ht="16.5" customHeight="1">
      <c r="A140" s="551"/>
      <c r="B140" s="551"/>
      <c r="C140" s="551"/>
      <c r="D140" s="551"/>
      <c r="E140" s="550" t="s">
        <v>9</v>
      </c>
      <c r="F140" s="110">
        <f>SUM(F137:F139)</f>
        <v>7141.2079999999996</v>
      </c>
      <c r="G140" s="550"/>
      <c r="H140" s="550"/>
      <c r="I140" s="125"/>
      <c r="J140" s="97"/>
      <c r="K140" s="111">
        <f>SUM(K137:K139)</f>
        <v>12764</v>
      </c>
      <c r="L140" s="111">
        <f>K140/F140</f>
        <v>1.7873726686017268</v>
      </c>
      <c r="M140" s="551"/>
      <c r="N140" s="546"/>
    </row>
    <row r="141" spans="1:14" s="71" customFormat="1" ht="16.5" customHeight="1">
      <c r="A141" s="551">
        <v>9945</v>
      </c>
      <c r="B141" s="552" t="s">
        <v>1045</v>
      </c>
      <c r="C141" s="89" t="s">
        <v>1033</v>
      </c>
      <c r="D141" s="89" t="s">
        <v>1034</v>
      </c>
      <c r="E141" s="552" t="s">
        <v>205</v>
      </c>
      <c r="F141" s="90">
        <f>1800*1.0936</f>
        <v>1968.4799999999998</v>
      </c>
      <c r="G141" s="552" t="s">
        <v>27</v>
      </c>
      <c r="H141" s="79"/>
      <c r="I141" s="80">
        <v>113</v>
      </c>
      <c r="J141" s="81">
        <v>22</v>
      </c>
      <c r="K141" s="81">
        <f t="shared" ref="K141:K143" si="27">I141*J141</f>
        <v>2486</v>
      </c>
      <c r="L141" s="551"/>
      <c r="M141" s="551"/>
      <c r="N141" s="546"/>
    </row>
    <row r="142" spans="1:14" s="71" customFormat="1" ht="16.5" customHeight="1">
      <c r="A142" s="551"/>
      <c r="B142" s="551"/>
      <c r="C142" s="551"/>
      <c r="D142" s="551"/>
      <c r="E142" s="551"/>
      <c r="F142" s="551"/>
      <c r="G142" s="553" t="s">
        <v>49</v>
      </c>
      <c r="H142" s="79"/>
      <c r="I142" s="80">
        <v>9</v>
      </c>
      <c r="J142" s="81">
        <v>34</v>
      </c>
      <c r="K142" s="81">
        <f t="shared" si="27"/>
        <v>306</v>
      </c>
      <c r="L142" s="551"/>
      <c r="M142" s="551"/>
      <c r="N142" s="546"/>
    </row>
    <row r="143" spans="1:14" s="71" customFormat="1" ht="16.5" customHeight="1">
      <c r="A143" s="551"/>
      <c r="B143" s="551"/>
      <c r="C143" s="551"/>
      <c r="D143" s="551"/>
      <c r="E143" s="551"/>
      <c r="F143" s="551"/>
      <c r="G143" s="552" t="s">
        <v>19</v>
      </c>
      <c r="H143" s="79"/>
      <c r="I143" s="80">
        <v>2.7</v>
      </c>
      <c r="J143" s="81">
        <v>80</v>
      </c>
      <c r="K143" s="81">
        <f t="shared" si="27"/>
        <v>216</v>
      </c>
      <c r="L143" s="551"/>
      <c r="M143" s="551"/>
      <c r="N143" s="546"/>
    </row>
    <row r="144" spans="1:14" s="71" customFormat="1" ht="16.5" customHeight="1">
      <c r="A144" s="551"/>
      <c r="B144" s="551"/>
      <c r="C144" s="551"/>
      <c r="D144" s="551"/>
      <c r="E144" s="550" t="s">
        <v>9</v>
      </c>
      <c r="F144" s="110">
        <f>SUM(F141:F143)</f>
        <v>1968.4799999999998</v>
      </c>
      <c r="G144" s="550"/>
      <c r="H144" s="550"/>
      <c r="I144" s="125"/>
      <c r="J144" s="97"/>
      <c r="K144" s="111">
        <f>SUM(K141:K143)</f>
        <v>3008</v>
      </c>
      <c r="L144" s="111">
        <f>K144/F144</f>
        <v>1.528082581484191</v>
      </c>
      <c r="M144" s="551"/>
      <c r="N144" s="546"/>
    </row>
    <row r="145" spans="1:14" s="71" customFormat="1" ht="16.5" customHeight="1">
      <c r="A145" s="551">
        <v>9941</v>
      </c>
      <c r="B145" s="552" t="s">
        <v>1053</v>
      </c>
      <c r="C145" s="552" t="s">
        <v>121</v>
      </c>
      <c r="D145" s="552" t="s">
        <v>120</v>
      </c>
      <c r="E145" s="552" t="s">
        <v>810</v>
      </c>
      <c r="F145" s="160">
        <f>50*1.0936</f>
        <v>54.679999999999993</v>
      </c>
      <c r="G145" s="552" t="s">
        <v>27</v>
      </c>
      <c r="H145" s="79"/>
      <c r="I145" s="80">
        <v>6.5</v>
      </c>
      <c r="J145" s="81">
        <v>22</v>
      </c>
      <c r="K145" s="81">
        <f t="shared" ref="K145:K147" si="28">I145*J145</f>
        <v>143</v>
      </c>
      <c r="L145" s="551"/>
      <c r="M145" s="551"/>
      <c r="N145" s="546"/>
    </row>
    <row r="146" spans="1:14" s="71" customFormat="1" ht="16.5" customHeight="1">
      <c r="A146" s="551"/>
      <c r="B146" s="551"/>
      <c r="C146" s="551"/>
      <c r="D146" s="551"/>
      <c r="E146" s="551"/>
      <c r="F146" s="551"/>
      <c r="G146" s="553" t="s">
        <v>49</v>
      </c>
      <c r="H146" s="79"/>
      <c r="I146" s="80">
        <v>2</v>
      </c>
      <c r="J146" s="81">
        <v>34</v>
      </c>
      <c r="K146" s="81">
        <f t="shared" si="28"/>
        <v>68</v>
      </c>
      <c r="L146" s="551"/>
      <c r="M146" s="551"/>
      <c r="N146" s="546"/>
    </row>
    <row r="147" spans="1:14" s="71" customFormat="1" ht="16.5" customHeight="1">
      <c r="A147" s="551"/>
      <c r="B147" s="551"/>
      <c r="C147" s="551"/>
      <c r="D147" s="551"/>
      <c r="E147" s="551"/>
      <c r="F147" s="551"/>
      <c r="G147" s="552" t="s">
        <v>19</v>
      </c>
      <c r="H147" s="79"/>
      <c r="I147" s="80">
        <v>0.12</v>
      </c>
      <c r="J147" s="81">
        <v>80</v>
      </c>
      <c r="K147" s="81">
        <f t="shared" si="28"/>
        <v>9.6</v>
      </c>
      <c r="L147" s="551"/>
      <c r="M147" s="551"/>
      <c r="N147" s="546"/>
    </row>
    <row r="148" spans="1:14" s="71" customFormat="1" ht="16.5" customHeight="1">
      <c r="A148" s="551"/>
      <c r="B148" s="551"/>
      <c r="C148" s="551"/>
      <c r="D148" s="551"/>
      <c r="E148" s="550" t="s">
        <v>9</v>
      </c>
      <c r="F148" s="110">
        <f>SUM(F145:F147)</f>
        <v>54.679999999999993</v>
      </c>
      <c r="G148" s="550"/>
      <c r="H148" s="550"/>
      <c r="I148" s="125"/>
      <c r="J148" s="97"/>
      <c r="K148" s="111">
        <f>SUM(K145:K147)</f>
        <v>220.6</v>
      </c>
      <c r="L148" s="111">
        <f>K148/F148</f>
        <v>4.0343818580833943</v>
      </c>
      <c r="M148" s="551"/>
      <c r="N148" s="546"/>
    </row>
    <row r="149" spans="1:14" s="71" customFormat="1" ht="16.5" customHeight="1">
      <c r="A149" s="551">
        <v>9944</v>
      </c>
      <c r="B149" s="552" t="s">
        <v>1046</v>
      </c>
      <c r="C149" s="89" t="s">
        <v>1033</v>
      </c>
      <c r="D149" s="89" t="s">
        <v>1034</v>
      </c>
      <c r="E149" s="552" t="s">
        <v>262</v>
      </c>
      <c r="F149" s="90">
        <f>1800*1.0936</f>
        <v>1968.4799999999998</v>
      </c>
      <c r="G149" s="552" t="s">
        <v>27</v>
      </c>
      <c r="H149" s="79"/>
      <c r="I149" s="80">
        <v>380</v>
      </c>
      <c r="J149" s="81">
        <v>22</v>
      </c>
      <c r="K149" s="81">
        <f t="shared" ref="K149:K151" si="29">I149*J149</f>
        <v>8360</v>
      </c>
      <c r="L149" s="551"/>
      <c r="M149" s="551"/>
      <c r="N149" s="546"/>
    </row>
    <row r="150" spans="1:14" s="71" customFormat="1" ht="16.5" customHeight="1">
      <c r="A150" s="551"/>
      <c r="B150" s="552" t="s">
        <v>1037</v>
      </c>
      <c r="C150" s="89" t="s">
        <v>1033</v>
      </c>
      <c r="D150" s="89" t="s">
        <v>1034</v>
      </c>
      <c r="E150" s="552" t="s">
        <v>1044</v>
      </c>
      <c r="F150" s="90">
        <f>1800*1.0936</f>
        <v>1968.4799999999998</v>
      </c>
      <c r="G150" s="553" t="s">
        <v>49</v>
      </c>
      <c r="H150" s="79"/>
      <c r="I150" s="80">
        <v>30</v>
      </c>
      <c r="J150" s="81">
        <v>34</v>
      </c>
      <c r="K150" s="81">
        <f t="shared" si="29"/>
        <v>1020</v>
      </c>
      <c r="L150" s="551"/>
      <c r="M150" s="551"/>
      <c r="N150" s="546"/>
    </row>
    <row r="151" spans="1:14" s="71" customFormat="1" ht="16.5" customHeight="1">
      <c r="A151" s="551"/>
      <c r="B151" s="551"/>
      <c r="C151" s="551"/>
      <c r="D151" s="551"/>
      <c r="E151" s="551"/>
      <c r="F151" s="551"/>
      <c r="G151" s="552" t="s">
        <v>19</v>
      </c>
      <c r="H151" s="79"/>
      <c r="I151" s="80">
        <v>9</v>
      </c>
      <c r="J151" s="81">
        <v>80</v>
      </c>
      <c r="K151" s="81">
        <f t="shared" si="29"/>
        <v>720</v>
      </c>
      <c r="L151" s="551"/>
      <c r="M151" s="551"/>
      <c r="N151" s="546"/>
    </row>
    <row r="152" spans="1:14" s="71" customFormat="1" ht="16.5" customHeight="1">
      <c r="A152" s="551"/>
      <c r="B152" s="551"/>
      <c r="C152" s="551"/>
      <c r="D152" s="551"/>
      <c r="E152" s="550" t="s">
        <v>9</v>
      </c>
      <c r="F152" s="110">
        <f>SUM(F149:F151)</f>
        <v>3936.9599999999996</v>
      </c>
      <c r="G152" s="550"/>
      <c r="H152" s="550"/>
      <c r="I152" s="125"/>
      <c r="J152" s="97"/>
      <c r="K152" s="111">
        <f>SUM(K149:K151)</f>
        <v>10100</v>
      </c>
      <c r="L152" s="111">
        <f>K152/F152</f>
        <v>2.5654311956433391</v>
      </c>
      <c r="M152" s="551"/>
      <c r="N152" s="546"/>
    </row>
    <row r="153" spans="1:14" s="71" customFormat="1" ht="16.5" customHeight="1">
      <c r="A153" s="551">
        <v>9941</v>
      </c>
      <c r="B153" s="552" t="s">
        <v>1047</v>
      </c>
      <c r="C153" s="89" t="s">
        <v>1033</v>
      </c>
      <c r="D153" s="89" t="s">
        <v>1034</v>
      </c>
      <c r="E153" s="552" t="s">
        <v>232</v>
      </c>
      <c r="F153" s="90">
        <f>1850*1.0936</f>
        <v>2023.1599999999999</v>
      </c>
      <c r="G153" s="552" t="s">
        <v>27</v>
      </c>
      <c r="H153" s="79"/>
      <c r="I153" s="80">
        <v>100</v>
      </c>
      <c r="J153" s="81">
        <v>22</v>
      </c>
      <c r="K153" s="81">
        <f t="shared" ref="K153:K155" si="30">I153*J153</f>
        <v>2200</v>
      </c>
      <c r="L153" s="551"/>
      <c r="M153" s="551"/>
      <c r="N153" s="546"/>
    </row>
    <row r="154" spans="1:14" s="71" customFormat="1" ht="16.5" customHeight="1">
      <c r="A154" s="551"/>
      <c r="B154" s="551"/>
      <c r="C154" s="551"/>
      <c r="D154" s="551"/>
      <c r="E154" s="551"/>
      <c r="F154" s="551"/>
      <c r="G154" s="553" t="s">
        <v>49</v>
      </c>
      <c r="H154" s="79"/>
      <c r="I154" s="80">
        <v>8</v>
      </c>
      <c r="J154" s="81">
        <v>34</v>
      </c>
      <c r="K154" s="81">
        <f t="shared" si="30"/>
        <v>272</v>
      </c>
      <c r="L154" s="551"/>
      <c r="M154" s="551"/>
      <c r="N154" s="546"/>
    </row>
    <row r="155" spans="1:14" s="71" customFormat="1" ht="16.5" customHeight="1">
      <c r="A155" s="551"/>
      <c r="B155" s="551"/>
      <c r="C155" s="551"/>
      <c r="D155" s="551"/>
      <c r="E155" s="551"/>
      <c r="F155" s="551"/>
      <c r="G155" s="552" t="s">
        <v>19</v>
      </c>
      <c r="H155" s="79"/>
      <c r="I155" s="80">
        <v>2.4</v>
      </c>
      <c r="J155" s="81">
        <v>80</v>
      </c>
      <c r="K155" s="81">
        <f t="shared" si="30"/>
        <v>192</v>
      </c>
      <c r="L155" s="551"/>
      <c r="M155" s="551"/>
      <c r="N155" s="546"/>
    </row>
    <row r="156" spans="1:14" s="71" customFormat="1" ht="16.5" customHeight="1">
      <c r="A156" s="551"/>
      <c r="B156" s="551"/>
      <c r="C156" s="551"/>
      <c r="D156" s="551"/>
      <c r="E156" s="550" t="s">
        <v>9</v>
      </c>
      <c r="F156" s="110">
        <f>SUM(F153:F155)</f>
        <v>2023.1599999999999</v>
      </c>
      <c r="G156" s="550"/>
      <c r="H156" s="550"/>
      <c r="I156" s="125"/>
      <c r="J156" s="97"/>
      <c r="K156" s="111">
        <f>SUM(K153:K155)</f>
        <v>2664</v>
      </c>
      <c r="L156" s="111">
        <f>K156/F156</f>
        <v>1.3167520117044624</v>
      </c>
      <c r="M156" s="551"/>
      <c r="N156" s="546"/>
    </row>
    <row r="157" spans="1:14" s="71" customFormat="1" ht="16.5" customHeight="1">
      <c r="A157" s="551">
        <v>9941</v>
      </c>
      <c r="B157" s="552" t="s">
        <v>998</v>
      </c>
      <c r="C157" s="552" t="s">
        <v>792</v>
      </c>
      <c r="D157" s="552" t="s">
        <v>999</v>
      </c>
      <c r="E157" s="552" t="s">
        <v>102</v>
      </c>
      <c r="F157" s="90">
        <f>10900*1.0936</f>
        <v>11920.24</v>
      </c>
      <c r="G157" s="552" t="s">
        <v>27</v>
      </c>
      <c r="H157" s="79"/>
      <c r="I157" s="80">
        <v>250</v>
      </c>
      <c r="J157" s="81">
        <v>22</v>
      </c>
      <c r="K157" s="81">
        <f t="shared" ref="K157:K159" si="31">I157*J157</f>
        <v>5500</v>
      </c>
      <c r="L157" s="551"/>
      <c r="M157" s="551"/>
      <c r="N157" s="546"/>
    </row>
    <row r="158" spans="1:14" s="71" customFormat="1" ht="16.5" customHeight="1">
      <c r="A158" s="551"/>
      <c r="B158" s="551"/>
      <c r="C158" s="551"/>
      <c r="D158" s="551"/>
      <c r="E158" s="551"/>
      <c r="F158" s="551"/>
      <c r="G158" s="553" t="s">
        <v>49</v>
      </c>
      <c r="H158" s="79"/>
      <c r="I158" s="80">
        <v>20</v>
      </c>
      <c r="J158" s="81">
        <v>34</v>
      </c>
      <c r="K158" s="81">
        <f t="shared" si="31"/>
        <v>680</v>
      </c>
      <c r="L158" s="551"/>
      <c r="M158" s="551"/>
      <c r="N158" s="546"/>
    </row>
    <row r="159" spans="1:14" s="71" customFormat="1" ht="16.5" customHeight="1">
      <c r="A159" s="551"/>
      <c r="B159" s="551"/>
      <c r="C159" s="551"/>
      <c r="D159" s="551"/>
      <c r="E159" s="551"/>
      <c r="F159" s="551"/>
      <c r="G159" s="552" t="s">
        <v>19</v>
      </c>
      <c r="H159" s="79"/>
      <c r="I159" s="80">
        <v>6</v>
      </c>
      <c r="J159" s="81">
        <v>80</v>
      </c>
      <c r="K159" s="81">
        <f t="shared" si="31"/>
        <v>480</v>
      </c>
      <c r="L159" s="551"/>
      <c r="M159" s="551"/>
      <c r="N159" s="546"/>
    </row>
    <row r="160" spans="1:14" s="71" customFormat="1" ht="16.5" customHeight="1">
      <c r="A160" s="551"/>
      <c r="B160" s="551"/>
      <c r="C160" s="551"/>
      <c r="D160" s="551"/>
      <c r="E160" s="550" t="s">
        <v>9</v>
      </c>
      <c r="F160" s="110">
        <f>SUM(F157:F159)</f>
        <v>11920.24</v>
      </c>
      <c r="G160" s="550"/>
      <c r="H160" s="550"/>
      <c r="I160" s="125"/>
      <c r="J160" s="97"/>
      <c r="K160" s="111">
        <f>SUM(K157:K159)</f>
        <v>6660</v>
      </c>
      <c r="L160" s="111">
        <f>K160/F160</f>
        <v>0.55871358294799434</v>
      </c>
      <c r="M160" s="102"/>
    </row>
    <row r="161" spans="1:14" s="71" customFormat="1" ht="16.5" customHeight="1">
      <c r="A161" s="548"/>
      <c r="B161" s="548"/>
      <c r="C161" s="548"/>
      <c r="D161" s="126" t="s">
        <v>30</v>
      </c>
      <c r="E161" s="142"/>
      <c r="F161" s="127">
        <f>F128+F132+F136+F140+F144+F148+F152+F156+F160</f>
        <v>33901.599999999999</v>
      </c>
      <c r="G161" s="128"/>
      <c r="H161" s="128"/>
      <c r="I161" s="128"/>
      <c r="J161" s="128"/>
      <c r="K161" s="127">
        <f>K128+K132+K136+K140+K144+K148+K152+K156+K160</f>
        <v>46432.6</v>
      </c>
      <c r="L161" s="129">
        <f>K161/F161</f>
        <v>1.3696285721027917</v>
      </c>
      <c r="M161" s="131"/>
    </row>
    <row r="162" spans="1:14" s="71" customFormat="1" ht="16.5" customHeight="1">
      <c r="A162" s="70" t="s">
        <v>11</v>
      </c>
      <c r="B162" s="70"/>
      <c r="C162" s="70"/>
      <c r="D162" s="70"/>
      <c r="E162" s="70"/>
      <c r="K162" s="824" t="s">
        <v>1110</v>
      </c>
      <c r="L162" s="824"/>
      <c r="M162" s="824"/>
    </row>
    <row r="163" spans="1:14" s="71" customFormat="1" ht="16.5" customHeight="1">
      <c r="A163" s="550" t="s">
        <v>0</v>
      </c>
      <c r="B163" s="550" t="s">
        <v>7</v>
      </c>
      <c r="C163" s="550" t="s">
        <v>13</v>
      </c>
      <c r="D163" s="550" t="s">
        <v>14</v>
      </c>
      <c r="E163" s="550" t="s">
        <v>8</v>
      </c>
      <c r="F163" s="550" t="s">
        <v>1</v>
      </c>
      <c r="G163" s="550" t="s">
        <v>2</v>
      </c>
      <c r="H163" s="550" t="s">
        <v>15</v>
      </c>
      <c r="I163" s="550" t="s">
        <v>3</v>
      </c>
      <c r="J163" s="550" t="s">
        <v>4</v>
      </c>
      <c r="K163" s="550" t="s">
        <v>5</v>
      </c>
      <c r="L163" s="550" t="s">
        <v>12</v>
      </c>
      <c r="M163" s="550" t="s">
        <v>6</v>
      </c>
      <c r="N163" s="123"/>
    </row>
    <row r="164" spans="1:14" s="71" customFormat="1" ht="16.5" customHeight="1">
      <c r="A164" s="552">
        <v>9965</v>
      </c>
      <c r="B164" s="552" t="s">
        <v>1077</v>
      </c>
      <c r="C164" s="552" t="s">
        <v>1078</v>
      </c>
      <c r="D164" s="552" t="s">
        <v>1079</v>
      </c>
      <c r="E164" s="552"/>
      <c r="F164" s="87">
        <f>9558*1.0936</f>
        <v>10452.628799999999</v>
      </c>
      <c r="G164" s="553" t="s">
        <v>587</v>
      </c>
      <c r="H164" s="79"/>
      <c r="I164" s="81">
        <f>6+3</f>
        <v>9</v>
      </c>
      <c r="J164" s="81">
        <v>456</v>
      </c>
      <c r="K164" s="94">
        <f t="shared" ref="K164" si="32">I164*J164</f>
        <v>4104</v>
      </c>
      <c r="L164" s="79"/>
      <c r="M164" s="102"/>
    </row>
    <row r="165" spans="1:14" s="71" customFormat="1" ht="16.5" customHeight="1">
      <c r="A165" s="551"/>
      <c r="B165" s="551"/>
      <c r="C165" s="551"/>
      <c r="D165" s="551"/>
      <c r="E165" s="551"/>
      <c r="F165" s="98"/>
      <c r="G165" s="553" t="s">
        <v>512</v>
      </c>
      <c r="H165" s="79"/>
      <c r="I165" s="80"/>
      <c r="J165" s="81">
        <v>248</v>
      </c>
      <c r="K165" s="81">
        <f t="shared" ref="K165" si="33">I165*J165</f>
        <v>0</v>
      </c>
      <c r="L165" s="102"/>
      <c r="M165" s="102"/>
    </row>
    <row r="166" spans="1:14" s="71" customFormat="1" ht="16.5" customHeight="1">
      <c r="A166" s="551"/>
      <c r="B166" s="551"/>
      <c r="C166" s="551"/>
      <c r="D166" s="551"/>
      <c r="E166" s="550" t="s">
        <v>9</v>
      </c>
      <c r="F166" s="110">
        <f>SUM(F164:F165)</f>
        <v>10452.628799999999</v>
      </c>
      <c r="G166" s="550"/>
      <c r="H166" s="550"/>
      <c r="I166" s="125"/>
      <c r="J166" s="97"/>
      <c r="K166" s="111">
        <f>SUM(K164:K165)</f>
        <v>4104</v>
      </c>
      <c r="L166" s="111">
        <f>K166/F166</f>
        <v>0.39262850317615799</v>
      </c>
      <c r="M166" s="102"/>
    </row>
    <row r="167" spans="1:14" s="71" customFormat="1" ht="16.5" customHeight="1">
      <c r="A167" s="551">
        <v>9962</v>
      </c>
      <c r="B167" s="552" t="s">
        <v>1053</v>
      </c>
      <c r="C167" s="552" t="s">
        <v>121</v>
      </c>
      <c r="D167" s="552" t="s">
        <v>120</v>
      </c>
      <c r="E167" s="552" t="s">
        <v>310</v>
      </c>
      <c r="F167" s="160">
        <f>100*1.0936</f>
        <v>109.35999999999999</v>
      </c>
      <c r="G167" s="553" t="s">
        <v>1123</v>
      </c>
      <c r="H167" s="79"/>
      <c r="I167" s="81">
        <v>0.4</v>
      </c>
      <c r="J167" s="81">
        <v>320</v>
      </c>
      <c r="K167" s="94">
        <f t="shared" ref="K167:K168" si="34">I167*J167</f>
        <v>128</v>
      </c>
      <c r="L167" s="102"/>
      <c r="M167" s="102"/>
    </row>
    <row r="168" spans="1:14" s="71" customFormat="1" ht="16.5" customHeight="1">
      <c r="A168" s="551"/>
      <c r="B168" s="551"/>
      <c r="C168" s="551"/>
      <c r="D168" s="551"/>
      <c r="E168" s="551"/>
      <c r="F168" s="98"/>
      <c r="G168" s="553" t="s">
        <v>1124</v>
      </c>
      <c r="H168" s="79"/>
      <c r="I168" s="80">
        <v>0.06</v>
      </c>
      <c r="J168" s="81">
        <v>248</v>
      </c>
      <c r="K168" s="81">
        <f t="shared" si="34"/>
        <v>14.879999999999999</v>
      </c>
      <c r="L168" s="102"/>
      <c r="M168" s="102"/>
    </row>
    <row r="169" spans="1:14" s="71" customFormat="1" ht="16.5" customHeight="1">
      <c r="A169" s="551"/>
      <c r="B169" s="551"/>
      <c r="C169" s="551"/>
      <c r="D169" s="551"/>
      <c r="E169" s="550" t="s">
        <v>9</v>
      </c>
      <c r="F169" s="110">
        <f>SUM(F167:F168)</f>
        <v>109.35999999999999</v>
      </c>
      <c r="G169" s="550"/>
      <c r="H169" s="550"/>
      <c r="I169" s="125"/>
      <c r="J169" s="97"/>
      <c r="K169" s="111">
        <f>SUM(K167:K168)</f>
        <v>142.88</v>
      </c>
      <c r="L169" s="111">
        <f>K169/F169</f>
        <v>1.3065106071689834</v>
      </c>
      <c r="M169" s="102"/>
    </row>
    <row r="170" spans="1:14" s="71" customFormat="1" ht="16.5" customHeight="1">
      <c r="A170" s="551">
        <v>9961</v>
      </c>
      <c r="B170" s="552" t="s">
        <v>303</v>
      </c>
      <c r="C170" s="89" t="s">
        <v>513</v>
      </c>
      <c r="D170" s="89" t="s">
        <v>297</v>
      </c>
      <c r="E170" s="552" t="s">
        <v>1125</v>
      </c>
      <c r="F170" s="99">
        <f>130*1.0936</f>
        <v>142.16799999999998</v>
      </c>
      <c r="G170" s="173" t="s">
        <v>298</v>
      </c>
      <c r="H170" s="79"/>
      <c r="I170" s="80">
        <v>1</v>
      </c>
      <c r="J170" s="81">
        <v>435</v>
      </c>
      <c r="K170" s="94">
        <f t="shared" ref="K170:K171" si="35">I170*J170</f>
        <v>435</v>
      </c>
      <c r="L170" s="79"/>
      <c r="M170" s="102"/>
    </row>
    <row r="171" spans="1:14" s="71" customFormat="1" ht="16.5" customHeight="1">
      <c r="A171" s="551"/>
      <c r="B171" s="551"/>
      <c r="C171" s="551"/>
      <c r="D171" s="551"/>
      <c r="E171" s="551"/>
      <c r="F171" s="98"/>
      <c r="G171" s="553" t="s">
        <v>206</v>
      </c>
      <c r="H171" s="79"/>
      <c r="I171" s="81">
        <v>1</v>
      </c>
      <c r="J171" s="81">
        <v>375</v>
      </c>
      <c r="K171" s="81">
        <f t="shared" si="35"/>
        <v>375</v>
      </c>
      <c r="L171" s="79"/>
      <c r="M171" s="102"/>
    </row>
    <row r="172" spans="1:14" s="71" customFormat="1" ht="16.5" customHeight="1">
      <c r="A172" s="551"/>
      <c r="B172" s="551"/>
      <c r="C172" s="551"/>
      <c r="D172" s="551"/>
      <c r="E172" s="551"/>
      <c r="F172" s="98"/>
      <c r="G172" s="553" t="s">
        <v>798</v>
      </c>
      <c r="H172" s="79"/>
      <c r="I172" s="81">
        <v>1</v>
      </c>
      <c r="J172" s="81">
        <v>248</v>
      </c>
      <c r="K172" s="81">
        <f>I172*J172</f>
        <v>248</v>
      </c>
      <c r="L172" s="102"/>
      <c r="M172" s="102"/>
    </row>
    <row r="173" spans="1:14" s="71" customFormat="1" ht="16.5" customHeight="1">
      <c r="A173" s="551"/>
      <c r="B173" s="551"/>
      <c r="C173" s="551"/>
      <c r="D173" s="551"/>
      <c r="E173" s="550" t="s">
        <v>9</v>
      </c>
      <c r="F173" s="110">
        <f>SUM(F170:F172)</f>
        <v>142.16799999999998</v>
      </c>
      <c r="G173" s="550"/>
      <c r="H173" s="550"/>
      <c r="I173" s="125"/>
      <c r="J173" s="97"/>
      <c r="K173" s="111">
        <f>SUM(K170:K172)</f>
        <v>1058</v>
      </c>
      <c r="L173" s="111">
        <f>K173/F173</f>
        <v>7.441899724269879</v>
      </c>
      <c r="M173" s="102"/>
    </row>
    <row r="174" spans="1:14" s="71" customFormat="1" ht="16.5" customHeight="1">
      <c r="A174" s="551">
        <v>9960</v>
      </c>
      <c r="B174" s="552" t="s">
        <v>786</v>
      </c>
      <c r="C174" s="552" t="s">
        <v>513</v>
      </c>
      <c r="D174" s="552" t="s">
        <v>486</v>
      </c>
      <c r="E174" s="552" t="s">
        <v>1056</v>
      </c>
      <c r="F174" s="87">
        <f>530*1.0936</f>
        <v>579.60799999999995</v>
      </c>
      <c r="G174" s="173" t="s">
        <v>298</v>
      </c>
      <c r="H174" s="79"/>
      <c r="I174" s="80">
        <v>3</v>
      </c>
      <c r="J174" s="81">
        <v>435</v>
      </c>
      <c r="K174" s="94">
        <f t="shared" ref="K174:K175" si="36">I174*J174</f>
        <v>1305</v>
      </c>
      <c r="L174" s="79"/>
      <c r="M174" s="102"/>
    </row>
    <row r="175" spans="1:14" s="71" customFormat="1" ht="16.5" customHeight="1">
      <c r="A175" s="551"/>
      <c r="B175" s="552"/>
      <c r="C175" s="552"/>
      <c r="D175" s="552"/>
      <c r="E175" s="552" t="s">
        <v>1057</v>
      </c>
      <c r="F175" s="87"/>
      <c r="G175" s="553" t="s">
        <v>206</v>
      </c>
      <c r="H175" s="79"/>
      <c r="I175" s="81">
        <v>3</v>
      </c>
      <c r="J175" s="81">
        <v>375</v>
      </c>
      <c r="K175" s="81">
        <f t="shared" si="36"/>
        <v>1125</v>
      </c>
      <c r="L175" s="79"/>
      <c r="M175" s="102"/>
    </row>
    <row r="176" spans="1:14" s="71" customFormat="1" ht="16.5" customHeight="1">
      <c r="A176" s="551"/>
      <c r="B176" s="551"/>
      <c r="C176" s="551"/>
      <c r="D176" s="551"/>
      <c r="E176" s="551"/>
      <c r="F176" s="98"/>
      <c r="G176" s="553" t="s">
        <v>798</v>
      </c>
      <c r="H176" s="79"/>
      <c r="I176" s="81">
        <v>5</v>
      </c>
      <c r="J176" s="81">
        <v>248</v>
      </c>
      <c r="K176" s="81">
        <f>I176*J176</f>
        <v>1240</v>
      </c>
      <c r="L176" s="102"/>
      <c r="M176" s="102"/>
    </row>
    <row r="177" spans="1:13" s="71" customFormat="1" ht="16.5" customHeight="1">
      <c r="A177" s="551"/>
      <c r="B177" s="551"/>
      <c r="C177" s="551"/>
      <c r="D177" s="551"/>
      <c r="E177" s="550" t="s">
        <v>9</v>
      </c>
      <c r="F177" s="110">
        <f>SUM(F174:F176)</f>
        <v>579.60799999999995</v>
      </c>
      <c r="G177" s="550"/>
      <c r="H177" s="550"/>
      <c r="I177" s="125"/>
      <c r="J177" s="97"/>
      <c r="K177" s="111">
        <f>SUM(K174:K176)</f>
        <v>3670</v>
      </c>
      <c r="L177" s="111">
        <f>K177/F177</f>
        <v>6.3318656747318887</v>
      </c>
      <c r="M177" s="102"/>
    </row>
    <row r="178" spans="1:13" s="71" customFormat="1" ht="16.5" customHeight="1">
      <c r="A178" s="551">
        <v>9959</v>
      </c>
      <c r="B178" s="552" t="s">
        <v>929</v>
      </c>
      <c r="C178" s="89" t="s">
        <v>513</v>
      </c>
      <c r="D178" s="89" t="s">
        <v>297</v>
      </c>
      <c r="E178" s="552" t="s">
        <v>779</v>
      </c>
      <c r="F178" s="90">
        <f>260*1.0936</f>
        <v>284.33599999999996</v>
      </c>
      <c r="G178" s="173" t="s">
        <v>298</v>
      </c>
      <c r="H178" s="79"/>
      <c r="I178" s="80">
        <v>1</v>
      </c>
      <c r="J178" s="81">
        <v>435</v>
      </c>
      <c r="K178" s="94">
        <f t="shared" ref="K178:K180" si="37">I178*J178</f>
        <v>435</v>
      </c>
      <c r="L178" s="102"/>
      <c r="M178" s="102"/>
    </row>
    <row r="179" spans="1:13" s="71" customFormat="1" ht="16.5" customHeight="1">
      <c r="A179" s="551"/>
      <c r="B179" s="551"/>
      <c r="C179" s="551"/>
      <c r="D179" s="551"/>
      <c r="E179" s="551"/>
      <c r="F179" s="98"/>
      <c r="G179" s="553" t="s">
        <v>206</v>
      </c>
      <c r="H179" s="79"/>
      <c r="I179" s="81">
        <v>1</v>
      </c>
      <c r="J179" s="81">
        <v>375</v>
      </c>
      <c r="K179" s="81">
        <f t="shared" si="37"/>
        <v>375</v>
      </c>
      <c r="L179" s="102"/>
      <c r="M179" s="102"/>
    </row>
    <row r="180" spans="1:13" s="71" customFormat="1" ht="16.5" customHeight="1">
      <c r="A180" s="551"/>
      <c r="B180" s="551"/>
      <c r="C180" s="551"/>
      <c r="D180" s="551"/>
      <c r="E180" s="551"/>
      <c r="F180" s="98"/>
      <c r="G180" s="173" t="s">
        <v>799</v>
      </c>
      <c r="H180" s="79"/>
      <c r="I180" s="188">
        <v>1</v>
      </c>
      <c r="J180" s="81">
        <v>350</v>
      </c>
      <c r="K180" s="94">
        <f t="shared" si="37"/>
        <v>350</v>
      </c>
      <c r="L180" s="102"/>
      <c r="M180" s="102"/>
    </row>
    <row r="181" spans="1:13" s="71" customFormat="1" ht="16.5" customHeight="1">
      <c r="A181" s="551"/>
      <c r="B181" s="551"/>
      <c r="C181" s="551"/>
      <c r="D181" s="551"/>
      <c r="E181" s="550" t="s">
        <v>9</v>
      </c>
      <c r="F181" s="110">
        <f>SUM(F178:F180)</f>
        <v>284.33599999999996</v>
      </c>
      <c r="G181" s="550"/>
      <c r="H181" s="550"/>
      <c r="I181" s="125"/>
      <c r="J181" s="97"/>
      <c r="K181" s="111">
        <f>SUM(K178:K180)</f>
        <v>1160</v>
      </c>
      <c r="L181" s="111">
        <f>K181/F181</f>
        <v>4.0796803781441682</v>
      </c>
      <c r="M181" s="102"/>
    </row>
    <row r="182" spans="1:13" s="71" customFormat="1" ht="16.5" customHeight="1">
      <c r="A182" s="551">
        <v>9968</v>
      </c>
      <c r="B182" s="552" t="s">
        <v>1126</v>
      </c>
      <c r="C182" s="552" t="s">
        <v>1095</v>
      </c>
      <c r="D182" s="552" t="s">
        <v>74</v>
      </c>
      <c r="E182" s="552" t="s">
        <v>232</v>
      </c>
      <c r="F182" s="87">
        <f>1550*1.0936</f>
        <v>1695.08</v>
      </c>
      <c r="G182" s="173" t="s">
        <v>298</v>
      </c>
      <c r="H182" s="79"/>
      <c r="I182" s="80">
        <v>5</v>
      </c>
      <c r="J182" s="81">
        <v>435</v>
      </c>
      <c r="K182" s="94">
        <f t="shared" ref="K182:K185" si="38">I182*J182</f>
        <v>2175</v>
      </c>
      <c r="L182" s="102"/>
      <c r="M182" s="102"/>
    </row>
    <row r="183" spans="1:13" s="71" customFormat="1" ht="16.5" customHeight="1">
      <c r="A183" s="551"/>
      <c r="B183" s="551"/>
      <c r="C183" s="551"/>
      <c r="D183" s="551"/>
      <c r="E183" s="551"/>
      <c r="F183" s="98"/>
      <c r="G183" s="95" t="s">
        <v>204</v>
      </c>
      <c r="H183" s="79"/>
      <c r="I183" s="81">
        <v>3</v>
      </c>
      <c r="J183" s="81">
        <v>375</v>
      </c>
      <c r="K183" s="81">
        <f t="shared" si="38"/>
        <v>1125</v>
      </c>
      <c r="L183" s="102"/>
      <c r="M183" s="102"/>
    </row>
    <row r="184" spans="1:13" s="71" customFormat="1" ht="16.5" customHeight="1">
      <c r="A184" s="551"/>
      <c r="B184" s="551"/>
      <c r="C184" s="551"/>
      <c r="D184" s="551"/>
      <c r="E184" s="551"/>
      <c r="F184" s="98"/>
      <c r="G184" s="173" t="s">
        <v>799</v>
      </c>
      <c r="H184" s="79"/>
      <c r="I184" s="188">
        <v>4</v>
      </c>
      <c r="J184" s="81">
        <v>350</v>
      </c>
      <c r="K184" s="94">
        <f t="shared" si="38"/>
        <v>1400</v>
      </c>
      <c r="L184" s="102"/>
      <c r="M184" s="102"/>
    </row>
    <row r="185" spans="1:13" s="71" customFormat="1" ht="16.5" customHeight="1">
      <c r="A185" s="551"/>
      <c r="B185" s="551"/>
      <c r="C185" s="551"/>
      <c r="D185" s="551"/>
      <c r="E185" s="551"/>
      <c r="F185" s="98"/>
      <c r="G185" s="552" t="s">
        <v>202</v>
      </c>
      <c r="H185" s="79"/>
      <c r="I185" s="188">
        <v>0.5</v>
      </c>
      <c r="J185" s="81">
        <v>386</v>
      </c>
      <c r="K185" s="81">
        <f t="shared" si="38"/>
        <v>193</v>
      </c>
      <c r="L185" s="102"/>
      <c r="M185" s="102"/>
    </row>
    <row r="186" spans="1:13" s="71" customFormat="1" ht="16.5" customHeight="1">
      <c r="A186" s="551"/>
      <c r="B186" s="551"/>
      <c r="C186" s="551"/>
      <c r="D186" s="551"/>
      <c r="E186" s="550" t="s">
        <v>9</v>
      </c>
      <c r="F186" s="110">
        <f>SUM(F182:F185)</f>
        <v>1695.08</v>
      </c>
      <c r="G186" s="550"/>
      <c r="H186" s="550"/>
      <c r="I186" s="125"/>
      <c r="J186" s="97"/>
      <c r="K186" s="111">
        <f>SUM(K182:K185)</f>
        <v>4893</v>
      </c>
      <c r="L186" s="111">
        <f>K186/F186</f>
        <v>2.8865894235080352</v>
      </c>
      <c r="M186" s="102"/>
    </row>
    <row r="187" spans="1:13" s="71" customFormat="1" ht="16.5" customHeight="1">
      <c r="A187" s="551">
        <v>9969</v>
      </c>
      <c r="B187" s="552" t="s">
        <v>1037</v>
      </c>
      <c r="C187" s="89" t="s">
        <v>1033</v>
      </c>
      <c r="D187" s="89" t="s">
        <v>1034</v>
      </c>
      <c r="E187" s="552" t="s">
        <v>1044</v>
      </c>
      <c r="F187" s="90">
        <f>1800*1.0936</f>
        <v>1968.4799999999998</v>
      </c>
      <c r="G187" s="173" t="s">
        <v>298</v>
      </c>
      <c r="H187" s="79"/>
      <c r="I187" s="80">
        <v>5</v>
      </c>
      <c r="J187" s="81">
        <v>435</v>
      </c>
      <c r="K187" s="94">
        <f t="shared" ref="K187:K188" si="39">I187*J187</f>
        <v>2175</v>
      </c>
      <c r="L187" s="102"/>
      <c r="M187" s="102"/>
    </row>
    <row r="188" spans="1:13" s="71" customFormat="1" ht="16.5" customHeight="1">
      <c r="A188" s="551"/>
      <c r="B188" s="551"/>
      <c r="C188" s="551"/>
      <c r="D188" s="551"/>
      <c r="E188" s="551"/>
      <c r="F188" s="98"/>
      <c r="G188" s="553" t="s">
        <v>206</v>
      </c>
      <c r="H188" s="79"/>
      <c r="I188" s="81">
        <v>20</v>
      </c>
      <c r="J188" s="81">
        <v>375</v>
      </c>
      <c r="K188" s="81">
        <f t="shared" si="39"/>
        <v>7500</v>
      </c>
      <c r="L188" s="102"/>
      <c r="M188" s="102"/>
    </row>
    <row r="189" spans="1:13" s="71" customFormat="1" ht="16.5" customHeight="1">
      <c r="A189" s="551"/>
      <c r="B189" s="551"/>
      <c r="C189" s="551"/>
      <c r="D189" s="551"/>
      <c r="E189" s="550" t="s">
        <v>9</v>
      </c>
      <c r="F189" s="110">
        <f>SUM(F187:F188)</f>
        <v>1968.4799999999998</v>
      </c>
      <c r="G189" s="550"/>
      <c r="H189" s="550"/>
      <c r="I189" s="125"/>
      <c r="J189" s="97"/>
      <c r="K189" s="111">
        <f>SUM(K187:K188)</f>
        <v>9675</v>
      </c>
      <c r="L189" s="111">
        <f>K189/F189</f>
        <v>4.914959765910754</v>
      </c>
      <c r="M189" s="102"/>
    </row>
    <row r="190" spans="1:13" s="71" customFormat="1" ht="16.5" customHeight="1">
      <c r="A190" s="551">
        <v>9967</v>
      </c>
      <c r="B190" s="552" t="s">
        <v>303</v>
      </c>
      <c r="C190" s="552" t="s">
        <v>121</v>
      </c>
      <c r="D190" s="552" t="s">
        <v>1093</v>
      </c>
      <c r="E190" s="552" t="s">
        <v>397</v>
      </c>
      <c r="F190" s="160">
        <f>400*1.0936</f>
        <v>437.43999999999994</v>
      </c>
      <c r="G190" s="173" t="s">
        <v>298</v>
      </c>
      <c r="H190" s="79"/>
      <c r="I190" s="80">
        <v>2</v>
      </c>
      <c r="J190" s="81">
        <v>435</v>
      </c>
      <c r="K190" s="94">
        <f t="shared" ref="K190:K191" si="40">I190*J190</f>
        <v>870</v>
      </c>
      <c r="L190" s="102"/>
      <c r="M190" s="102"/>
    </row>
    <row r="191" spans="1:13" s="71" customFormat="1" ht="16.5" customHeight="1">
      <c r="A191" s="551"/>
      <c r="B191" s="551"/>
      <c r="C191" s="551"/>
      <c r="D191" s="551"/>
      <c r="E191" s="551"/>
      <c r="F191" s="98"/>
      <c r="G191" s="173" t="s">
        <v>799</v>
      </c>
      <c r="H191" s="79"/>
      <c r="I191" s="188">
        <v>5</v>
      </c>
      <c r="J191" s="81">
        <v>350</v>
      </c>
      <c r="K191" s="94">
        <f t="shared" si="40"/>
        <v>1750</v>
      </c>
      <c r="L191" s="102"/>
      <c r="M191" s="102"/>
    </row>
    <row r="192" spans="1:13" s="71" customFormat="1" ht="16.5" customHeight="1">
      <c r="A192" s="551"/>
      <c r="B192" s="551"/>
      <c r="C192" s="551"/>
      <c r="D192" s="551"/>
      <c r="E192" s="550" t="s">
        <v>9</v>
      </c>
      <c r="F192" s="110">
        <f>SUM(F190:F191)</f>
        <v>437.43999999999994</v>
      </c>
      <c r="G192" s="550"/>
      <c r="H192" s="550"/>
      <c r="I192" s="97"/>
      <c r="J192" s="97"/>
      <c r="K192" s="111">
        <f>SUM(K190:K191)</f>
        <v>2620</v>
      </c>
      <c r="L192" s="111">
        <f>K192/F192</f>
        <v>5.9893928310168256</v>
      </c>
      <c r="M192" s="102"/>
    </row>
    <row r="193" spans="1:14" s="71" customFormat="1" ht="16.5" customHeight="1">
      <c r="D193" s="126" t="s">
        <v>30</v>
      </c>
      <c r="E193" s="126"/>
      <c r="F193" s="127">
        <f>F166+F169+F173+F177+F181+F186+F189+F192</f>
        <v>15669.100799999998</v>
      </c>
      <c r="G193" s="128"/>
      <c r="H193" s="128"/>
      <c r="I193" s="128"/>
      <c r="J193" s="128"/>
      <c r="K193" s="127">
        <f>K166+K169+K173+K177+K181+K186+K189+K192</f>
        <v>27322.880000000001</v>
      </c>
      <c r="L193" s="129">
        <f>K193/F193</f>
        <v>1.7437426913483129</v>
      </c>
    </row>
    <row r="194" spans="1:14" s="71" customFormat="1" ht="16.5" customHeight="1">
      <c r="A194" s="70" t="s">
        <v>42</v>
      </c>
      <c r="B194" s="70"/>
      <c r="C194" s="70"/>
      <c r="D194" s="70"/>
      <c r="E194" s="70"/>
      <c r="K194" s="824" t="s">
        <v>1110</v>
      </c>
      <c r="L194" s="824"/>
      <c r="M194" s="824"/>
    </row>
    <row r="195" spans="1:14" s="71" customFormat="1" ht="16.5" customHeight="1">
      <c r="A195" s="550" t="s">
        <v>0</v>
      </c>
      <c r="B195" s="550" t="s">
        <v>7</v>
      </c>
      <c r="C195" s="550" t="s">
        <v>13</v>
      </c>
      <c r="D195" s="550" t="s">
        <v>14</v>
      </c>
      <c r="E195" s="550" t="s">
        <v>8</v>
      </c>
      <c r="F195" s="550" t="s">
        <v>1</v>
      </c>
      <c r="G195" s="550" t="s">
        <v>2</v>
      </c>
      <c r="H195" s="550" t="s">
        <v>15</v>
      </c>
      <c r="I195" s="550" t="s">
        <v>3</v>
      </c>
      <c r="J195" s="550" t="s">
        <v>4</v>
      </c>
      <c r="K195" s="550" t="s">
        <v>5</v>
      </c>
      <c r="L195" s="550" t="s">
        <v>12</v>
      </c>
      <c r="M195" s="550" t="s">
        <v>6</v>
      </c>
      <c r="N195" s="123"/>
    </row>
    <row r="196" spans="1:14" s="71" customFormat="1" ht="16.5" customHeight="1">
      <c r="A196" s="551">
        <v>7772</v>
      </c>
      <c r="B196" s="552" t="s">
        <v>327</v>
      </c>
      <c r="C196" s="89" t="s">
        <v>700</v>
      </c>
      <c r="D196" s="89" t="s">
        <v>297</v>
      </c>
      <c r="E196" s="551" t="s">
        <v>93</v>
      </c>
      <c r="F196" s="90">
        <f>3850*1.0936</f>
        <v>4210.3599999999997</v>
      </c>
      <c r="G196" s="91" t="s">
        <v>209</v>
      </c>
      <c r="H196" s="79"/>
      <c r="I196" s="80">
        <v>5.7</v>
      </c>
      <c r="J196" s="81">
        <v>350</v>
      </c>
      <c r="K196" s="81">
        <f t="shared" ref="K196" si="41">I196*J196</f>
        <v>1995</v>
      </c>
      <c r="L196" s="79"/>
      <c r="M196" s="102"/>
    </row>
    <row r="197" spans="1:14" s="71" customFormat="1" ht="16.5" customHeight="1">
      <c r="A197" s="551"/>
      <c r="B197" s="551"/>
      <c r="C197" s="551"/>
      <c r="D197" s="551"/>
      <c r="E197" s="551"/>
      <c r="F197" s="98"/>
      <c r="G197" s="91" t="s">
        <v>215</v>
      </c>
      <c r="H197" s="109"/>
      <c r="I197" s="80">
        <v>3.7949999999999999</v>
      </c>
      <c r="J197" s="81">
        <v>750</v>
      </c>
      <c r="K197" s="81">
        <f t="shared" ref="K197:K198" si="42">I197*J197</f>
        <v>2846.25</v>
      </c>
      <c r="L197" s="79"/>
      <c r="M197" s="102"/>
    </row>
    <row r="198" spans="1:14" s="71" customFormat="1" ht="16.5" customHeight="1">
      <c r="A198" s="551"/>
      <c r="B198" s="551"/>
      <c r="C198" s="551"/>
      <c r="D198" s="551"/>
      <c r="E198" s="551"/>
      <c r="F198" s="98"/>
      <c r="G198" s="91" t="s">
        <v>221</v>
      </c>
      <c r="H198" s="112"/>
      <c r="I198" s="113">
        <v>1</v>
      </c>
      <c r="J198" s="81">
        <v>980</v>
      </c>
      <c r="K198" s="81">
        <f t="shared" si="42"/>
        <v>980</v>
      </c>
      <c r="L198" s="102"/>
      <c r="M198" s="102"/>
    </row>
    <row r="199" spans="1:14" s="71" customFormat="1" ht="16.5" customHeight="1">
      <c r="A199" s="551"/>
      <c r="B199" s="551"/>
      <c r="C199" s="551"/>
      <c r="D199" s="551"/>
      <c r="E199" s="551"/>
      <c r="F199" s="98"/>
      <c r="G199" s="553" t="s">
        <v>211</v>
      </c>
      <c r="H199" s="79"/>
      <c r="I199" s="80">
        <v>60</v>
      </c>
      <c r="J199" s="81">
        <v>120</v>
      </c>
      <c r="K199" s="81">
        <f>I199*J199</f>
        <v>7200</v>
      </c>
      <c r="L199" s="102"/>
      <c r="M199" s="102"/>
    </row>
    <row r="200" spans="1:14" s="71" customFormat="1" ht="16.5" customHeight="1">
      <c r="A200" s="551"/>
      <c r="B200" s="551"/>
      <c r="C200" s="551"/>
      <c r="D200" s="551"/>
      <c r="E200" s="551"/>
      <c r="F200" s="98"/>
      <c r="G200" s="553" t="s">
        <v>212</v>
      </c>
      <c r="H200" s="79"/>
      <c r="I200" s="80">
        <v>3</v>
      </c>
      <c r="J200" s="81">
        <v>527</v>
      </c>
      <c r="K200" s="81">
        <f t="shared" ref="K200" si="43">I200*J200</f>
        <v>1581</v>
      </c>
      <c r="L200" s="102"/>
      <c r="M200" s="102"/>
    </row>
    <row r="201" spans="1:14" s="71" customFormat="1" ht="16.5" customHeight="1">
      <c r="A201" s="551"/>
      <c r="B201" s="551"/>
      <c r="C201" s="551"/>
      <c r="D201" s="551"/>
      <c r="E201" s="551"/>
      <c r="F201" s="98"/>
      <c r="G201" s="553" t="s">
        <v>45</v>
      </c>
      <c r="H201" s="79"/>
      <c r="I201" s="80">
        <v>4.5</v>
      </c>
      <c r="J201" s="81">
        <v>45</v>
      </c>
      <c r="K201" s="81">
        <f t="shared" ref="K201:K203" si="44">I201*J201</f>
        <v>202.5</v>
      </c>
      <c r="L201" s="102"/>
      <c r="M201" s="102"/>
    </row>
    <row r="202" spans="1:14" s="71" customFormat="1" ht="16.5" customHeight="1">
      <c r="A202" s="551"/>
      <c r="B202" s="551"/>
      <c r="C202" s="551"/>
      <c r="D202" s="551"/>
      <c r="E202" s="551"/>
      <c r="F202" s="98"/>
      <c r="G202" s="553" t="s">
        <v>213</v>
      </c>
      <c r="H202" s="79"/>
      <c r="I202" s="80">
        <v>6</v>
      </c>
      <c r="J202" s="81">
        <v>348</v>
      </c>
      <c r="K202" s="81">
        <f t="shared" si="44"/>
        <v>2088</v>
      </c>
      <c r="L202" s="102"/>
      <c r="M202" s="102"/>
    </row>
    <row r="203" spans="1:14" s="71" customFormat="1" ht="16.5" customHeight="1">
      <c r="A203" s="551"/>
      <c r="B203" s="551"/>
      <c r="C203" s="551"/>
      <c r="D203" s="551"/>
      <c r="E203" s="551"/>
      <c r="F203" s="98"/>
      <c r="G203" s="552" t="s">
        <v>28</v>
      </c>
      <c r="H203" s="79"/>
      <c r="I203" s="80">
        <v>9</v>
      </c>
      <c r="J203" s="81">
        <v>17</v>
      </c>
      <c r="K203" s="81">
        <f t="shared" si="44"/>
        <v>153</v>
      </c>
      <c r="L203" s="102"/>
      <c r="M203" s="102"/>
    </row>
    <row r="204" spans="1:14" s="71" customFormat="1" ht="16.5" customHeight="1">
      <c r="A204" s="551"/>
      <c r="B204" s="551"/>
      <c r="C204" s="551"/>
      <c r="D204" s="551"/>
      <c r="E204" s="550" t="s">
        <v>9</v>
      </c>
      <c r="F204" s="110">
        <f>SUM(F196:F203)</f>
        <v>4210.3599999999997</v>
      </c>
      <c r="G204" s="550"/>
      <c r="H204" s="550"/>
      <c r="I204" s="97"/>
      <c r="J204" s="97"/>
      <c r="K204" s="111">
        <f>SUM(K196:K203)</f>
        <v>17045.75</v>
      </c>
      <c r="L204" s="111">
        <f>K204/F204</f>
        <v>4.0485255417588997</v>
      </c>
      <c r="M204" s="102"/>
    </row>
    <row r="205" spans="1:14" s="71" customFormat="1" ht="16.5" customHeight="1">
      <c r="A205" s="551">
        <v>7773</v>
      </c>
      <c r="B205" s="594" t="s">
        <v>1045</v>
      </c>
      <c r="C205" s="552" t="s">
        <v>792</v>
      </c>
      <c r="D205" s="552" t="s">
        <v>999</v>
      </c>
      <c r="E205" s="552" t="s">
        <v>1072</v>
      </c>
      <c r="F205" s="90">
        <f>6880*1.0936</f>
        <v>7523.9679999999989</v>
      </c>
      <c r="G205" s="91" t="s">
        <v>123</v>
      </c>
      <c r="H205" s="552"/>
      <c r="I205" s="96">
        <v>0.9</v>
      </c>
      <c r="J205" s="81">
        <v>750</v>
      </c>
      <c r="K205" s="94">
        <f t="shared" ref="K205:K208" si="45">I205*J205</f>
        <v>675</v>
      </c>
      <c r="L205" s="102"/>
      <c r="M205" s="102"/>
    </row>
    <row r="206" spans="1:14" s="71" customFormat="1" ht="16.5" customHeight="1">
      <c r="A206" s="551"/>
      <c r="B206" s="552"/>
      <c r="C206" s="551"/>
      <c r="D206" s="552"/>
      <c r="E206" s="551"/>
      <c r="F206" s="98"/>
      <c r="G206" s="91" t="s">
        <v>888</v>
      </c>
      <c r="H206" s="109"/>
      <c r="I206" s="80">
        <v>0.58499999999999996</v>
      </c>
      <c r="J206" s="81">
        <v>690</v>
      </c>
      <c r="K206" s="81">
        <f t="shared" si="45"/>
        <v>403.65</v>
      </c>
      <c r="L206" s="102"/>
      <c r="M206" s="102"/>
    </row>
    <row r="207" spans="1:14" s="71" customFormat="1" ht="16.5" customHeight="1">
      <c r="A207" s="551"/>
      <c r="B207" s="551"/>
      <c r="C207" s="551"/>
      <c r="D207" s="551"/>
      <c r="E207" s="551"/>
      <c r="F207" s="98"/>
      <c r="G207" s="91" t="s">
        <v>209</v>
      </c>
      <c r="H207" s="79"/>
      <c r="I207" s="80">
        <v>5.6550000000000002</v>
      </c>
      <c r="J207" s="81">
        <v>350</v>
      </c>
      <c r="K207" s="81">
        <f t="shared" si="45"/>
        <v>1979.25</v>
      </c>
      <c r="L207" s="79"/>
      <c r="M207" s="102"/>
    </row>
    <row r="208" spans="1:14" s="71" customFormat="1" ht="16.5" customHeight="1">
      <c r="A208" s="551"/>
      <c r="B208" s="551"/>
      <c r="C208" s="551"/>
      <c r="D208" s="551"/>
      <c r="E208" s="551"/>
      <c r="F208" s="98"/>
      <c r="G208" s="91" t="s">
        <v>221</v>
      </c>
      <c r="H208" s="112"/>
      <c r="I208" s="113">
        <v>0.75</v>
      </c>
      <c r="J208" s="81">
        <v>980</v>
      </c>
      <c r="K208" s="81">
        <f t="shared" si="45"/>
        <v>735</v>
      </c>
      <c r="L208" s="102"/>
      <c r="M208" s="102"/>
    </row>
    <row r="209" spans="1:13" s="71" customFormat="1" ht="16.5" customHeight="1">
      <c r="A209" s="551"/>
      <c r="B209" s="551"/>
      <c r="C209" s="551"/>
      <c r="D209" s="551"/>
      <c r="E209" s="551"/>
      <c r="F209" s="98"/>
      <c r="G209" s="553" t="s">
        <v>211</v>
      </c>
      <c r="H209" s="79"/>
      <c r="I209" s="80">
        <v>52</v>
      </c>
      <c r="J209" s="81">
        <v>120</v>
      </c>
      <c r="K209" s="81">
        <f>I209*J209</f>
        <v>6240</v>
      </c>
      <c r="L209" s="102"/>
      <c r="M209" s="102"/>
    </row>
    <row r="210" spans="1:13" s="71" customFormat="1" ht="16.5" customHeight="1">
      <c r="A210" s="551"/>
      <c r="B210" s="551"/>
      <c r="C210" s="551"/>
      <c r="D210" s="551"/>
      <c r="E210" s="551"/>
      <c r="F210" s="98"/>
      <c r="G210" s="553" t="s">
        <v>1119</v>
      </c>
      <c r="H210" s="79"/>
      <c r="I210" s="80">
        <v>70</v>
      </c>
      <c r="J210" s="81">
        <v>110</v>
      </c>
      <c r="K210" s="81">
        <f>I210*J210</f>
        <v>7700</v>
      </c>
      <c r="L210" s="102"/>
      <c r="M210" s="102"/>
    </row>
    <row r="211" spans="1:13" s="71" customFormat="1" ht="16.5" customHeight="1">
      <c r="A211" s="551"/>
      <c r="B211" s="551"/>
      <c r="C211" s="551"/>
      <c r="D211" s="551"/>
      <c r="E211" s="551"/>
      <c r="F211" s="98"/>
      <c r="G211" s="553" t="s">
        <v>45</v>
      </c>
      <c r="H211" s="79"/>
      <c r="I211" s="80">
        <v>17.8</v>
      </c>
      <c r="J211" s="81">
        <v>45</v>
      </c>
      <c r="K211" s="81">
        <f t="shared" ref="K211:K213" si="46">I211*J211</f>
        <v>801</v>
      </c>
      <c r="L211" s="102"/>
      <c r="M211" s="102"/>
    </row>
    <row r="212" spans="1:13" s="71" customFormat="1" ht="16.5" customHeight="1">
      <c r="A212" s="551"/>
      <c r="B212" s="551"/>
      <c r="C212" s="551"/>
      <c r="D212" s="551"/>
      <c r="E212" s="551"/>
      <c r="F212" s="98"/>
      <c r="G212" s="553" t="s">
        <v>213</v>
      </c>
      <c r="H212" s="79"/>
      <c r="I212" s="80">
        <v>18</v>
      </c>
      <c r="J212" s="81">
        <v>348</v>
      </c>
      <c r="K212" s="81">
        <f t="shared" si="46"/>
        <v>6264</v>
      </c>
      <c r="L212" s="102"/>
      <c r="M212" s="102"/>
    </row>
    <row r="213" spans="1:13" s="71" customFormat="1" ht="16.5" customHeight="1">
      <c r="A213" s="551"/>
      <c r="B213" s="551"/>
      <c r="C213" s="551"/>
      <c r="D213" s="551"/>
      <c r="E213" s="551"/>
      <c r="F213" s="98"/>
      <c r="G213" s="552" t="s">
        <v>28</v>
      </c>
      <c r="H213" s="79"/>
      <c r="I213" s="80">
        <v>35.6</v>
      </c>
      <c r="J213" s="81">
        <v>17</v>
      </c>
      <c r="K213" s="81">
        <f t="shared" si="46"/>
        <v>605.20000000000005</v>
      </c>
      <c r="L213" s="102"/>
      <c r="M213" s="102"/>
    </row>
    <row r="214" spans="1:13" s="71" customFormat="1" ht="16.5" customHeight="1">
      <c r="A214" s="551"/>
      <c r="B214" s="551"/>
      <c r="C214" s="551"/>
      <c r="D214" s="551"/>
      <c r="E214" s="550" t="s">
        <v>9</v>
      </c>
      <c r="F214" s="110">
        <f>SUM(F205:F213)</f>
        <v>7523.9679999999989</v>
      </c>
      <c r="G214" s="550"/>
      <c r="H214" s="550"/>
      <c r="I214" s="97"/>
      <c r="J214" s="97"/>
      <c r="K214" s="111">
        <f>SUM(K205:K213)</f>
        <v>25403.100000000002</v>
      </c>
      <c r="L214" s="111">
        <f>K214/F214</f>
        <v>3.3762902766199971</v>
      </c>
      <c r="M214" s="102"/>
    </row>
    <row r="215" spans="1:13" s="71" customFormat="1" ht="16.5" customHeight="1">
      <c r="A215" s="551">
        <v>7774</v>
      </c>
      <c r="B215" s="552" t="s">
        <v>881</v>
      </c>
      <c r="C215" s="594" t="s">
        <v>882</v>
      </c>
      <c r="D215" s="552" t="s">
        <v>883</v>
      </c>
      <c r="E215" s="551" t="s">
        <v>93</v>
      </c>
      <c r="F215" s="98">
        <f>640*1.0936</f>
        <v>699.904</v>
      </c>
      <c r="G215" s="91" t="s">
        <v>888</v>
      </c>
      <c r="H215" s="109"/>
      <c r="I215" s="80">
        <v>5.0000000000000001E-3</v>
      </c>
      <c r="J215" s="81">
        <v>690</v>
      </c>
      <c r="K215" s="81">
        <f t="shared" ref="K215:K217" si="47">I215*J215</f>
        <v>3.45</v>
      </c>
      <c r="L215" s="102"/>
      <c r="M215" s="102"/>
    </row>
    <row r="216" spans="1:13" s="71" customFormat="1" ht="16.5" customHeight="1">
      <c r="A216" s="551"/>
      <c r="B216" s="551"/>
      <c r="C216" s="551"/>
      <c r="D216" s="551"/>
      <c r="E216" s="551"/>
      <c r="F216" s="98"/>
      <c r="G216" s="91" t="s">
        <v>209</v>
      </c>
      <c r="H216" s="79"/>
      <c r="I216" s="80">
        <v>0.02</v>
      </c>
      <c r="J216" s="81">
        <v>350</v>
      </c>
      <c r="K216" s="81">
        <f t="shared" si="47"/>
        <v>7</v>
      </c>
      <c r="L216" s="102"/>
      <c r="M216" s="102"/>
    </row>
    <row r="217" spans="1:13" s="71" customFormat="1" ht="16.5" customHeight="1">
      <c r="A217" s="551"/>
      <c r="B217" s="551"/>
      <c r="C217" s="551"/>
      <c r="D217" s="551"/>
      <c r="E217" s="551"/>
      <c r="F217" s="98"/>
      <c r="G217" s="91" t="s">
        <v>221</v>
      </c>
      <c r="H217" s="112"/>
      <c r="I217" s="113">
        <v>0.06</v>
      </c>
      <c r="J217" s="81">
        <v>980</v>
      </c>
      <c r="K217" s="81">
        <f t="shared" si="47"/>
        <v>58.8</v>
      </c>
      <c r="L217" s="102"/>
      <c r="M217" s="102"/>
    </row>
    <row r="218" spans="1:13" s="71" customFormat="1" ht="16.5" customHeight="1">
      <c r="A218" s="551"/>
      <c r="B218" s="551"/>
      <c r="C218" s="551"/>
      <c r="D218" s="551"/>
      <c r="E218" s="551"/>
      <c r="F218" s="98"/>
      <c r="G218" s="553" t="s">
        <v>211</v>
      </c>
      <c r="H218" s="79"/>
      <c r="I218" s="80">
        <v>3.6</v>
      </c>
      <c r="J218" s="81">
        <v>120</v>
      </c>
      <c r="K218" s="81">
        <f>I218*J218</f>
        <v>432</v>
      </c>
      <c r="L218" s="102"/>
      <c r="M218" s="102"/>
    </row>
    <row r="219" spans="1:13" s="71" customFormat="1" ht="16.5" customHeight="1">
      <c r="A219" s="551"/>
      <c r="B219" s="551"/>
      <c r="C219" s="551"/>
      <c r="D219" s="551"/>
      <c r="E219" s="551"/>
      <c r="F219" s="98"/>
      <c r="G219" s="553" t="s">
        <v>212</v>
      </c>
      <c r="H219" s="79"/>
      <c r="I219" s="80">
        <v>0.24</v>
      </c>
      <c r="J219" s="81">
        <v>527</v>
      </c>
      <c r="K219" s="81">
        <f t="shared" ref="K219:K223" si="48">I219*J219</f>
        <v>126.47999999999999</v>
      </c>
      <c r="L219" s="102"/>
      <c r="M219" s="102"/>
    </row>
    <row r="220" spans="1:13" s="71" customFormat="1" ht="16.5" customHeight="1">
      <c r="A220" s="551"/>
      <c r="B220" s="551"/>
      <c r="C220" s="551"/>
      <c r="D220" s="551"/>
      <c r="E220" s="551"/>
      <c r="F220" s="98"/>
      <c r="G220" s="553" t="s">
        <v>45</v>
      </c>
      <c r="H220" s="79"/>
      <c r="I220" s="80">
        <v>0.4</v>
      </c>
      <c r="J220" s="81">
        <v>45</v>
      </c>
      <c r="K220" s="81">
        <f t="shared" si="48"/>
        <v>18</v>
      </c>
      <c r="L220" s="102"/>
      <c r="M220" s="102"/>
    </row>
    <row r="221" spans="1:13" s="71" customFormat="1" ht="16.5" customHeight="1">
      <c r="A221" s="551"/>
      <c r="B221" s="551"/>
      <c r="C221" s="551"/>
      <c r="D221" s="551"/>
      <c r="E221" s="551"/>
      <c r="F221" s="98"/>
      <c r="G221" s="553" t="s">
        <v>213</v>
      </c>
      <c r="H221" s="79"/>
      <c r="I221" s="80">
        <v>0.4</v>
      </c>
      <c r="J221" s="81">
        <v>348</v>
      </c>
      <c r="K221" s="81">
        <f t="shared" si="48"/>
        <v>139.20000000000002</v>
      </c>
      <c r="L221" s="102"/>
      <c r="M221" s="102"/>
    </row>
    <row r="222" spans="1:13" s="71" customFormat="1" ht="16.5" customHeight="1">
      <c r="A222" s="551"/>
      <c r="B222" s="551"/>
      <c r="C222" s="551"/>
      <c r="D222" s="551"/>
      <c r="E222" s="550"/>
      <c r="F222" s="110"/>
      <c r="G222" s="553" t="s">
        <v>214</v>
      </c>
      <c r="H222" s="79"/>
      <c r="I222" s="80">
        <v>3.4</v>
      </c>
      <c r="J222" s="81">
        <v>360</v>
      </c>
      <c r="K222" s="81">
        <f t="shared" si="48"/>
        <v>1224</v>
      </c>
      <c r="L222" s="111"/>
      <c r="M222" s="102"/>
    </row>
    <row r="223" spans="1:13" s="71" customFormat="1" ht="16.5" customHeight="1">
      <c r="A223" s="551"/>
      <c r="B223" s="551"/>
      <c r="C223" s="551"/>
      <c r="D223" s="551"/>
      <c r="E223" s="550"/>
      <c r="F223" s="110"/>
      <c r="G223" s="552" t="s">
        <v>28</v>
      </c>
      <c r="H223" s="79"/>
      <c r="I223" s="80">
        <v>0.4</v>
      </c>
      <c r="J223" s="81">
        <v>17</v>
      </c>
      <c r="K223" s="81">
        <f t="shared" si="48"/>
        <v>6.8000000000000007</v>
      </c>
      <c r="L223" s="111"/>
      <c r="M223" s="102"/>
    </row>
    <row r="224" spans="1:13" s="71" customFormat="1" ht="16.5" customHeight="1">
      <c r="A224" s="551"/>
      <c r="B224" s="551"/>
      <c r="C224" s="551"/>
      <c r="D224" s="551"/>
      <c r="E224" s="550" t="s">
        <v>9</v>
      </c>
      <c r="F224" s="110">
        <f>SUM(F215:F223)</f>
        <v>699.904</v>
      </c>
      <c r="G224" s="550"/>
      <c r="H224" s="550"/>
      <c r="I224" s="97"/>
      <c r="J224" s="97"/>
      <c r="K224" s="111">
        <f>SUM(K215:K223)</f>
        <v>2015.73</v>
      </c>
      <c r="L224" s="111">
        <f>K224/F224</f>
        <v>2.8800092584125823</v>
      </c>
      <c r="M224" s="102"/>
    </row>
    <row r="225" spans="2:13" s="71" customFormat="1" ht="16.5" customHeight="1">
      <c r="D225" s="126" t="s">
        <v>30</v>
      </c>
      <c r="E225" s="126"/>
      <c r="F225" s="127">
        <f>F204+F214+F224</f>
        <v>12434.231999999998</v>
      </c>
      <c r="G225" s="128"/>
      <c r="H225" s="128"/>
      <c r="I225" s="128"/>
      <c r="J225" s="128"/>
      <c r="K225" s="127">
        <f>K204+K214+K224</f>
        <v>44464.580000000009</v>
      </c>
      <c r="L225" s="129">
        <f>K225/F225</f>
        <v>3.5759812105805984</v>
      </c>
    </row>
    <row r="226" spans="2:13" s="71" customFormat="1" ht="16.5" customHeight="1"/>
    <row r="227" spans="2:13" s="71" customFormat="1" ht="16.5" customHeight="1"/>
    <row r="228" spans="2:13" s="71" customFormat="1" ht="16.5" customHeight="1"/>
    <row r="229" spans="2:13" s="71" customFormat="1" ht="16.5" customHeight="1">
      <c r="B229" s="107"/>
      <c r="C229" s="107"/>
      <c r="D229" s="133" t="s">
        <v>1009</v>
      </c>
      <c r="E229" s="405">
        <f>F122+F225</f>
        <v>37658.115999999995</v>
      </c>
      <c r="F229" s="133"/>
      <c r="G229" s="134">
        <f>K18+K39+K45+K51+K122+K161+K193+K225</f>
        <v>287622.24200000003</v>
      </c>
      <c r="H229" s="135"/>
      <c r="I229" s="135"/>
      <c r="J229" s="135"/>
      <c r="K229" s="135"/>
      <c r="L229" s="134">
        <f>G229/E229</f>
        <v>7.6377225562744577</v>
      </c>
    </row>
    <row r="230" spans="2:13" s="71" customFormat="1" ht="16.5" customHeight="1">
      <c r="B230" s="107"/>
      <c r="C230" s="107"/>
      <c r="D230" s="109" t="s">
        <v>855</v>
      </c>
      <c r="E230" s="406"/>
      <c r="F230" s="109"/>
      <c r="G230" s="359">
        <f>K54+K55+K56+K60+K61+K62+K66+K67+K68+K72+K73+K74+K78+K79+K80+K84+K85+K86+K90+K91+K92+K96+K97+K98+K102+K103+K104+K105+K106+K110+K111+K112+K116+K117+K118+K196+K197+K198+K205+K206+K207+K208+K215+K216+K217</f>
        <v>82820.182000000001</v>
      </c>
      <c r="H230" s="370"/>
      <c r="I230" s="359">
        <f>'14'!I150+'15'!G230</f>
        <v>1083873.5470000003</v>
      </c>
      <c r="J230" s="438">
        <f>G230+M243</f>
        <v>84172.732000000004</v>
      </c>
      <c r="K230" s="360"/>
      <c r="L230" s="396"/>
    </row>
    <row r="231" spans="2:13" s="71" customFormat="1" ht="16.5" customHeight="1">
      <c r="B231" s="107"/>
      <c r="C231" s="107"/>
      <c r="D231" s="323" t="s">
        <v>854</v>
      </c>
      <c r="E231" s="361"/>
      <c r="F231" s="323"/>
      <c r="G231" s="397">
        <f>G229-G230</f>
        <v>204802.06000000003</v>
      </c>
      <c r="H231" s="398"/>
      <c r="I231" s="359">
        <f>'14'!I151+'15'!G231</f>
        <v>2542457.1209999998</v>
      </c>
      <c r="J231" s="400"/>
      <c r="K231" s="400"/>
      <c r="L231" s="401"/>
    </row>
    <row r="232" spans="2:13" s="71" customFormat="1" ht="16.5" customHeight="1">
      <c r="B232" s="107"/>
      <c r="C232" s="107"/>
      <c r="D232" s="109" t="s">
        <v>853</v>
      </c>
      <c r="E232" s="407"/>
      <c r="F232" s="109"/>
      <c r="G232" s="410">
        <f>SUM(G230:G231)</f>
        <v>287622.24200000003</v>
      </c>
      <c r="H232" s="402"/>
      <c r="I232" s="403">
        <f>'01'!G214+'02'!G261+'03'!G354+'04'!G264</f>
        <v>0</v>
      </c>
      <c r="J232" s="402"/>
      <c r="K232" s="402"/>
      <c r="L232" s="404">
        <f>G232/E229</f>
        <v>7.6377225562744577</v>
      </c>
    </row>
    <row r="233" spans="2:13" s="71" customFormat="1" ht="16.5" customHeight="1">
      <c r="B233" s="107"/>
      <c r="C233" s="107"/>
      <c r="D233" s="395" t="s">
        <v>906</v>
      </c>
      <c r="E233" s="408"/>
      <c r="F233" s="109"/>
      <c r="G233" s="409">
        <f>M243</f>
        <v>1352.5500000000002</v>
      </c>
      <c r="H233" s="392"/>
      <c r="I233" s="391"/>
      <c r="J233" s="391"/>
      <c r="K233" s="393"/>
    </row>
    <row r="234" spans="2:13" s="71" customFormat="1" ht="16.5" customHeight="1">
      <c r="B234" s="107"/>
      <c r="C234" s="107"/>
      <c r="D234" s="106"/>
      <c r="E234" s="106"/>
      <c r="F234" s="106"/>
      <c r="G234" s="106"/>
      <c r="H234" s="246"/>
      <c r="I234" s="106"/>
      <c r="J234" s="106"/>
      <c r="K234" s="106"/>
      <c r="L234" s="106"/>
    </row>
    <row r="235" spans="2:13" s="71" customFormat="1" ht="16.5" customHeight="1">
      <c r="B235" s="107"/>
      <c r="C235" s="107"/>
      <c r="D235" s="829" t="s">
        <v>852</v>
      </c>
      <c r="E235" s="829"/>
      <c r="F235" s="357">
        <f>G251</f>
        <v>35400</v>
      </c>
      <c r="G235" s="106"/>
      <c r="H235" s="500" t="s">
        <v>908</v>
      </c>
      <c r="I235" s="832" t="s">
        <v>405</v>
      </c>
      <c r="J235" s="833"/>
      <c r="K235" s="80">
        <f>0.03</f>
        <v>0.03</v>
      </c>
      <c r="L235" s="81">
        <v>1708</v>
      </c>
      <c r="M235" s="81">
        <f t="shared" ref="M235:M240" si="49">K235*L235</f>
        <v>51.239999999999995</v>
      </c>
    </row>
    <row r="236" spans="2:13" s="71" customFormat="1" ht="16.5" customHeight="1">
      <c r="B236" s="107"/>
      <c r="C236" s="107"/>
      <c r="D236" s="829" t="s">
        <v>835</v>
      </c>
      <c r="E236" s="829"/>
      <c r="F236" s="357">
        <f>G241+G242</f>
        <v>32116</v>
      </c>
      <c r="G236" s="106"/>
      <c r="H236" s="500" t="s">
        <v>909</v>
      </c>
      <c r="I236" s="830" t="s">
        <v>192</v>
      </c>
      <c r="J236" s="831"/>
      <c r="K236" s="80">
        <f>0.034+0.016+0.015</f>
        <v>6.5000000000000002E-2</v>
      </c>
      <c r="L236" s="81">
        <v>1126</v>
      </c>
      <c r="M236" s="81">
        <f t="shared" si="49"/>
        <v>73.19</v>
      </c>
    </row>
    <row r="237" spans="2:13" s="71" customFormat="1" ht="16.5" customHeight="1">
      <c r="B237" s="107"/>
      <c r="C237" s="107"/>
      <c r="D237" s="829" t="s">
        <v>836</v>
      </c>
      <c r="E237" s="829"/>
      <c r="F237" s="357">
        <f>SUM(F235:F236)</f>
        <v>67516</v>
      </c>
      <c r="G237" s="106"/>
      <c r="H237" s="500" t="s">
        <v>910</v>
      </c>
      <c r="I237" s="830" t="s">
        <v>193</v>
      </c>
      <c r="J237" s="831"/>
      <c r="K237" s="80">
        <f>0.18+0.06</f>
        <v>0.24</v>
      </c>
      <c r="L237" s="81">
        <v>1150</v>
      </c>
      <c r="M237" s="81">
        <f t="shared" si="49"/>
        <v>276</v>
      </c>
    </row>
    <row r="238" spans="2:13" s="71" customFormat="1" ht="16.5" customHeight="1">
      <c r="B238" s="107"/>
      <c r="C238" s="107"/>
      <c r="D238" s="547" t="s">
        <v>847</v>
      </c>
      <c r="E238" s="547"/>
      <c r="F238" s="357">
        <f>F235-G231</f>
        <v>-169402.06000000003</v>
      </c>
      <c r="G238" s="106"/>
      <c r="H238" s="500" t="s">
        <v>908</v>
      </c>
      <c r="I238" s="832" t="s">
        <v>314</v>
      </c>
      <c r="J238" s="833"/>
      <c r="K238" s="80">
        <v>2.4E-2</v>
      </c>
      <c r="L238" s="81">
        <v>1695</v>
      </c>
      <c r="M238" s="81">
        <f t="shared" si="49"/>
        <v>40.68</v>
      </c>
    </row>
    <row r="239" spans="2:13" s="71" customFormat="1" ht="16.5" customHeight="1">
      <c r="B239" s="107"/>
      <c r="C239" s="107"/>
      <c r="D239" s="106"/>
      <c r="E239" s="106"/>
      <c r="F239" s="106"/>
      <c r="G239" s="106"/>
      <c r="H239" s="500" t="s">
        <v>912</v>
      </c>
      <c r="I239" s="832" t="s">
        <v>183</v>
      </c>
      <c r="J239" s="833"/>
      <c r="K239" s="80">
        <f>0.01</f>
        <v>0.01</v>
      </c>
      <c r="L239" s="81">
        <v>1600</v>
      </c>
      <c r="M239" s="81">
        <f t="shared" si="49"/>
        <v>16</v>
      </c>
    </row>
    <row r="240" spans="2:13" s="71" customFormat="1" ht="16.5" customHeight="1">
      <c r="B240" s="836" t="s">
        <v>833</v>
      </c>
      <c r="C240" s="837"/>
      <c r="D240" s="273" t="s">
        <v>844</v>
      </c>
      <c r="E240" s="273" t="s">
        <v>845</v>
      </c>
      <c r="F240" s="273" t="s">
        <v>846</v>
      </c>
      <c r="G240" s="273" t="s">
        <v>5</v>
      </c>
      <c r="H240" s="500" t="s">
        <v>911</v>
      </c>
      <c r="I240" s="834" t="s">
        <v>315</v>
      </c>
      <c r="J240" s="835"/>
      <c r="K240" s="80">
        <f>0.25+0.16</f>
        <v>0.41000000000000003</v>
      </c>
      <c r="L240" s="81">
        <v>2184</v>
      </c>
      <c r="M240" s="81">
        <f t="shared" si="49"/>
        <v>895.44</v>
      </c>
    </row>
    <row r="241" spans="1:13" s="71" customFormat="1" ht="16.5" customHeight="1">
      <c r="B241" s="107"/>
      <c r="C241" s="107"/>
      <c r="D241" s="273" t="s">
        <v>837</v>
      </c>
      <c r="E241" s="109">
        <v>15.5</v>
      </c>
      <c r="F241" s="332">
        <v>2072</v>
      </c>
      <c r="G241" s="329">
        <f>F241*E241</f>
        <v>32116</v>
      </c>
      <c r="H241" s="500" t="s">
        <v>909</v>
      </c>
      <c r="I241" s="838"/>
      <c r="J241" s="839"/>
      <c r="K241" s="102"/>
      <c r="L241" s="102"/>
      <c r="M241" s="388"/>
    </row>
    <row r="242" spans="1:13" s="71" customFormat="1" ht="16.5" customHeight="1">
      <c r="B242" s="107"/>
      <c r="C242" s="107"/>
      <c r="D242" s="273" t="s">
        <v>849</v>
      </c>
      <c r="E242" s="109">
        <v>34</v>
      </c>
      <c r="F242" s="332"/>
      <c r="G242" s="329">
        <f t="shared" ref="G242:G250" si="50">F242*E242</f>
        <v>0</v>
      </c>
      <c r="H242" s="500" t="s">
        <v>911</v>
      </c>
      <c r="I242" s="847"/>
      <c r="J242" s="848"/>
      <c r="K242" s="109"/>
      <c r="L242" s="109"/>
      <c r="M242" s="102"/>
    </row>
    <row r="243" spans="1:13" s="71" customFormat="1" ht="16.5" customHeight="1">
      <c r="A243" s="546"/>
      <c r="B243" s="106"/>
      <c r="C243" s="106"/>
      <c r="D243" s="322" t="s">
        <v>843</v>
      </c>
      <c r="E243" s="317"/>
      <c r="F243" s="321">
        <f>SUM(F241:F242)</f>
        <v>2072</v>
      </c>
      <c r="G243" s="320">
        <f>SUM(G241:G242)</f>
        <v>32116</v>
      </c>
      <c r="H243" s="106"/>
      <c r="I243" s="844" t="s">
        <v>906</v>
      </c>
      <c r="J243" s="845"/>
      <c r="K243" s="490">
        <f>SUM(K235:K242)</f>
        <v>0.77900000000000003</v>
      </c>
      <c r="L243" s="104"/>
      <c r="M243" s="489">
        <f>SUM(M235:M242)</f>
        <v>1352.5500000000002</v>
      </c>
    </row>
    <row r="244" spans="1:13" s="71" customFormat="1" ht="16.5" customHeight="1">
      <c r="B244" s="107"/>
      <c r="C244" s="107"/>
      <c r="D244" s="390" t="s">
        <v>968</v>
      </c>
      <c r="E244" s="109">
        <v>360</v>
      </c>
      <c r="F244" s="332"/>
      <c r="G244" s="329">
        <f t="shared" si="50"/>
        <v>0</v>
      </c>
      <c r="H244" s="106"/>
      <c r="I244" s="106"/>
      <c r="J244" s="106"/>
      <c r="K244" s="106"/>
      <c r="L244" s="106"/>
      <c r="M244" s="263">
        <f>G230+M243</f>
        <v>84172.732000000004</v>
      </c>
    </row>
    <row r="245" spans="1:13" s="71" customFormat="1" ht="16.5" customHeight="1">
      <c r="B245" s="107"/>
      <c r="C245" s="107"/>
      <c r="D245" s="273" t="s">
        <v>1065</v>
      </c>
      <c r="E245" s="109">
        <v>165</v>
      </c>
      <c r="F245" s="332">
        <v>120</v>
      </c>
      <c r="G245" s="329">
        <f t="shared" si="50"/>
        <v>19800</v>
      </c>
      <c r="H245" s="106"/>
      <c r="I245" s="106"/>
      <c r="J245" s="106"/>
      <c r="K245" s="106"/>
      <c r="L245" s="106"/>
    </row>
    <row r="246" spans="1:13" s="71" customFormat="1" ht="16.5" customHeight="1">
      <c r="B246" s="107"/>
      <c r="C246" s="107"/>
      <c r="D246" s="273" t="s">
        <v>907</v>
      </c>
      <c r="E246" s="389">
        <v>46</v>
      </c>
      <c r="F246" s="332"/>
      <c r="G246" s="329">
        <f t="shared" si="50"/>
        <v>0</v>
      </c>
      <c r="H246" s="106"/>
      <c r="I246" s="106"/>
      <c r="J246" s="106"/>
      <c r="K246" s="106"/>
      <c r="L246" s="106"/>
    </row>
    <row r="247" spans="1:13" s="71" customFormat="1" ht="16.5" customHeight="1">
      <c r="B247" s="107"/>
      <c r="C247" s="107"/>
      <c r="D247" s="273" t="s">
        <v>27</v>
      </c>
      <c r="E247" s="109">
        <v>22</v>
      </c>
      <c r="F247" s="332"/>
      <c r="G247" s="329">
        <f t="shared" si="50"/>
        <v>0</v>
      </c>
      <c r="H247" s="106"/>
      <c r="I247" s="106"/>
      <c r="J247" s="106"/>
      <c r="K247" s="106"/>
      <c r="L247" s="106"/>
    </row>
    <row r="248" spans="1:13" s="71" customFormat="1" ht="16.5" customHeight="1">
      <c r="B248" s="107"/>
      <c r="C248" s="107"/>
      <c r="D248" s="273" t="s">
        <v>997</v>
      </c>
      <c r="E248" s="317">
        <v>120</v>
      </c>
      <c r="F248" s="492">
        <v>30</v>
      </c>
      <c r="G248" s="329">
        <f t="shared" si="50"/>
        <v>3600</v>
      </c>
      <c r="H248" s="106"/>
      <c r="I248" s="106"/>
      <c r="J248" s="106"/>
      <c r="K248" s="106"/>
      <c r="L248" s="106"/>
    </row>
    <row r="249" spans="1:13" s="71" customFormat="1" ht="16.5" customHeight="1">
      <c r="B249" s="107"/>
      <c r="C249" s="107"/>
      <c r="D249" s="273" t="s">
        <v>1062</v>
      </c>
      <c r="E249" s="109">
        <v>34</v>
      </c>
      <c r="F249" s="332"/>
      <c r="G249" s="329">
        <f t="shared" si="50"/>
        <v>0</v>
      </c>
      <c r="H249" s="107"/>
      <c r="I249" s="107"/>
      <c r="J249" s="107"/>
      <c r="K249" s="107"/>
      <c r="L249" s="107"/>
    </row>
    <row r="250" spans="1:13" s="71" customFormat="1" ht="16.5" customHeight="1">
      <c r="B250" s="107"/>
      <c r="C250" s="107"/>
      <c r="D250" s="273" t="s">
        <v>1127</v>
      </c>
      <c r="E250" s="109">
        <v>120</v>
      </c>
      <c r="F250" s="332">
        <v>100</v>
      </c>
      <c r="G250" s="329">
        <f t="shared" si="50"/>
        <v>12000</v>
      </c>
      <c r="H250" s="107"/>
      <c r="I250" s="107"/>
      <c r="J250" s="107"/>
      <c r="K250" s="107"/>
      <c r="L250" s="107"/>
    </row>
    <row r="251" spans="1:13" s="71" customFormat="1" ht="16.5" customHeight="1">
      <c r="B251" s="107"/>
      <c r="C251" s="107"/>
      <c r="D251" s="331" t="s">
        <v>843</v>
      </c>
      <c r="E251" s="109"/>
      <c r="F251" s="332">
        <f>SUM(F244:F250)</f>
        <v>250</v>
      </c>
      <c r="G251" s="329">
        <f>SUM(G245:G250)</f>
        <v>35400</v>
      </c>
    </row>
    <row r="252" spans="1:13" s="71" customFormat="1" ht="16.5" customHeight="1">
      <c r="B252" s="107"/>
      <c r="C252" s="107"/>
      <c r="D252" s="322" t="s">
        <v>969</v>
      </c>
      <c r="E252" s="317"/>
      <c r="F252" s="321">
        <f>F243+F251</f>
        <v>2322</v>
      </c>
      <c r="G252" s="320">
        <f>G243+G251</f>
        <v>67516</v>
      </c>
    </row>
    <row r="253" spans="1:13" s="71" customFormat="1" ht="16.5" customHeight="1"/>
    <row r="254" spans="1:13" s="71" customFormat="1" ht="16.5" customHeight="1"/>
    <row r="255" spans="1:13" s="71" customFormat="1" ht="16.5" customHeight="1"/>
    <row r="256" spans="1:13" s="71" customFormat="1" ht="16.5" customHeight="1"/>
    <row r="257" s="71" customFormat="1" ht="16.5" customHeight="1"/>
    <row r="258" s="71" customFormat="1" ht="16.5" customHeight="1"/>
    <row r="259" s="71" customFormat="1" ht="16.5" customHeight="1"/>
    <row r="260" s="71" customFormat="1" ht="16.5" customHeight="1"/>
    <row r="261" s="71" customFormat="1" ht="16.5" customHeight="1"/>
    <row r="262" s="71" customFormat="1" ht="16.5" customHeight="1"/>
    <row r="263" s="71" customFormat="1" ht="16.5" customHeight="1"/>
    <row r="264" s="71" customFormat="1" ht="16.5" customHeight="1"/>
    <row r="265" s="71" customFormat="1" ht="16.5" customHeight="1"/>
    <row r="266" s="71" customFormat="1" ht="16.5" customHeight="1"/>
    <row r="267" s="71" customFormat="1" ht="16.5" customHeight="1"/>
    <row r="268" s="71" customFormat="1" ht="16.5" customHeight="1"/>
    <row r="269" s="71" customFormat="1" ht="16.5" customHeight="1"/>
    <row r="270" s="71" customFormat="1" ht="16.5" customHeight="1"/>
    <row r="271" s="71" customFormat="1" ht="16.5" customHeight="1"/>
    <row r="272" s="71" customFormat="1" ht="16.5" customHeight="1"/>
    <row r="273" spans="1:13" s="71" customFormat="1" ht="16.5" customHeight="1">
      <c r="A273" s="840" t="s">
        <v>240</v>
      </c>
      <c r="B273" s="840"/>
      <c r="C273" s="840" t="s">
        <v>765</v>
      </c>
      <c r="D273" s="840"/>
      <c r="E273" s="840" t="s">
        <v>764</v>
      </c>
      <c r="F273" s="840"/>
      <c r="G273" s="380" t="s">
        <v>66</v>
      </c>
      <c r="H273" s="840" t="s">
        <v>411</v>
      </c>
      <c r="I273" s="840"/>
      <c r="J273" s="840"/>
      <c r="K273" s="840" t="s">
        <v>68</v>
      </c>
      <c r="L273" s="840"/>
      <c r="M273" s="840"/>
    </row>
    <row r="274" spans="1:13" s="71" customFormat="1" ht="16.5" customHeight="1"/>
    <row r="275" spans="1:13" s="71" customFormat="1" ht="16.5" customHeight="1"/>
    <row r="276" spans="1:13" s="71" customFormat="1" ht="16.5" customHeight="1"/>
    <row r="277" spans="1:13" s="71" customFormat="1" ht="16.5" customHeight="1"/>
    <row r="278" spans="1:13" s="71" customFormat="1" ht="16.5" customHeight="1"/>
    <row r="279" spans="1:13" s="71" customFormat="1" ht="16.5" customHeight="1"/>
    <row r="280" spans="1:13" ht="16.5" customHeight="1"/>
    <row r="281" spans="1:13" ht="16.5" customHeight="1"/>
    <row r="282" spans="1:13" ht="16.5" customHeight="1"/>
    <row r="283" spans="1:13" ht="15.95" customHeight="1"/>
    <row r="284" spans="1:13" ht="15.95" customHeight="1"/>
    <row r="285" spans="1:13" ht="15.95" customHeight="1"/>
    <row r="286" spans="1:13" ht="15.95" customHeight="1"/>
    <row r="287" spans="1:13" ht="15.95" customHeight="1"/>
  </sheetData>
  <mergeCells count="29">
    <mergeCell ref="K273:M273"/>
    <mergeCell ref="B240:C240"/>
    <mergeCell ref="I240:J240"/>
    <mergeCell ref="A273:B273"/>
    <mergeCell ref="C273:D273"/>
    <mergeCell ref="E273:F273"/>
    <mergeCell ref="H273:J273"/>
    <mergeCell ref="I241:J241"/>
    <mergeCell ref="I242:J242"/>
    <mergeCell ref="I243:J243"/>
    <mergeCell ref="D235:E235"/>
    <mergeCell ref="D236:E236"/>
    <mergeCell ref="I235:J235"/>
    <mergeCell ref="I236:J236"/>
    <mergeCell ref="D237:E237"/>
    <mergeCell ref="I237:J237"/>
    <mergeCell ref="K4:M4"/>
    <mergeCell ref="K19:M19"/>
    <mergeCell ref="A1:M1"/>
    <mergeCell ref="A2:M2"/>
    <mergeCell ref="A3:M3"/>
    <mergeCell ref="I238:J238"/>
    <mergeCell ref="I239:J239"/>
    <mergeCell ref="K194:M194"/>
    <mergeCell ref="K40:M40"/>
    <mergeCell ref="K46:M46"/>
    <mergeCell ref="K52:M52"/>
    <mergeCell ref="K123:M123"/>
    <mergeCell ref="K162:M162"/>
  </mergeCells>
  <pageMargins left="0.45" right="0.45" top="0.25" bottom="0.25" header="0.3" footer="0.3"/>
  <pageSetup scale="8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52F6"/>
  </sheetPr>
  <dimension ref="A1:AU93"/>
  <sheetViews>
    <sheetView workbookViewId="0">
      <pane xSplit="1" ySplit="6" topLeftCell="B7" activePane="bottomRight" state="frozen"/>
      <selection pane="topRight" activeCell="B1" sqref="B1"/>
      <selection pane="bottomLeft" activeCell="A8" sqref="A8"/>
      <selection pane="bottomRight" activeCell="C14" sqref="C14"/>
    </sheetView>
  </sheetViews>
  <sheetFormatPr defaultRowHeight="15"/>
  <cols>
    <col min="1" max="1" width="8.5703125" customWidth="1"/>
    <col min="2" max="2" width="10.42578125" customWidth="1"/>
    <col min="3" max="3" width="10.7109375" customWidth="1"/>
    <col min="4" max="4" width="7" customWidth="1"/>
    <col min="5" max="5" width="9.140625" customWidth="1"/>
    <col min="6" max="6" width="11.7109375" customWidth="1"/>
    <col min="7" max="7" width="7.140625" customWidth="1"/>
    <col min="8" max="8" width="9.140625" customWidth="1"/>
    <col min="9" max="9" width="10.140625" customWidth="1"/>
    <col min="10" max="10" width="7.7109375" customWidth="1"/>
    <col min="11" max="11" width="8.140625" customWidth="1"/>
    <col min="12" max="12" width="10.5703125" customWidth="1"/>
    <col min="13" max="13" width="7.140625" customWidth="1"/>
    <col min="14" max="14" width="9.5703125" customWidth="1"/>
    <col min="15" max="15" width="11.28515625" customWidth="1"/>
    <col min="16" max="16" width="7.140625" customWidth="1"/>
    <col min="17" max="17" width="9.140625" customWidth="1"/>
    <col min="18" max="18" width="10" customWidth="1"/>
    <col min="19" max="19" width="10.85546875" customWidth="1"/>
    <col min="20" max="20" width="10.5703125" customWidth="1"/>
    <col min="21" max="21" width="9.42578125" customWidth="1"/>
    <col min="22" max="22" width="7.42578125" customWidth="1"/>
    <col min="23" max="23" width="8" customWidth="1"/>
    <col min="24" max="24" width="9.5703125" customWidth="1"/>
    <col min="25" max="25" width="7.5703125" customWidth="1"/>
    <col min="26" max="26" width="12.5703125" customWidth="1"/>
    <col min="27" max="27" width="7.5703125" customWidth="1"/>
    <col min="34" max="34" width="11.5703125" customWidth="1"/>
    <col min="36" max="36" width="11.28515625" customWidth="1"/>
    <col min="37" max="37" width="11.7109375" customWidth="1"/>
    <col min="38" max="38" width="9.85546875" customWidth="1"/>
    <col min="40" max="40" width="10.5703125" customWidth="1"/>
  </cols>
  <sheetData>
    <row r="1" spans="1:47" ht="23.25">
      <c r="A1" s="881" t="s">
        <v>146</v>
      </c>
      <c r="B1" s="881"/>
      <c r="C1" s="881"/>
      <c r="D1" s="881"/>
      <c r="E1" s="881"/>
      <c r="F1" s="881"/>
      <c r="G1" s="881"/>
      <c r="H1" s="881"/>
      <c r="I1" s="881"/>
      <c r="J1" s="881"/>
      <c r="K1" s="881"/>
      <c r="L1" s="881"/>
      <c r="M1" s="881"/>
      <c r="N1" s="881"/>
      <c r="O1" s="881"/>
      <c r="P1" s="881"/>
      <c r="Q1" s="881"/>
      <c r="R1" s="881"/>
      <c r="S1" s="881"/>
      <c r="T1" s="881"/>
      <c r="U1" s="881"/>
      <c r="V1" s="881"/>
      <c r="W1" s="881"/>
      <c r="X1" s="881"/>
      <c r="Y1" s="881"/>
      <c r="Z1" s="881"/>
      <c r="AA1" s="600"/>
      <c r="AB1" s="906" t="s">
        <v>146</v>
      </c>
      <c r="AC1" s="906"/>
      <c r="AD1" s="906"/>
      <c r="AE1" s="906"/>
      <c r="AF1" s="906"/>
      <c r="AG1" s="906"/>
      <c r="AH1" s="906"/>
      <c r="AI1" s="906"/>
      <c r="AJ1" s="906"/>
      <c r="AK1" s="906"/>
      <c r="AL1" s="72"/>
      <c r="AM1" s="72"/>
      <c r="AN1" s="72"/>
      <c r="AO1" s="72"/>
      <c r="AP1" s="72"/>
      <c r="AQ1" s="72"/>
      <c r="AR1" s="72"/>
      <c r="AS1" s="72"/>
      <c r="AT1" s="72"/>
    </row>
    <row r="2" spans="1:47" s="28" customFormat="1" ht="15.95" customHeight="1">
      <c r="A2" s="882" t="s">
        <v>147</v>
      </c>
      <c r="B2" s="882"/>
      <c r="C2" s="882"/>
      <c r="D2" s="882"/>
      <c r="E2" s="882"/>
      <c r="F2" s="882"/>
      <c r="G2" s="882"/>
      <c r="H2" s="882"/>
      <c r="I2" s="882"/>
      <c r="J2" s="882"/>
      <c r="K2" s="882"/>
      <c r="L2" s="882"/>
      <c r="M2" s="882"/>
      <c r="N2" s="882"/>
      <c r="O2" s="882"/>
      <c r="P2" s="882"/>
      <c r="Q2" s="882"/>
      <c r="R2" s="882"/>
      <c r="S2" s="882"/>
      <c r="T2" s="882"/>
      <c r="U2" s="882"/>
      <c r="V2" s="882"/>
      <c r="W2" s="882"/>
      <c r="X2" s="882"/>
      <c r="Y2" s="882"/>
      <c r="Z2" s="882"/>
      <c r="AA2" s="596"/>
      <c r="AB2" s="882" t="s">
        <v>147</v>
      </c>
      <c r="AC2" s="882"/>
      <c r="AD2" s="882"/>
      <c r="AE2" s="882"/>
      <c r="AF2" s="882"/>
      <c r="AG2" s="882"/>
      <c r="AH2" s="882"/>
      <c r="AI2" s="882"/>
      <c r="AJ2" s="882"/>
      <c r="AK2" s="882"/>
      <c r="AL2" s="73"/>
      <c r="AM2" s="73"/>
      <c r="AN2" s="73"/>
      <c r="AO2" s="73"/>
      <c r="AP2" s="73"/>
      <c r="AQ2" s="73"/>
      <c r="AR2" s="73"/>
      <c r="AS2" s="73"/>
      <c r="AT2" s="73"/>
    </row>
    <row r="3" spans="1:47" s="28" customFormat="1" ht="15.95" customHeight="1">
      <c r="A3" s="883" t="s">
        <v>148</v>
      </c>
      <c r="B3" s="883"/>
      <c r="C3" s="883"/>
      <c r="D3" s="883"/>
      <c r="E3" s="883"/>
      <c r="F3" s="883"/>
      <c r="G3" s="883"/>
      <c r="H3" s="883"/>
      <c r="I3" s="883"/>
      <c r="J3" s="883"/>
      <c r="K3" s="883"/>
      <c r="L3" s="883"/>
      <c r="M3" s="883"/>
      <c r="N3" s="883"/>
      <c r="O3" s="883"/>
      <c r="P3" s="883"/>
      <c r="Q3" s="883"/>
      <c r="R3" s="883"/>
      <c r="S3" s="883"/>
      <c r="T3" s="883"/>
      <c r="U3" s="883"/>
      <c r="V3" s="883"/>
      <c r="W3" s="883"/>
      <c r="X3" s="883"/>
      <c r="Y3" s="883"/>
      <c r="Z3" s="883"/>
      <c r="AA3" s="597"/>
      <c r="AB3" s="883" t="s">
        <v>148</v>
      </c>
      <c r="AC3" s="883"/>
      <c r="AD3" s="883"/>
      <c r="AE3" s="883"/>
      <c r="AF3" s="883"/>
      <c r="AG3" s="883"/>
      <c r="AH3" s="883"/>
      <c r="AI3" s="883"/>
      <c r="AJ3" s="883"/>
      <c r="AK3" s="883"/>
      <c r="AL3" s="74"/>
      <c r="AM3" s="74"/>
      <c r="AN3" s="74"/>
      <c r="AO3" s="74"/>
      <c r="AP3" s="74"/>
      <c r="AQ3" s="74"/>
      <c r="AR3" s="74"/>
      <c r="AS3" s="74"/>
      <c r="AT3" s="74"/>
    </row>
    <row r="4" spans="1:47" s="28" customFormat="1" ht="15.95" customHeight="1">
      <c r="A4" s="166" t="s">
        <v>731</v>
      </c>
      <c r="B4" s="166"/>
      <c r="C4" s="166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06"/>
      <c r="Y4" s="106"/>
      <c r="Z4" s="106"/>
      <c r="AA4" s="106"/>
      <c r="AB4" s="907" t="s">
        <v>156</v>
      </c>
      <c r="AC4" s="907"/>
      <c r="AD4" s="907"/>
      <c r="AE4" s="907"/>
      <c r="AF4" s="907"/>
      <c r="AG4" s="907"/>
      <c r="AH4" s="907"/>
      <c r="AI4" s="907"/>
      <c r="AJ4" s="907"/>
      <c r="AK4" s="907"/>
      <c r="AL4" s="29"/>
      <c r="AM4" s="29"/>
      <c r="AN4" s="29"/>
      <c r="AO4" s="29"/>
      <c r="AP4" s="29"/>
      <c r="AQ4" s="29"/>
      <c r="AR4" s="29"/>
      <c r="AS4" s="29"/>
      <c r="AT4" s="29"/>
    </row>
    <row r="5" spans="1:47" s="28" customFormat="1" ht="15.95" customHeight="1">
      <c r="A5" s="908" t="s">
        <v>31</v>
      </c>
      <c r="B5" s="879" t="s">
        <v>32</v>
      </c>
      <c r="C5" s="879"/>
      <c r="D5" s="879"/>
      <c r="E5" s="879" t="s">
        <v>33</v>
      </c>
      <c r="F5" s="879"/>
      <c r="G5" s="879"/>
      <c r="H5" s="879" t="s">
        <v>34</v>
      </c>
      <c r="I5" s="879"/>
      <c r="J5" s="879"/>
      <c r="K5" s="847" t="s">
        <v>35</v>
      </c>
      <c r="L5" s="921"/>
      <c r="M5" s="848"/>
      <c r="N5" s="879" t="s">
        <v>71</v>
      </c>
      <c r="O5" s="879"/>
      <c r="P5" s="879"/>
      <c r="Q5" s="879" t="s">
        <v>40</v>
      </c>
      <c r="R5" s="879"/>
      <c r="S5" s="879"/>
      <c r="T5" s="879" t="s">
        <v>36</v>
      </c>
      <c r="U5" s="879"/>
      <c r="V5" s="879"/>
      <c r="W5" s="879" t="s">
        <v>48</v>
      </c>
      <c r="X5" s="879"/>
      <c r="Y5" s="879"/>
      <c r="Z5" s="603" t="s">
        <v>1000</v>
      </c>
      <c r="AA5" s="747"/>
      <c r="AB5" s="918" t="s">
        <v>157</v>
      </c>
      <c r="AC5" s="918"/>
      <c r="AD5" s="919"/>
      <c r="AE5" s="290"/>
      <c r="AF5" s="920" t="s">
        <v>778</v>
      </c>
      <c r="AG5" s="918"/>
      <c r="AH5" s="919"/>
      <c r="AI5" s="290"/>
      <c r="AJ5" s="901" t="s">
        <v>158</v>
      </c>
      <c r="AK5" s="902"/>
      <c r="AL5" s="903"/>
      <c r="AM5" s="291"/>
      <c r="AN5" s="913" t="s">
        <v>159</v>
      </c>
      <c r="AO5" s="914"/>
      <c r="AP5" s="915"/>
      <c r="AQ5" s="916" t="s">
        <v>160</v>
      </c>
      <c r="AR5" s="917"/>
      <c r="AS5" s="917"/>
      <c r="AT5" s="917"/>
      <c r="AU5" s="292" t="s">
        <v>6</v>
      </c>
    </row>
    <row r="6" spans="1:47" s="30" customFormat="1" ht="15.95" customHeight="1">
      <c r="A6" s="908"/>
      <c r="B6" s="603" t="s">
        <v>37</v>
      </c>
      <c r="C6" s="603" t="s">
        <v>38</v>
      </c>
      <c r="D6" s="603" t="s">
        <v>61</v>
      </c>
      <c r="E6" s="603" t="s">
        <v>37</v>
      </c>
      <c r="F6" s="603" t="s">
        <v>38</v>
      </c>
      <c r="G6" s="603" t="s">
        <v>61</v>
      </c>
      <c r="H6" s="603" t="s">
        <v>37</v>
      </c>
      <c r="I6" s="603" t="s">
        <v>38</v>
      </c>
      <c r="J6" s="603" t="s">
        <v>61</v>
      </c>
      <c r="K6" s="603" t="s">
        <v>37</v>
      </c>
      <c r="L6" s="603" t="s">
        <v>38</v>
      </c>
      <c r="M6" s="603" t="s">
        <v>61</v>
      </c>
      <c r="N6" s="603" t="s">
        <v>37</v>
      </c>
      <c r="O6" s="603" t="s">
        <v>38</v>
      </c>
      <c r="P6" s="603" t="s">
        <v>61</v>
      </c>
      <c r="Q6" s="603" t="s">
        <v>37</v>
      </c>
      <c r="R6" s="603" t="s">
        <v>38</v>
      </c>
      <c r="S6" s="603" t="s">
        <v>61</v>
      </c>
      <c r="T6" s="603" t="s">
        <v>37</v>
      </c>
      <c r="U6" s="603" t="s">
        <v>38</v>
      </c>
      <c r="V6" s="603" t="s">
        <v>61</v>
      </c>
      <c r="W6" s="603" t="s">
        <v>37</v>
      </c>
      <c r="X6" s="603" t="s">
        <v>38</v>
      </c>
      <c r="Y6" s="603" t="s">
        <v>61</v>
      </c>
      <c r="Z6" s="603" t="s">
        <v>1001</v>
      </c>
      <c r="AA6" s="293"/>
      <c r="AB6" s="293" t="s">
        <v>161</v>
      </c>
      <c r="AC6" s="293" t="s">
        <v>162</v>
      </c>
      <c r="AD6" s="293" t="s">
        <v>164</v>
      </c>
      <c r="AE6" s="293"/>
      <c r="AF6" s="293" t="s">
        <v>161</v>
      </c>
      <c r="AG6" s="293" t="s">
        <v>162</v>
      </c>
      <c r="AH6" s="293" t="s">
        <v>164</v>
      </c>
      <c r="AI6" s="293"/>
      <c r="AJ6" s="293" t="s">
        <v>165</v>
      </c>
      <c r="AK6" s="293" t="s">
        <v>162</v>
      </c>
      <c r="AL6" s="293" t="s">
        <v>164</v>
      </c>
      <c r="AM6" s="293"/>
      <c r="AN6" s="293" t="s">
        <v>471</v>
      </c>
      <c r="AO6" s="293" t="s">
        <v>162</v>
      </c>
      <c r="AP6" s="293" t="s">
        <v>164</v>
      </c>
      <c r="AQ6" s="293" t="s">
        <v>166</v>
      </c>
      <c r="AR6" s="293" t="s">
        <v>162</v>
      </c>
      <c r="AS6" s="293" t="s">
        <v>163</v>
      </c>
      <c r="AT6" s="284" t="s">
        <v>164</v>
      </c>
      <c r="AU6" s="294"/>
    </row>
    <row r="7" spans="1:47" s="32" customFormat="1" ht="15.95" customHeight="1">
      <c r="A7" s="771" t="s">
        <v>732</v>
      </c>
      <c r="B7" s="478">
        <f>'01'!F14</f>
        <v>2859.7639999999997</v>
      </c>
      <c r="C7" s="478">
        <f>'01'!K14</f>
        <v>3043</v>
      </c>
      <c r="D7" s="158">
        <f t="shared" ref="D7:D37" si="0">C7/B7</f>
        <v>1.0640738186787442</v>
      </c>
      <c r="E7" s="478">
        <f>'01'!F29</f>
        <v>11119.7248</v>
      </c>
      <c r="F7" s="478">
        <f>'01'!K29</f>
        <v>55200</v>
      </c>
      <c r="G7" s="158">
        <f t="shared" ref="G7:G37" si="1">F7/E7</f>
        <v>4.9641516308029496</v>
      </c>
      <c r="H7" s="478">
        <f>'01'!F42</f>
        <v>13956.5232</v>
      </c>
      <c r="I7" s="478">
        <f>'01'!K42</f>
        <v>22798</v>
      </c>
      <c r="J7" s="158">
        <f t="shared" ref="J7:J37" si="2">I7/H7</f>
        <v>1.6335013866490762</v>
      </c>
      <c r="K7" s="478">
        <f>'01'!I42</f>
        <v>0</v>
      </c>
      <c r="L7" s="478">
        <f>'01'!N42</f>
        <v>0</v>
      </c>
      <c r="M7" s="158" t="e">
        <f t="shared" ref="M7:M37" si="3">L7/K7</f>
        <v>#DIV/0!</v>
      </c>
      <c r="N7" s="478">
        <f>'01'!F98</f>
        <v>27039.26</v>
      </c>
      <c r="O7" s="478">
        <f>'01'!K98</f>
        <v>116503.753</v>
      </c>
      <c r="P7" s="158">
        <f t="shared" ref="P7:P37" si="4">O7/N7</f>
        <v>4.3086886623376532</v>
      </c>
      <c r="Q7" s="478">
        <f>'01'!F112</f>
        <v>19914.456000000002</v>
      </c>
      <c r="R7" s="478">
        <f>'01'!K112</f>
        <v>19950</v>
      </c>
      <c r="S7" s="158">
        <f t="shared" ref="S7:S37" si="5">R7/Q7</f>
        <v>1.0017848340923798</v>
      </c>
      <c r="T7" s="478">
        <f>'01'!F129</f>
        <v>18208.439999999999</v>
      </c>
      <c r="U7" s="478">
        <f>'01'!K129</f>
        <v>19232</v>
      </c>
      <c r="V7" s="158">
        <f t="shared" ref="V7:V37" si="6">U7/T7</f>
        <v>1.0562134922047139</v>
      </c>
      <c r="W7" s="478">
        <f>'01'!F142</f>
        <v>21.872</v>
      </c>
      <c r="X7" s="478">
        <f>'01'!K142</f>
        <v>3246.7</v>
      </c>
      <c r="Y7" s="158">
        <f t="shared" ref="Y7:Y37" si="7">X7/W7</f>
        <v>148.44092904169713</v>
      </c>
      <c r="Z7" s="478">
        <f>C7+F7+I7+L7+O7+R7+U7+X7</f>
        <v>239973.45300000001</v>
      </c>
      <c r="AA7" s="748"/>
      <c r="AB7" s="474">
        <v>500</v>
      </c>
      <c r="AC7" s="295">
        <v>16000</v>
      </c>
      <c r="AD7" s="295">
        <f>AC7</f>
        <v>16000</v>
      </c>
      <c r="AE7" s="295"/>
      <c r="AF7" s="296">
        <v>1.8</v>
      </c>
      <c r="AG7" s="296">
        <v>945</v>
      </c>
      <c r="AH7" s="295">
        <f t="shared" ref="AH7:AH36" si="8">AG7</f>
        <v>945</v>
      </c>
      <c r="AI7" s="295"/>
      <c r="AJ7" s="295"/>
      <c r="AK7" s="295"/>
      <c r="AL7" s="295">
        <f>AK7</f>
        <v>0</v>
      </c>
      <c r="AM7" s="295"/>
      <c r="AN7" s="297"/>
      <c r="AO7" s="295"/>
      <c r="AP7" s="295">
        <f>AO7</f>
        <v>0</v>
      </c>
      <c r="AQ7" s="297"/>
      <c r="AR7" s="297"/>
      <c r="AS7" s="295">
        <v>1</v>
      </c>
      <c r="AT7" s="295">
        <f>AR7</f>
        <v>0</v>
      </c>
      <c r="AU7" s="298"/>
    </row>
    <row r="8" spans="1:47" s="31" customFormat="1" ht="15.95" customHeight="1">
      <c r="A8" s="771" t="s">
        <v>733</v>
      </c>
      <c r="B8" s="478">
        <f>'02'!F14</f>
        <v>0</v>
      </c>
      <c r="C8" s="478">
        <f>'02'!K14</f>
        <v>0</v>
      </c>
      <c r="D8" s="158" t="e">
        <f t="shared" si="0"/>
        <v>#DIV/0!</v>
      </c>
      <c r="E8" s="478">
        <f>'02'!F23</f>
        <v>0</v>
      </c>
      <c r="F8" s="478">
        <f>'02'!K23</f>
        <v>0</v>
      </c>
      <c r="G8" s="158" t="e">
        <f t="shared" si="1"/>
        <v>#DIV/0!</v>
      </c>
      <c r="H8" s="478">
        <f>'02'!F29</f>
        <v>0</v>
      </c>
      <c r="I8" s="478">
        <f>'02'!K29</f>
        <v>0</v>
      </c>
      <c r="J8" s="158" t="e">
        <f t="shared" si="2"/>
        <v>#DIV/0!</v>
      </c>
      <c r="K8" s="478">
        <f>'02'!I29</f>
        <v>0</v>
      </c>
      <c r="L8" s="478">
        <f>'02'!N29</f>
        <v>0</v>
      </c>
      <c r="M8" s="158" t="e">
        <f t="shared" si="3"/>
        <v>#DIV/0!</v>
      </c>
      <c r="N8" s="478">
        <f>'02'!F138</f>
        <v>3625.2839999999997</v>
      </c>
      <c r="O8" s="478">
        <f>'02'!K138</f>
        <v>45332.333999999995</v>
      </c>
      <c r="P8" s="158">
        <f t="shared" si="4"/>
        <v>12.504491786022832</v>
      </c>
      <c r="Q8" s="478">
        <f>'02'!F153</f>
        <v>20330.023999999998</v>
      </c>
      <c r="R8" s="478">
        <f>'02'!K153</f>
        <v>16770.441999999999</v>
      </c>
      <c r="S8" s="158">
        <f t="shared" si="5"/>
        <v>0.8249100935640804</v>
      </c>
      <c r="T8" s="478">
        <f>'02'!F176</f>
        <v>18809.919999999998</v>
      </c>
      <c r="U8" s="478">
        <f>'02'!K176</f>
        <v>31690.75</v>
      </c>
      <c r="V8" s="158">
        <f t="shared" si="6"/>
        <v>1.6847891963389532</v>
      </c>
      <c r="W8" s="478">
        <f>'02'!F188</f>
        <v>0</v>
      </c>
      <c r="X8" s="478">
        <f>'02'!K188</f>
        <v>0</v>
      </c>
      <c r="Y8" s="158" t="e">
        <f t="shared" si="7"/>
        <v>#DIV/0!</v>
      </c>
      <c r="Z8" s="478">
        <f t="shared" ref="Z8:Z37" si="9">C8+F8+I8+L8+O8+R8+U8+X8</f>
        <v>93793.525999999998</v>
      </c>
      <c r="AA8" s="748"/>
      <c r="AB8" s="474"/>
      <c r="AC8" s="295"/>
      <c r="AD8" s="295">
        <f t="shared" ref="AD8:AD36" si="10">AC8</f>
        <v>0</v>
      </c>
      <c r="AE8" s="295"/>
      <c r="AF8" s="296"/>
      <c r="AG8" s="296"/>
      <c r="AH8" s="295">
        <f t="shared" si="8"/>
        <v>0</v>
      </c>
      <c r="AI8" s="295"/>
      <c r="AJ8" s="295"/>
      <c r="AK8" s="295"/>
      <c r="AL8" s="295">
        <f t="shared" ref="AL8:AL36" si="11">AK8</f>
        <v>0</v>
      </c>
      <c r="AM8" s="295"/>
      <c r="AN8" s="297"/>
      <c r="AO8" s="295"/>
      <c r="AP8" s="295">
        <f t="shared" ref="AP8:AP36" si="12">AO8</f>
        <v>0</v>
      </c>
      <c r="AQ8" s="297"/>
      <c r="AR8" s="297"/>
      <c r="AS8" s="295">
        <v>2</v>
      </c>
      <c r="AT8" s="295">
        <f t="shared" ref="AT8:AT36" si="13">AR8</f>
        <v>0</v>
      </c>
      <c r="AU8" s="299"/>
    </row>
    <row r="9" spans="1:47" s="32" customFormat="1" ht="15.95" customHeight="1">
      <c r="A9" s="771" t="s">
        <v>734</v>
      </c>
      <c r="B9" s="478">
        <f>'03'!F54</f>
        <v>87994.336800000005</v>
      </c>
      <c r="C9" s="478">
        <f>'03'!K54</f>
        <v>99318</v>
      </c>
      <c r="D9" s="158">
        <f t="shared" si="0"/>
        <v>1.128686272455661</v>
      </c>
      <c r="E9" s="478">
        <f>'03'!F93</f>
        <v>32830.965599999996</v>
      </c>
      <c r="F9" s="478">
        <f>'03'!K93</f>
        <v>155823</v>
      </c>
      <c r="G9" s="158">
        <f t="shared" si="1"/>
        <v>4.7462204401322881</v>
      </c>
      <c r="H9" s="478">
        <f>'03'!F105</f>
        <v>24469.3</v>
      </c>
      <c r="I9" s="478">
        <f>'03'!K105</f>
        <v>33520</v>
      </c>
      <c r="J9" s="158">
        <f t="shared" si="2"/>
        <v>1.3698798085764612</v>
      </c>
      <c r="K9" s="478">
        <f>'03'!F111</f>
        <v>4707.9479999999994</v>
      </c>
      <c r="L9" s="478">
        <f>'03'!K111</f>
        <v>4440</v>
      </c>
      <c r="M9" s="158">
        <f t="shared" si="3"/>
        <v>0.94308603238608424</v>
      </c>
      <c r="N9" s="478">
        <f>'03'!F158</f>
        <v>16469.615999999998</v>
      </c>
      <c r="O9" s="478">
        <f>'03'!K158</f>
        <v>149032.23200000002</v>
      </c>
      <c r="P9" s="158">
        <f t="shared" si="4"/>
        <v>9.0489196590861649</v>
      </c>
      <c r="Q9" s="478">
        <f>'03'!F197</f>
        <v>17158.584000000003</v>
      </c>
      <c r="R9" s="478">
        <f>'03'!K197</f>
        <v>29969.219999999994</v>
      </c>
      <c r="S9" s="158">
        <f t="shared" si="5"/>
        <v>1.7466021671718359</v>
      </c>
      <c r="T9" s="478">
        <f>'03'!F232</f>
        <v>26990.047999999995</v>
      </c>
      <c r="U9" s="478">
        <f>'03'!K232</f>
        <v>57354.7</v>
      </c>
      <c r="V9" s="158">
        <f t="shared" si="6"/>
        <v>2.1250314189882138</v>
      </c>
      <c r="W9" s="478">
        <f>'03'!F282</f>
        <v>10596.983999999999</v>
      </c>
      <c r="X9" s="478">
        <f>'03'!K282</f>
        <v>63798.85</v>
      </c>
      <c r="Y9" s="158">
        <f t="shared" si="7"/>
        <v>6.0204724287589757</v>
      </c>
      <c r="Z9" s="478">
        <f t="shared" si="9"/>
        <v>593256.00199999998</v>
      </c>
      <c r="AA9" s="748"/>
      <c r="AB9" s="474"/>
      <c r="AC9" s="295"/>
      <c r="AD9" s="295">
        <f t="shared" si="10"/>
        <v>0</v>
      </c>
      <c r="AE9" s="295"/>
      <c r="AF9" s="296"/>
      <c r="AG9" s="296"/>
      <c r="AH9" s="295">
        <f t="shared" si="8"/>
        <v>0</v>
      </c>
      <c r="AI9" s="295"/>
      <c r="AJ9" s="295"/>
      <c r="AK9" s="295"/>
      <c r="AL9" s="295">
        <f>AK9</f>
        <v>0</v>
      </c>
      <c r="AM9" s="295"/>
      <c r="AN9" s="297"/>
      <c r="AO9" s="295"/>
      <c r="AP9" s="295">
        <f t="shared" si="12"/>
        <v>0</v>
      </c>
      <c r="AQ9" s="297"/>
      <c r="AR9" s="297"/>
      <c r="AS9" s="295">
        <v>3</v>
      </c>
      <c r="AT9" s="295">
        <f t="shared" si="13"/>
        <v>0</v>
      </c>
      <c r="AU9" s="298"/>
    </row>
    <row r="10" spans="1:47" s="32" customFormat="1" ht="15.95" customHeight="1">
      <c r="A10" s="771" t="s">
        <v>735</v>
      </c>
      <c r="B10" s="478">
        <f>'04'!F14</f>
        <v>0</v>
      </c>
      <c r="C10" s="478">
        <f>'04'!K14</f>
        <v>0</v>
      </c>
      <c r="D10" s="158" t="e">
        <f t="shared" si="0"/>
        <v>#DIV/0!</v>
      </c>
      <c r="E10" s="478">
        <f>'04'!F29</f>
        <v>33606.327999999994</v>
      </c>
      <c r="F10" s="478">
        <f>'04'!K29</f>
        <v>94106</v>
      </c>
      <c r="G10" s="158">
        <f t="shared" si="1"/>
        <v>2.8002464297795351</v>
      </c>
      <c r="H10" s="478">
        <f>'04'!F53</f>
        <v>18766.175999999999</v>
      </c>
      <c r="I10" s="478">
        <f>'04'!K53</f>
        <v>32518</v>
      </c>
      <c r="J10" s="158">
        <f t="shared" si="2"/>
        <v>1.7327984134860508</v>
      </c>
      <c r="K10" s="478">
        <f>'04'!I53</f>
        <v>0</v>
      </c>
      <c r="L10" s="478">
        <f>'04'!N53</f>
        <v>0</v>
      </c>
      <c r="M10" s="158" t="e">
        <f t="shared" si="3"/>
        <v>#DIV/0!</v>
      </c>
      <c r="N10" s="478">
        <f>'04'!F122</f>
        <v>18613.072</v>
      </c>
      <c r="O10" s="478">
        <f>'04'!K122</f>
        <v>131928.15200000003</v>
      </c>
      <c r="P10" s="158">
        <f t="shared" si="4"/>
        <v>7.0879300311093205</v>
      </c>
      <c r="Q10" s="478">
        <f>'04'!F141</f>
        <v>12554.528</v>
      </c>
      <c r="R10" s="478">
        <f>'04'!K141</f>
        <v>11425.399999999998</v>
      </c>
      <c r="S10" s="158">
        <f t="shared" si="5"/>
        <v>0.91006209074526723</v>
      </c>
      <c r="T10" s="478">
        <f>'04'!F152</f>
        <v>13363.791999999998</v>
      </c>
      <c r="U10" s="478">
        <f>'04'!K152</f>
        <v>21465.5</v>
      </c>
      <c r="V10" s="158">
        <f t="shared" si="6"/>
        <v>1.6062431980384013</v>
      </c>
      <c r="W10" s="478">
        <f>'04'!F196</f>
        <v>224.18799999999999</v>
      </c>
      <c r="X10" s="478">
        <f>'04'!K196</f>
        <v>37329.24</v>
      </c>
      <c r="Y10" s="158">
        <f t="shared" si="7"/>
        <v>166.50864453048334</v>
      </c>
      <c r="Z10" s="478">
        <f t="shared" si="9"/>
        <v>328772.29200000002</v>
      </c>
      <c r="AA10" s="748"/>
      <c r="AB10" s="474"/>
      <c r="AC10" s="295"/>
      <c r="AD10" s="295">
        <f t="shared" si="10"/>
        <v>0</v>
      </c>
      <c r="AE10" s="295"/>
      <c r="AF10" s="296"/>
      <c r="AG10" s="296"/>
      <c r="AH10" s="295">
        <f t="shared" si="8"/>
        <v>0</v>
      </c>
      <c r="AI10" s="295"/>
      <c r="AJ10" s="295"/>
      <c r="AK10" s="295"/>
      <c r="AL10" s="295">
        <f t="shared" si="11"/>
        <v>0</v>
      </c>
      <c r="AM10" s="295"/>
      <c r="AN10" s="297"/>
      <c r="AO10" s="295"/>
      <c r="AP10" s="295">
        <f t="shared" si="12"/>
        <v>0</v>
      </c>
      <c r="AQ10" s="297"/>
      <c r="AR10" s="297"/>
      <c r="AS10" s="295">
        <v>4</v>
      </c>
      <c r="AT10" s="295">
        <f t="shared" si="13"/>
        <v>0</v>
      </c>
      <c r="AU10" s="298"/>
    </row>
    <row r="11" spans="1:47" s="32" customFormat="1" ht="15.95" customHeight="1">
      <c r="A11" s="771" t="s">
        <v>736</v>
      </c>
      <c r="B11" s="478">
        <f>'05'!F16</f>
        <v>11174.4048</v>
      </c>
      <c r="C11" s="478">
        <f>'05'!K16</f>
        <v>10062.5</v>
      </c>
      <c r="D11" s="158">
        <f t="shared" si="0"/>
        <v>0.90049538924883044</v>
      </c>
      <c r="E11" s="478">
        <f>'05'!F31</f>
        <v>15721.593599999998</v>
      </c>
      <c r="F11" s="478">
        <f>'05'!K31</f>
        <v>40411</v>
      </c>
      <c r="G11" s="158">
        <f t="shared" si="1"/>
        <v>2.5704137270155618</v>
      </c>
      <c r="H11" s="478">
        <f>'05'!F41</f>
        <v>13508.147200000001</v>
      </c>
      <c r="I11" s="478">
        <f>'05'!K41</f>
        <v>15440</v>
      </c>
      <c r="J11" s="158">
        <f t="shared" si="2"/>
        <v>1.1430138990490124</v>
      </c>
      <c r="K11" s="478">
        <f>'05'!I41</f>
        <v>0</v>
      </c>
      <c r="L11" s="478">
        <f>'05'!N41</f>
        <v>0</v>
      </c>
      <c r="M11" s="158" t="e">
        <f t="shared" si="3"/>
        <v>#DIV/0!</v>
      </c>
      <c r="N11" s="478">
        <f>'05'!F150</f>
        <v>16522.108800000002</v>
      </c>
      <c r="O11" s="478">
        <f>'05'!K150</f>
        <v>96951.139000000025</v>
      </c>
      <c r="P11" s="158">
        <f t="shared" si="4"/>
        <v>5.8679639611137295</v>
      </c>
      <c r="Q11" s="478">
        <f>'05'!F169</f>
        <v>3444.8399999999992</v>
      </c>
      <c r="R11" s="478">
        <f>'05'!K169</f>
        <v>5916.5999999999995</v>
      </c>
      <c r="S11" s="158">
        <f t="shared" si="5"/>
        <v>1.717525342251019</v>
      </c>
      <c r="T11" s="478">
        <f>'05'!F180</f>
        <v>5030.5599999999995</v>
      </c>
      <c r="U11" s="478">
        <f>'05'!K180</f>
        <v>9395</v>
      </c>
      <c r="V11" s="158">
        <f t="shared" si="6"/>
        <v>1.8675853185331257</v>
      </c>
      <c r="W11" s="478">
        <f>'05'!F207</f>
        <v>164.04</v>
      </c>
      <c r="X11" s="478">
        <f>'05'!K207</f>
        <v>9921.5</v>
      </c>
      <c r="Y11" s="158">
        <f t="shared" si="7"/>
        <v>60.482199463545477</v>
      </c>
      <c r="Z11" s="478">
        <f t="shared" si="9"/>
        <v>188097.73900000003</v>
      </c>
      <c r="AA11" s="748"/>
      <c r="AB11" s="474"/>
      <c r="AC11" s="295"/>
      <c r="AD11" s="295">
        <f t="shared" si="10"/>
        <v>0</v>
      </c>
      <c r="AE11" s="295"/>
      <c r="AF11" s="296"/>
      <c r="AG11" s="296"/>
      <c r="AH11" s="295">
        <f t="shared" si="8"/>
        <v>0</v>
      </c>
      <c r="AI11" s="295"/>
      <c r="AJ11" s="295"/>
      <c r="AK11" s="295"/>
      <c r="AL11" s="295">
        <f t="shared" si="11"/>
        <v>0</v>
      </c>
      <c r="AM11" s="295"/>
      <c r="AN11" s="297"/>
      <c r="AO11" s="295"/>
      <c r="AP11" s="295">
        <f t="shared" si="12"/>
        <v>0</v>
      </c>
      <c r="AQ11" s="297"/>
      <c r="AR11" s="297"/>
      <c r="AS11" s="295">
        <v>5</v>
      </c>
      <c r="AT11" s="295">
        <f t="shared" si="13"/>
        <v>0</v>
      </c>
      <c r="AU11" s="298"/>
    </row>
    <row r="12" spans="1:47" s="32" customFormat="1" ht="15.95" customHeight="1">
      <c r="A12" s="771" t="s">
        <v>737</v>
      </c>
      <c r="B12" s="478">
        <f>'06'!F14</f>
        <v>6994.6655999999994</v>
      </c>
      <c r="C12" s="478">
        <f>'06'!K14</f>
        <v>19602</v>
      </c>
      <c r="D12" s="158">
        <f t="shared" si="0"/>
        <v>2.8024213194695116</v>
      </c>
      <c r="E12" s="478">
        <f>'06'!F23</f>
        <v>3729.1759999999995</v>
      </c>
      <c r="F12" s="478">
        <f>'06'!K23</f>
        <v>13296</v>
      </c>
      <c r="G12" s="158">
        <f t="shared" si="1"/>
        <v>3.5653988977725914</v>
      </c>
      <c r="H12" s="478">
        <f>'06'!F35</f>
        <v>24447.428</v>
      </c>
      <c r="I12" s="478">
        <f>'06'!K35</f>
        <v>23390</v>
      </c>
      <c r="J12" s="158">
        <f t="shared" si="2"/>
        <v>0.95674686106039453</v>
      </c>
      <c r="K12" s="478">
        <f>'06'!I35</f>
        <v>0</v>
      </c>
      <c r="L12" s="478">
        <f>'06'!N35</f>
        <v>0</v>
      </c>
      <c r="M12" s="158" t="e">
        <f t="shared" si="3"/>
        <v>#DIV/0!</v>
      </c>
      <c r="N12" s="478">
        <f>'06'!F75</f>
        <v>5170.5407999999989</v>
      </c>
      <c r="O12" s="478">
        <f>'06'!K75</f>
        <v>33416.620999999999</v>
      </c>
      <c r="P12" s="158">
        <f t="shared" si="4"/>
        <v>6.4628870156096641</v>
      </c>
      <c r="Q12" s="478">
        <f>'06'!F98</f>
        <v>12521.719999999998</v>
      </c>
      <c r="R12" s="478">
        <f>'06'!K98</f>
        <v>18690.099999999999</v>
      </c>
      <c r="S12" s="158">
        <f t="shared" si="5"/>
        <v>1.4926144331609397</v>
      </c>
      <c r="T12" s="478">
        <f>'06'!F116</f>
        <v>12138.96</v>
      </c>
      <c r="U12" s="478">
        <f>'06'!K116</f>
        <v>16738</v>
      </c>
      <c r="V12" s="158">
        <f t="shared" si="6"/>
        <v>1.3788660643086394</v>
      </c>
      <c r="W12" s="478">
        <f>'06'!F127</f>
        <v>0</v>
      </c>
      <c r="X12" s="478">
        <f>'06'!K127</f>
        <v>0</v>
      </c>
      <c r="Y12" s="158" t="e">
        <f t="shared" si="7"/>
        <v>#DIV/0!</v>
      </c>
      <c r="Z12" s="478">
        <f t="shared" si="9"/>
        <v>125132.72099999999</v>
      </c>
      <c r="AA12" s="748"/>
      <c r="AB12" s="474"/>
      <c r="AC12" s="295"/>
      <c r="AD12" s="295">
        <f t="shared" si="10"/>
        <v>0</v>
      </c>
      <c r="AE12" s="295"/>
      <c r="AF12" s="296"/>
      <c r="AG12" s="296"/>
      <c r="AH12" s="295">
        <f t="shared" si="8"/>
        <v>0</v>
      </c>
      <c r="AI12" s="295"/>
      <c r="AJ12" s="295"/>
      <c r="AK12" s="295"/>
      <c r="AL12" s="295">
        <f t="shared" si="11"/>
        <v>0</v>
      </c>
      <c r="AM12" s="295"/>
      <c r="AN12" s="297"/>
      <c r="AO12" s="295"/>
      <c r="AP12" s="295">
        <f t="shared" si="12"/>
        <v>0</v>
      </c>
      <c r="AQ12" s="297"/>
      <c r="AR12" s="297"/>
      <c r="AS12" s="295">
        <v>6</v>
      </c>
      <c r="AT12" s="295">
        <f t="shared" si="13"/>
        <v>0</v>
      </c>
      <c r="AU12" s="298"/>
    </row>
    <row r="13" spans="1:47" s="32" customFormat="1" ht="15.95" customHeight="1">
      <c r="A13" s="771" t="s">
        <v>738</v>
      </c>
      <c r="B13" s="478">
        <f>'07'!F12</f>
        <v>206.69039999999998</v>
      </c>
      <c r="C13" s="478">
        <f>'07'!K12</f>
        <v>1521.5</v>
      </c>
      <c r="D13" s="158">
        <f t="shared" si="0"/>
        <v>7.361251417579143</v>
      </c>
      <c r="E13" s="478">
        <f>'07'!F27</f>
        <v>11817.441599999998</v>
      </c>
      <c r="F13" s="478">
        <f>'07'!K27</f>
        <v>27578</v>
      </c>
      <c r="G13" s="158">
        <f t="shared" si="1"/>
        <v>2.3336692436034552</v>
      </c>
      <c r="H13" s="478">
        <f>'07'!F42</f>
        <v>18023.621599999999</v>
      </c>
      <c r="I13" s="478">
        <f>'07'!K42</f>
        <v>21450</v>
      </c>
      <c r="J13" s="158">
        <f t="shared" si="2"/>
        <v>1.1901048788108157</v>
      </c>
      <c r="K13" s="478">
        <f>'07'!I42</f>
        <v>0</v>
      </c>
      <c r="L13" s="478">
        <f>'07'!N42</f>
        <v>0</v>
      </c>
      <c r="M13" s="158" t="e">
        <f t="shared" si="3"/>
        <v>#DIV/0!</v>
      </c>
      <c r="N13" s="478">
        <f>'07'!F77</f>
        <v>5981.9919999999993</v>
      </c>
      <c r="O13" s="478">
        <f>'07'!K77</f>
        <v>39393.171000000002</v>
      </c>
      <c r="P13" s="158">
        <f t="shared" si="4"/>
        <v>6.585293159870492</v>
      </c>
      <c r="Q13" s="478">
        <f>'07'!F88</f>
        <v>8245.7439999999988</v>
      </c>
      <c r="R13" s="478">
        <f>'07'!K88</f>
        <v>14164.4</v>
      </c>
      <c r="S13" s="158">
        <f t="shared" si="5"/>
        <v>1.7177831375798231</v>
      </c>
      <c r="T13" s="478">
        <f>'07'!F109</f>
        <v>21915.743999999999</v>
      </c>
      <c r="U13" s="478">
        <f>'07'!K109</f>
        <v>49849</v>
      </c>
      <c r="V13" s="158">
        <f t="shared" si="6"/>
        <v>2.2745748444588512</v>
      </c>
      <c r="W13" s="478">
        <f>'07'!F120</f>
        <v>0</v>
      </c>
      <c r="X13" s="478">
        <f>'07'!K120</f>
        <v>0</v>
      </c>
      <c r="Y13" s="158" t="e">
        <f t="shared" si="7"/>
        <v>#DIV/0!</v>
      </c>
      <c r="Z13" s="478">
        <f t="shared" si="9"/>
        <v>153956.071</v>
      </c>
      <c r="AA13" s="748"/>
      <c r="AB13" s="474"/>
      <c r="AC13" s="295"/>
      <c r="AD13" s="295">
        <f t="shared" si="10"/>
        <v>0</v>
      </c>
      <c r="AE13" s="295"/>
      <c r="AF13" s="296"/>
      <c r="AG13" s="296"/>
      <c r="AH13" s="295">
        <f t="shared" si="8"/>
        <v>0</v>
      </c>
      <c r="AI13" s="295"/>
      <c r="AJ13" s="295"/>
      <c r="AK13" s="295"/>
      <c r="AL13" s="295">
        <f t="shared" si="11"/>
        <v>0</v>
      </c>
      <c r="AM13" s="295"/>
      <c r="AN13" s="297"/>
      <c r="AO13" s="295"/>
      <c r="AP13" s="295">
        <f t="shared" si="12"/>
        <v>0</v>
      </c>
      <c r="AQ13" s="297"/>
      <c r="AR13" s="297"/>
      <c r="AS13" s="295">
        <v>7</v>
      </c>
      <c r="AT13" s="295">
        <f t="shared" si="13"/>
        <v>0</v>
      </c>
      <c r="AU13" s="298"/>
    </row>
    <row r="14" spans="1:47" s="32" customFormat="1" ht="15.95" customHeight="1">
      <c r="A14" s="771" t="s">
        <v>739</v>
      </c>
      <c r="B14" s="478">
        <f>'08'!F20</f>
        <v>22422.0808</v>
      </c>
      <c r="C14" s="478">
        <f>'08'!K20</f>
        <v>19594.5</v>
      </c>
      <c r="D14" s="158">
        <f t="shared" si="0"/>
        <v>0.8738930242370726</v>
      </c>
      <c r="E14" s="478">
        <f>'08'!F35</f>
        <v>18580.263999999996</v>
      </c>
      <c r="F14" s="478">
        <f>'08'!K35</f>
        <v>49542</v>
      </c>
      <c r="G14" s="158">
        <f t="shared" si="1"/>
        <v>2.6663776144407856</v>
      </c>
      <c r="H14" s="478">
        <f>'08'!F47</f>
        <v>16722.2376</v>
      </c>
      <c r="I14" s="478">
        <f>'08'!K47</f>
        <v>20980</v>
      </c>
      <c r="J14" s="158">
        <f t="shared" si="2"/>
        <v>1.2546167864520714</v>
      </c>
      <c r="K14" s="478">
        <f>'08'!F53</f>
        <v>45.7205559619605</v>
      </c>
      <c r="L14" s="478">
        <f>'08'!K53</f>
        <v>395</v>
      </c>
      <c r="M14" s="158">
        <f t="shared" si="3"/>
        <v>8.6394399999999987</v>
      </c>
      <c r="N14" s="478">
        <f>'08'!F138</f>
        <v>6621.7479999999996</v>
      </c>
      <c r="O14" s="478">
        <f>'08'!K138</f>
        <v>55959.948000000004</v>
      </c>
      <c r="P14" s="158">
        <f t="shared" si="4"/>
        <v>8.4509328956644083</v>
      </c>
      <c r="Q14" s="478">
        <f>'08'!F162</f>
        <v>10968.807999999999</v>
      </c>
      <c r="R14" s="478">
        <f>'08'!K162</f>
        <v>20647.88</v>
      </c>
      <c r="S14" s="158">
        <f t="shared" si="5"/>
        <v>1.8824178525141477</v>
      </c>
      <c r="T14" s="478">
        <f>'08'!F173</f>
        <v>5796.08</v>
      </c>
      <c r="U14" s="478">
        <f>'08'!K173</f>
        <v>14400</v>
      </c>
      <c r="V14" s="158">
        <f t="shared" si="6"/>
        <v>2.4844377579329477</v>
      </c>
      <c r="W14" s="478">
        <f>'08'!F184</f>
        <v>0</v>
      </c>
      <c r="X14" s="478">
        <f>'08'!K184</f>
        <v>0</v>
      </c>
      <c r="Y14" s="158" t="e">
        <f t="shared" si="7"/>
        <v>#DIV/0!</v>
      </c>
      <c r="Z14" s="478">
        <f t="shared" si="9"/>
        <v>181519.32800000001</v>
      </c>
      <c r="AA14" s="748"/>
      <c r="AB14" s="474"/>
      <c r="AC14" s="295"/>
      <c r="AD14" s="295">
        <f t="shared" si="10"/>
        <v>0</v>
      </c>
      <c r="AE14" s="295"/>
      <c r="AF14" s="296"/>
      <c r="AG14" s="296"/>
      <c r="AH14" s="295">
        <f t="shared" si="8"/>
        <v>0</v>
      </c>
      <c r="AI14" s="295"/>
      <c r="AJ14" s="295"/>
      <c r="AK14" s="295"/>
      <c r="AL14" s="295">
        <f t="shared" si="11"/>
        <v>0</v>
      </c>
      <c r="AM14" s="295"/>
      <c r="AN14" s="297"/>
      <c r="AO14" s="295"/>
      <c r="AP14" s="295">
        <f t="shared" si="12"/>
        <v>0</v>
      </c>
      <c r="AQ14" s="297"/>
      <c r="AR14" s="297"/>
      <c r="AS14" s="295">
        <v>8</v>
      </c>
      <c r="AT14" s="295">
        <f t="shared" si="13"/>
        <v>0</v>
      </c>
      <c r="AU14" s="298"/>
    </row>
    <row r="15" spans="1:47" s="31" customFormat="1" ht="15.95" customHeight="1">
      <c r="A15" s="771" t="s">
        <v>740</v>
      </c>
      <c r="B15" s="478">
        <f>'09'!F20</f>
        <v>13467.683999999997</v>
      </c>
      <c r="C15" s="478">
        <f>'09'!K20</f>
        <v>18682</v>
      </c>
      <c r="D15" s="158">
        <f t="shared" si="0"/>
        <v>1.3871724343992631</v>
      </c>
      <c r="E15" s="478">
        <f>'09'!F29</f>
        <v>224.18799999999999</v>
      </c>
      <c r="F15" s="478">
        <f>'09'!K29</f>
        <v>835</v>
      </c>
      <c r="G15" s="158">
        <f t="shared" si="1"/>
        <v>3.7245526076328797</v>
      </c>
      <c r="H15" s="478">
        <f>'09'!F38</f>
        <v>22813.589599999999</v>
      </c>
      <c r="I15" s="478">
        <f>'09'!K38</f>
        <v>34754</v>
      </c>
      <c r="J15" s="158">
        <f t="shared" si="2"/>
        <v>1.5233902515718087</v>
      </c>
      <c r="K15" s="478">
        <f>'09'!F44</f>
        <v>0</v>
      </c>
      <c r="L15" s="478">
        <f>'09'!K44</f>
        <v>0</v>
      </c>
      <c r="M15" s="158" t="e">
        <f t="shared" si="3"/>
        <v>#DIV/0!</v>
      </c>
      <c r="N15" s="478">
        <f>'09'!F74</f>
        <v>251.52799999999999</v>
      </c>
      <c r="O15" s="478">
        <f>'09'!K74</f>
        <v>5887.1779999999999</v>
      </c>
      <c r="P15" s="158">
        <f t="shared" si="4"/>
        <v>23.405656626697624</v>
      </c>
      <c r="Q15" s="478">
        <f>'09'!F87</f>
        <v>7108.4</v>
      </c>
      <c r="R15" s="478">
        <f>'09'!K87</f>
        <v>14371.4</v>
      </c>
      <c r="S15" s="158">
        <f t="shared" si="5"/>
        <v>2.0217489167745204</v>
      </c>
      <c r="T15" s="478">
        <f>'09'!F102</f>
        <v>2712.1279999999997</v>
      </c>
      <c r="U15" s="478">
        <f>'09'!K102</f>
        <v>11075.3</v>
      </c>
      <c r="V15" s="158">
        <f t="shared" si="6"/>
        <v>4.0836199471411376</v>
      </c>
      <c r="W15" s="478">
        <f>'09'!F126</f>
        <v>147.636</v>
      </c>
      <c r="X15" s="478">
        <f>'09'!K126</f>
        <v>3143.55</v>
      </c>
      <c r="Y15" s="158">
        <f t="shared" si="7"/>
        <v>21.29257091766236</v>
      </c>
      <c r="Z15" s="478">
        <f t="shared" si="9"/>
        <v>88748.428</v>
      </c>
      <c r="AA15" s="748"/>
      <c r="AB15" s="474"/>
      <c r="AC15" s="295"/>
      <c r="AD15" s="295">
        <f t="shared" si="10"/>
        <v>0</v>
      </c>
      <c r="AE15" s="295"/>
      <c r="AF15" s="296"/>
      <c r="AG15" s="296"/>
      <c r="AH15" s="295">
        <f t="shared" si="8"/>
        <v>0</v>
      </c>
      <c r="AI15" s="295"/>
      <c r="AJ15" s="295"/>
      <c r="AK15" s="295"/>
      <c r="AL15" s="295">
        <f t="shared" si="11"/>
        <v>0</v>
      </c>
      <c r="AM15" s="295"/>
      <c r="AN15" s="297"/>
      <c r="AO15" s="295"/>
      <c r="AP15" s="295">
        <f t="shared" si="12"/>
        <v>0</v>
      </c>
      <c r="AQ15" s="297"/>
      <c r="AR15" s="297"/>
      <c r="AS15" s="295">
        <v>9</v>
      </c>
      <c r="AT15" s="295">
        <f t="shared" si="13"/>
        <v>0</v>
      </c>
      <c r="AU15" s="299"/>
    </row>
    <row r="16" spans="1:47" s="32" customFormat="1" ht="15.95" customHeight="1">
      <c r="A16" s="771" t="s">
        <v>741</v>
      </c>
      <c r="B16" s="478">
        <f>'10'!F52</f>
        <v>63914.35839999999</v>
      </c>
      <c r="C16" s="478">
        <f>'10'!K52</f>
        <v>70982</v>
      </c>
      <c r="D16" s="158">
        <f t="shared" si="0"/>
        <v>1.1105798724563276</v>
      </c>
      <c r="E16" s="478">
        <f>'10'!F79</f>
        <v>33215.912799999998</v>
      </c>
      <c r="F16" s="478">
        <f>'10'!K79</f>
        <v>92991</v>
      </c>
      <c r="G16" s="158">
        <f t="shared" si="1"/>
        <v>2.7995918871752337</v>
      </c>
      <c r="H16" s="478">
        <f>'10'!F106</f>
        <v>55071.508799999996</v>
      </c>
      <c r="I16" s="478">
        <f>'10'!K106</f>
        <v>67962</v>
      </c>
      <c r="J16" s="158">
        <f t="shared" si="2"/>
        <v>1.2340682411083679</v>
      </c>
      <c r="K16" s="478">
        <f>'10'!F112</f>
        <v>0</v>
      </c>
      <c r="L16" s="478">
        <f>'10'!K112</f>
        <v>0</v>
      </c>
      <c r="M16" s="158" t="e">
        <f t="shared" si="3"/>
        <v>#DIV/0!</v>
      </c>
      <c r="N16" s="478">
        <f>'10'!F158</f>
        <v>11865.560000000001</v>
      </c>
      <c r="O16" s="478">
        <f>'10'!K158</f>
        <v>76099.675000000017</v>
      </c>
      <c r="P16" s="158">
        <f t="shared" si="4"/>
        <v>6.4134920728562337</v>
      </c>
      <c r="Q16" s="478">
        <f>'10'!F196</f>
        <v>14293.351999999999</v>
      </c>
      <c r="R16" s="478">
        <f>'10'!K196</f>
        <v>28114.799999999999</v>
      </c>
      <c r="S16" s="158">
        <f t="shared" si="5"/>
        <v>1.9669843714756343</v>
      </c>
      <c r="T16" s="478">
        <f>'10'!F216</f>
        <v>9372.1519999999982</v>
      </c>
      <c r="U16" s="478">
        <f>'10'!K216</f>
        <v>14235</v>
      </c>
      <c r="V16" s="158">
        <f t="shared" si="6"/>
        <v>1.5188614098448256</v>
      </c>
      <c r="W16" s="478">
        <f>'10'!F257</f>
        <v>5500.8079999999991</v>
      </c>
      <c r="X16" s="478">
        <f>'10'!K257</f>
        <v>25953.339999999997</v>
      </c>
      <c r="Y16" s="158">
        <f t="shared" si="7"/>
        <v>4.7180959597208263</v>
      </c>
      <c r="Z16" s="478">
        <f t="shared" si="9"/>
        <v>376337.81500000006</v>
      </c>
      <c r="AA16" s="748"/>
      <c r="AB16" s="474"/>
      <c r="AC16" s="295"/>
      <c r="AD16" s="295">
        <f t="shared" si="10"/>
        <v>0</v>
      </c>
      <c r="AE16" s="295"/>
      <c r="AF16" s="296"/>
      <c r="AG16" s="296"/>
      <c r="AH16" s="295">
        <f t="shared" si="8"/>
        <v>0</v>
      </c>
      <c r="AI16" s="295"/>
      <c r="AJ16" s="295"/>
      <c r="AK16" s="295"/>
      <c r="AL16" s="295">
        <f t="shared" si="11"/>
        <v>0</v>
      </c>
      <c r="AM16" s="295"/>
      <c r="AN16" s="297"/>
      <c r="AO16" s="295"/>
      <c r="AP16" s="295">
        <f t="shared" si="12"/>
        <v>0</v>
      </c>
      <c r="AQ16" s="297"/>
      <c r="AR16" s="297"/>
      <c r="AS16" s="295">
        <v>10</v>
      </c>
      <c r="AT16" s="295">
        <f t="shared" si="13"/>
        <v>0</v>
      </c>
      <c r="AU16" s="298"/>
    </row>
    <row r="17" spans="1:47" s="32" customFormat="1" ht="15.95" customHeight="1">
      <c r="A17" s="771" t="s">
        <v>742</v>
      </c>
      <c r="B17" s="478">
        <f>'11'!F22</f>
        <v>9130.4663999999993</v>
      </c>
      <c r="C17" s="478">
        <f>'11'!K22</f>
        <v>17190.5</v>
      </c>
      <c r="D17" s="158">
        <f t="shared" si="0"/>
        <v>1.8827625278813798</v>
      </c>
      <c r="E17" s="478">
        <f>'11'!F55</f>
        <v>58621.334399999992</v>
      </c>
      <c r="F17" s="478">
        <f>'11'!K55</f>
        <v>190734</v>
      </c>
      <c r="G17" s="158">
        <f t="shared" si="1"/>
        <v>3.2536618613717541</v>
      </c>
      <c r="H17" s="478">
        <f>'11'!F70</f>
        <v>29261.455199999997</v>
      </c>
      <c r="I17" s="478">
        <f>'11'!K70</f>
        <v>36444</v>
      </c>
      <c r="J17" s="158">
        <f t="shared" si="2"/>
        <v>1.2454609571160358</v>
      </c>
      <c r="K17" s="478">
        <f>'11'!F76</f>
        <v>0</v>
      </c>
      <c r="L17" s="478">
        <f>'11'!J76</f>
        <v>0</v>
      </c>
      <c r="M17" s="158" t="e">
        <f t="shared" si="3"/>
        <v>#DIV/0!</v>
      </c>
      <c r="N17" s="478">
        <f>'11'!F163</f>
        <v>17344.496000000006</v>
      </c>
      <c r="O17" s="478">
        <f>'11'!K163</f>
        <v>99733.297000000006</v>
      </c>
      <c r="P17" s="158">
        <f t="shared" si="4"/>
        <v>5.7501409669096164</v>
      </c>
      <c r="Q17" s="478">
        <f>'11'!F187</f>
        <v>16054.047999999999</v>
      </c>
      <c r="R17" s="478">
        <f>'11'!K187</f>
        <v>19721.919999999998</v>
      </c>
      <c r="S17" s="158">
        <f t="shared" si="5"/>
        <v>1.2284702275712642</v>
      </c>
      <c r="T17" s="478">
        <f>'11'!F204</f>
        <v>13352.855999999998</v>
      </c>
      <c r="U17" s="478">
        <f>'11'!K204</f>
        <v>19248</v>
      </c>
      <c r="V17" s="158">
        <f t="shared" si="6"/>
        <v>1.4414893712625976</v>
      </c>
      <c r="W17" s="478">
        <f>'11'!F239</f>
        <v>699.90399999999988</v>
      </c>
      <c r="X17" s="478">
        <f>'11'!K239</f>
        <v>13628.394999999999</v>
      </c>
      <c r="Y17" s="158">
        <f t="shared" si="7"/>
        <v>19.471806133412585</v>
      </c>
      <c r="Z17" s="478">
        <f t="shared" si="9"/>
        <v>396700.11200000002</v>
      </c>
      <c r="AA17" s="748"/>
      <c r="AB17" s="474"/>
      <c r="AC17" s="295"/>
      <c r="AD17" s="295">
        <f t="shared" si="10"/>
        <v>0</v>
      </c>
      <c r="AE17" s="295"/>
      <c r="AF17" s="296"/>
      <c r="AG17" s="296"/>
      <c r="AH17" s="295">
        <f t="shared" si="8"/>
        <v>0</v>
      </c>
      <c r="AI17" s="295"/>
      <c r="AJ17" s="295"/>
      <c r="AK17" s="295"/>
      <c r="AL17" s="295">
        <f t="shared" si="11"/>
        <v>0</v>
      </c>
      <c r="AM17" s="295"/>
      <c r="AN17" s="297"/>
      <c r="AO17" s="295"/>
      <c r="AP17" s="295">
        <f t="shared" si="12"/>
        <v>0</v>
      </c>
      <c r="AQ17" s="297"/>
      <c r="AR17" s="297"/>
      <c r="AS17" s="295">
        <v>11</v>
      </c>
      <c r="AT17" s="295">
        <f t="shared" si="13"/>
        <v>0</v>
      </c>
      <c r="AU17" s="298"/>
    </row>
    <row r="18" spans="1:47" s="32" customFormat="1" ht="15.95" customHeight="1">
      <c r="A18" s="771" t="s">
        <v>743</v>
      </c>
      <c r="B18" s="478">
        <f>'12'!F14</f>
        <v>2442.0087999999996</v>
      </c>
      <c r="C18" s="478">
        <f>'12'!K14</f>
        <v>3195.15</v>
      </c>
      <c r="D18" s="158">
        <f t="shared" si="0"/>
        <v>1.3084105184223744</v>
      </c>
      <c r="E18" s="478">
        <f>'12'!F29</f>
        <v>15367.267199999998</v>
      </c>
      <c r="F18" s="478">
        <f>'12'!K29</f>
        <v>49983</v>
      </c>
      <c r="G18" s="158">
        <f t="shared" si="1"/>
        <v>3.2525626937755079</v>
      </c>
      <c r="H18" s="478">
        <f>'12'!F41</f>
        <v>12538.124</v>
      </c>
      <c r="I18" s="478">
        <f>'12'!K41</f>
        <v>15456</v>
      </c>
      <c r="J18" s="158">
        <f t="shared" si="2"/>
        <v>1.2327203016974468</v>
      </c>
      <c r="K18" s="478">
        <f>'12'!F46</f>
        <v>3827.5999999999995</v>
      </c>
      <c r="L18" s="478">
        <f>'12'!K46</f>
        <v>1580</v>
      </c>
      <c r="M18" s="158">
        <f t="shared" si="3"/>
        <v>0.41279130525655772</v>
      </c>
      <c r="N18" s="478">
        <f>'12'!F97</f>
        <v>21396.284000000003</v>
      </c>
      <c r="O18" s="478">
        <f>'12'!K97</f>
        <v>172570.97900000002</v>
      </c>
      <c r="P18" s="158">
        <f t="shared" si="4"/>
        <v>8.0654649657856474</v>
      </c>
      <c r="Q18" s="478">
        <f>'12'!F108</f>
        <v>13582.511999999999</v>
      </c>
      <c r="R18" s="478">
        <f>'12'!K108</f>
        <v>8906</v>
      </c>
      <c r="S18" s="158">
        <f t="shared" si="5"/>
        <v>0.65569608920647382</v>
      </c>
      <c r="T18" s="478">
        <f>'12'!F118</f>
        <v>4811.84</v>
      </c>
      <c r="U18" s="478">
        <f>'12'!K118</f>
        <v>4773.6000000000004</v>
      </c>
      <c r="V18" s="158">
        <f t="shared" si="6"/>
        <v>0.99205293609097567</v>
      </c>
      <c r="W18" s="478">
        <f>'12'!F131</f>
        <v>0</v>
      </c>
      <c r="X18" s="478">
        <f>'12'!K131</f>
        <v>0</v>
      </c>
      <c r="Y18" s="158" t="e">
        <f t="shared" si="7"/>
        <v>#DIV/0!</v>
      </c>
      <c r="Z18" s="478">
        <f t="shared" si="9"/>
        <v>256464.72900000002</v>
      </c>
      <c r="AA18" s="748"/>
      <c r="AB18" s="474"/>
      <c r="AC18" s="295"/>
      <c r="AD18" s="295">
        <f t="shared" si="10"/>
        <v>0</v>
      </c>
      <c r="AE18" s="295"/>
      <c r="AF18" s="296"/>
      <c r="AG18" s="296"/>
      <c r="AH18" s="295">
        <f t="shared" si="8"/>
        <v>0</v>
      </c>
      <c r="AI18" s="295"/>
      <c r="AJ18" s="295"/>
      <c r="AK18" s="295"/>
      <c r="AL18" s="295">
        <f t="shared" si="11"/>
        <v>0</v>
      </c>
      <c r="AM18" s="295"/>
      <c r="AN18" s="297"/>
      <c r="AO18" s="295"/>
      <c r="AP18" s="295">
        <f t="shared" si="12"/>
        <v>0</v>
      </c>
      <c r="AQ18" s="297"/>
      <c r="AR18" s="297"/>
      <c r="AS18" s="295">
        <v>12</v>
      </c>
      <c r="AT18" s="295">
        <f t="shared" si="13"/>
        <v>0</v>
      </c>
      <c r="AU18" s="298"/>
    </row>
    <row r="19" spans="1:47" s="32" customFormat="1" ht="15.95" customHeight="1">
      <c r="A19" s="771" t="s">
        <v>744</v>
      </c>
      <c r="B19" s="478">
        <f>'13'!F20</f>
        <v>12339.088799999998</v>
      </c>
      <c r="C19" s="478">
        <f>'13'!K20</f>
        <v>14997</v>
      </c>
      <c r="D19" s="158">
        <f t="shared" si="0"/>
        <v>1.2154057923628852</v>
      </c>
      <c r="E19" s="478">
        <f>'13'!F35</f>
        <v>13503.772799999999</v>
      </c>
      <c r="F19" s="478">
        <f>'13'!K35</f>
        <v>45750</v>
      </c>
      <c r="G19" s="158">
        <f t="shared" si="1"/>
        <v>3.3879420720111644</v>
      </c>
      <c r="H19" s="478">
        <f>'13'!F47</f>
        <v>5510.6503999999995</v>
      </c>
      <c r="I19" s="478">
        <f>'13'!K47</f>
        <v>6906</v>
      </c>
      <c r="J19" s="158">
        <f t="shared" si="2"/>
        <v>1.2532096029898758</v>
      </c>
      <c r="K19" s="478">
        <f>'13'!F53</f>
        <v>3827.5999999999995</v>
      </c>
      <c r="L19" s="478">
        <f>'13'!K53</f>
        <v>1580</v>
      </c>
      <c r="M19" s="158">
        <f t="shared" si="3"/>
        <v>0.41279130525655772</v>
      </c>
      <c r="N19" s="478">
        <f>'13'!F104</f>
        <v>11925.707999999997</v>
      </c>
      <c r="O19" s="478">
        <f>'13'!K104</f>
        <v>49945.233</v>
      </c>
      <c r="P19" s="158">
        <f t="shared" si="4"/>
        <v>4.1880308489860738</v>
      </c>
      <c r="Q19" s="478">
        <f>'13'!F115</f>
        <v>382.76</v>
      </c>
      <c r="R19" s="478">
        <f>'13'!K115</f>
        <v>1098.4000000000001</v>
      </c>
      <c r="S19" s="158">
        <f t="shared" si="5"/>
        <v>2.8696833524924239</v>
      </c>
      <c r="T19" s="478">
        <f>'13'!F134</f>
        <v>6233.5199999999995</v>
      </c>
      <c r="U19" s="478">
        <f>'13'!K134</f>
        <v>13356.5</v>
      </c>
      <c r="V19" s="158">
        <f t="shared" si="6"/>
        <v>2.1426898445821947</v>
      </c>
      <c r="W19" s="478">
        <f>'13'!F168</f>
        <v>1142.8119999999999</v>
      </c>
      <c r="X19" s="478">
        <f>'13'!K168</f>
        <v>13229.355</v>
      </c>
      <c r="Y19" s="158">
        <f t="shared" si="7"/>
        <v>11.576142882643865</v>
      </c>
      <c r="Z19" s="478">
        <f t="shared" si="9"/>
        <v>146862.48800000001</v>
      </c>
      <c r="AA19" s="748"/>
      <c r="AB19" s="474"/>
      <c r="AC19" s="295"/>
      <c r="AD19" s="295">
        <f t="shared" si="10"/>
        <v>0</v>
      </c>
      <c r="AE19" s="295"/>
      <c r="AF19" s="296"/>
      <c r="AG19" s="296"/>
      <c r="AH19" s="295">
        <f t="shared" si="8"/>
        <v>0</v>
      </c>
      <c r="AI19" s="295"/>
      <c r="AJ19" s="295"/>
      <c r="AK19" s="295"/>
      <c r="AL19" s="295">
        <f t="shared" si="11"/>
        <v>0</v>
      </c>
      <c r="AM19" s="295"/>
      <c r="AN19" s="297"/>
      <c r="AO19" s="295"/>
      <c r="AP19" s="295">
        <f t="shared" si="12"/>
        <v>0</v>
      </c>
      <c r="AQ19" s="297"/>
      <c r="AR19" s="297"/>
      <c r="AS19" s="295">
        <v>13</v>
      </c>
      <c r="AT19" s="295">
        <f t="shared" si="13"/>
        <v>0</v>
      </c>
      <c r="AU19" s="298"/>
    </row>
    <row r="20" spans="1:47" s="32" customFormat="1" ht="15.95" customHeight="1">
      <c r="A20" s="771" t="s">
        <v>745</v>
      </c>
      <c r="B20" s="478">
        <f>'14'!F20</f>
        <v>9036.4167999999991</v>
      </c>
      <c r="C20" s="478">
        <f>'14'!K20</f>
        <v>14792</v>
      </c>
      <c r="D20" s="158">
        <f t="shared" si="0"/>
        <v>1.6369320193375765</v>
      </c>
      <c r="E20" s="478">
        <f>'14'!F35</f>
        <v>12426.576799999997</v>
      </c>
      <c r="F20" s="478">
        <f>'14'!K35</f>
        <v>34305</v>
      </c>
      <c r="G20" s="158">
        <f t="shared" si="1"/>
        <v>2.7606154576697266</v>
      </c>
      <c r="H20" s="478">
        <f>'14'!F41</f>
        <v>5380.5119999999997</v>
      </c>
      <c r="I20" s="478">
        <f>'14'!K41</f>
        <v>9454</v>
      </c>
      <c r="J20" s="158">
        <f t="shared" si="2"/>
        <v>1.7570818539202218</v>
      </c>
      <c r="K20" s="478">
        <f>'14'!F47</f>
        <v>5577.3599999999988</v>
      </c>
      <c r="L20" s="478">
        <f>'14'!K47</f>
        <v>2370</v>
      </c>
      <c r="M20" s="158">
        <f t="shared" si="3"/>
        <v>0.42493222599939767</v>
      </c>
      <c r="N20" s="478">
        <f>'14'!F98</f>
        <v>10529.1808</v>
      </c>
      <c r="O20" s="478">
        <f>'14'!K98</f>
        <v>88958.322</v>
      </c>
      <c r="P20" s="158">
        <f t="shared" si="4"/>
        <v>8.4487410454572114</v>
      </c>
      <c r="Q20" s="478">
        <f>'14'!F121</f>
        <v>6567.0679999999993</v>
      </c>
      <c r="R20" s="478">
        <f>'14'!K121</f>
        <v>8439.4</v>
      </c>
      <c r="S20" s="158">
        <f t="shared" si="5"/>
        <v>1.2851092755549358</v>
      </c>
      <c r="T20" s="478">
        <f>'14'!F134</f>
        <v>8366.0399999999991</v>
      </c>
      <c r="U20" s="478">
        <f>'14'!K134</f>
        <v>10775</v>
      </c>
      <c r="V20" s="158">
        <f t="shared" si="6"/>
        <v>1.2879450731767959</v>
      </c>
      <c r="W20" s="478">
        <f>'14'!F146</f>
        <v>0</v>
      </c>
      <c r="X20" s="478">
        <f>'14'!K146</f>
        <v>0</v>
      </c>
      <c r="Y20" s="158" t="e">
        <f t="shared" si="7"/>
        <v>#DIV/0!</v>
      </c>
      <c r="Z20" s="478">
        <f t="shared" si="9"/>
        <v>169093.72199999998</v>
      </c>
      <c r="AA20" s="748"/>
      <c r="AB20" s="474"/>
      <c r="AC20" s="295"/>
      <c r="AD20" s="295">
        <f t="shared" si="10"/>
        <v>0</v>
      </c>
      <c r="AE20" s="295"/>
      <c r="AF20" s="296"/>
      <c r="AG20" s="296"/>
      <c r="AH20" s="295">
        <f t="shared" si="8"/>
        <v>0</v>
      </c>
      <c r="AI20" s="295"/>
      <c r="AJ20" s="295"/>
      <c r="AK20" s="295"/>
      <c r="AL20" s="295">
        <f t="shared" si="11"/>
        <v>0</v>
      </c>
      <c r="AM20" s="295"/>
      <c r="AN20" s="297"/>
      <c r="AO20" s="295"/>
      <c r="AP20" s="295">
        <f t="shared" si="12"/>
        <v>0</v>
      </c>
      <c r="AQ20" s="297"/>
      <c r="AR20" s="297"/>
      <c r="AS20" s="295">
        <v>14</v>
      </c>
      <c r="AT20" s="295">
        <f t="shared" si="13"/>
        <v>0</v>
      </c>
      <c r="AU20" s="298"/>
    </row>
    <row r="21" spans="1:47" s="32" customFormat="1" ht="15.95" customHeight="1">
      <c r="A21" s="771" t="s">
        <v>746</v>
      </c>
      <c r="B21" s="478">
        <f>'15'!F18</f>
        <v>32321.347999999998</v>
      </c>
      <c r="C21" s="478">
        <f>'15'!K18</f>
        <v>18503.5</v>
      </c>
      <c r="D21" s="158">
        <f t="shared" si="0"/>
        <v>0.57248540500229139</v>
      </c>
      <c r="E21" s="478">
        <f>'15'!F39</f>
        <v>17695.541599999997</v>
      </c>
      <c r="F21" s="478">
        <f>'15'!K39</f>
        <v>47994</v>
      </c>
      <c r="G21" s="158">
        <f t="shared" si="1"/>
        <v>2.7122085938302112</v>
      </c>
      <c r="H21" s="478">
        <f>'15'!F45</f>
        <v>10695.407999999999</v>
      </c>
      <c r="I21" s="478">
        <f>'15'!K45</f>
        <v>12480</v>
      </c>
      <c r="J21" s="158">
        <f t="shared" si="2"/>
        <v>1.1668559067592372</v>
      </c>
      <c r="K21" s="478">
        <f>'15'!F51</f>
        <v>0</v>
      </c>
      <c r="L21" s="478">
        <f>'15'!K51</f>
        <v>0</v>
      </c>
      <c r="M21" s="158" t="e">
        <f t="shared" si="3"/>
        <v>#DIV/0!</v>
      </c>
      <c r="N21" s="478">
        <f>'15'!F122</f>
        <v>25223.883999999998</v>
      </c>
      <c r="O21" s="478">
        <f>'15'!K122</f>
        <v>90424.682000000015</v>
      </c>
      <c r="P21" s="158">
        <f t="shared" si="4"/>
        <v>3.5848833589624824</v>
      </c>
      <c r="Q21" s="478">
        <f>'15'!F161</f>
        <v>33901.599999999999</v>
      </c>
      <c r="R21" s="478">
        <f>'15'!K161</f>
        <v>46432.6</v>
      </c>
      <c r="S21" s="158">
        <f t="shared" si="5"/>
        <v>1.3696285721027917</v>
      </c>
      <c r="T21" s="478">
        <f>'15'!F193</f>
        <v>15669.100799999998</v>
      </c>
      <c r="U21" s="478">
        <f>'15'!K193</f>
        <v>27322.880000000001</v>
      </c>
      <c r="V21" s="158">
        <f t="shared" si="6"/>
        <v>1.7437426913483129</v>
      </c>
      <c r="W21" s="478">
        <f>'15'!F225</f>
        <v>12434.231999999998</v>
      </c>
      <c r="X21" s="478">
        <f>'15'!K225</f>
        <v>44464.580000000009</v>
      </c>
      <c r="Y21" s="158">
        <f t="shared" si="7"/>
        <v>3.5759812105805984</v>
      </c>
      <c r="Z21" s="478">
        <f t="shared" si="9"/>
        <v>287622.24200000003</v>
      </c>
      <c r="AA21" s="748"/>
      <c r="AB21" s="474"/>
      <c r="AC21" s="295"/>
      <c r="AD21" s="295">
        <f t="shared" si="10"/>
        <v>0</v>
      </c>
      <c r="AE21" s="295"/>
      <c r="AF21" s="296"/>
      <c r="AG21" s="296"/>
      <c r="AH21" s="295">
        <f t="shared" si="8"/>
        <v>0</v>
      </c>
      <c r="AI21" s="295"/>
      <c r="AJ21" s="295"/>
      <c r="AK21" s="295"/>
      <c r="AL21" s="295">
        <f t="shared" si="11"/>
        <v>0</v>
      </c>
      <c r="AM21" s="295"/>
      <c r="AN21" s="297"/>
      <c r="AO21" s="295"/>
      <c r="AP21" s="295">
        <f t="shared" si="12"/>
        <v>0</v>
      </c>
      <c r="AQ21" s="297"/>
      <c r="AR21" s="297"/>
      <c r="AS21" s="295">
        <v>15</v>
      </c>
      <c r="AT21" s="295">
        <f t="shared" si="13"/>
        <v>0</v>
      </c>
      <c r="AU21" s="298"/>
    </row>
    <row r="22" spans="1:47" s="31" customFormat="1" ht="15.95" customHeight="1">
      <c r="A22" s="771" t="s">
        <v>747</v>
      </c>
      <c r="B22" s="478">
        <f>'16'!F14</f>
        <v>28626.073599999996</v>
      </c>
      <c r="C22" s="478">
        <f>'16'!K14</f>
        <v>15112</v>
      </c>
      <c r="D22" s="158">
        <f t="shared" si="0"/>
        <v>0.5279103313700696</v>
      </c>
      <c r="E22" s="478">
        <f>'16'!F23</f>
        <v>15582.706399999999</v>
      </c>
      <c r="F22" s="478">
        <f>'16'!K23</f>
        <v>34310</v>
      </c>
      <c r="G22" s="158">
        <f t="shared" si="1"/>
        <v>2.2017998105900269</v>
      </c>
      <c r="H22" s="478">
        <f>'16'!F35</f>
        <v>23146.044000000002</v>
      </c>
      <c r="I22" s="478">
        <f>'16'!K35</f>
        <v>26620</v>
      </c>
      <c r="J22" s="158">
        <f t="shared" si="2"/>
        <v>1.1500885421284086</v>
      </c>
      <c r="K22" s="478">
        <f>'16'!I35</f>
        <v>0</v>
      </c>
      <c r="L22" s="478">
        <f>'16'!N35</f>
        <v>0</v>
      </c>
      <c r="M22" s="158" t="e">
        <f t="shared" si="3"/>
        <v>#DIV/0!</v>
      </c>
      <c r="N22" s="478">
        <f>'16'!F122</f>
        <v>27443.892000000003</v>
      </c>
      <c r="O22" s="478">
        <f>'16'!K122</f>
        <v>145265.897</v>
      </c>
      <c r="P22" s="158">
        <f t="shared" si="4"/>
        <v>5.2931959140489253</v>
      </c>
      <c r="Q22" s="478">
        <f>'16'!F147</f>
        <v>35115.495999999992</v>
      </c>
      <c r="R22" s="478">
        <f>'16'!K147</f>
        <v>38347</v>
      </c>
      <c r="S22" s="158">
        <f t="shared" si="5"/>
        <v>1.0920250136862657</v>
      </c>
      <c r="T22" s="478">
        <f>'16'!F155</f>
        <v>1695.08</v>
      </c>
      <c r="U22" s="478">
        <f>'16'!K155</f>
        <v>7928</v>
      </c>
      <c r="V22" s="158">
        <f t="shared" si="6"/>
        <v>4.6770653892441656</v>
      </c>
      <c r="W22" s="478">
        <f>'16'!F170</f>
        <v>0</v>
      </c>
      <c r="X22" s="478">
        <f>'16'!K170</f>
        <v>0</v>
      </c>
      <c r="Y22" s="158" t="e">
        <f t="shared" si="7"/>
        <v>#DIV/0!</v>
      </c>
      <c r="Z22" s="478">
        <f t="shared" si="9"/>
        <v>267582.897</v>
      </c>
      <c r="AA22" s="748"/>
      <c r="AB22" s="474"/>
      <c r="AC22" s="295"/>
      <c r="AD22" s="295">
        <f t="shared" si="10"/>
        <v>0</v>
      </c>
      <c r="AE22" s="295"/>
      <c r="AF22" s="296"/>
      <c r="AG22" s="296"/>
      <c r="AH22" s="295">
        <f t="shared" si="8"/>
        <v>0</v>
      </c>
      <c r="AI22" s="295"/>
      <c r="AJ22" s="295"/>
      <c r="AK22" s="295"/>
      <c r="AL22" s="295">
        <f t="shared" si="11"/>
        <v>0</v>
      </c>
      <c r="AM22" s="295"/>
      <c r="AN22" s="297"/>
      <c r="AO22" s="295"/>
      <c r="AP22" s="295">
        <f t="shared" si="12"/>
        <v>0</v>
      </c>
      <c r="AQ22" s="297"/>
      <c r="AR22" s="297"/>
      <c r="AS22" s="295">
        <v>16</v>
      </c>
      <c r="AT22" s="295">
        <f t="shared" si="13"/>
        <v>0</v>
      </c>
      <c r="AU22" s="299"/>
    </row>
    <row r="23" spans="1:47" s="32" customFormat="1" ht="15.95" customHeight="1">
      <c r="A23" s="771" t="s">
        <v>748</v>
      </c>
      <c r="B23" s="478">
        <f>'17'!F26</f>
        <v>48740.6584</v>
      </c>
      <c r="C23" s="478">
        <f>'17'!K26</f>
        <v>36991.5</v>
      </c>
      <c r="D23" s="158">
        <f t="shared" si="0"/>
        <v>0.75894543106951551</v>
      </c>
      <c r="E23" s="478">
        <f>'17'!F41</f>
        <v>49937.056799999998</v>
      </c>
      <c r="F23" s="478">
        <f>'17'!K41</f>
        <v>137015</v>
      </c>
      <c r="G23" s="158">
        <f t="shared" si="1"/>
        <v>2.7437540131520128</v>
      </c>
      <c r="H23" s="478">
        <f>'17'!F65</f>
        <v>63210.079999999994</v>
      </c>
      <c r="I23" s="478">
        <f>'17'!K65</f>
        <v>74542</v>
      </c>
      <c r="J23" s="158">
        <f t="shared" si="2"/>
        <v>1.1792739385870104</v>
      </c>
      <c r="K23" s="478">
        <f>'17'!I65</f>
        <v>0</v>
      </c>
      <c r="L23" s="478">
        <f>'17'!N65</f>
        <v>0</v>
      </c>
      <c r="M23" s="158" t="e">
        <f t="shared" si="3"/>
        <v>#DIV/0!</v>
      </c>
      <c r="N23" s="478">
        <f>'17'!F118</f>
        <v>26443.248</v>
      </c>
      <c r="O23" s="478">
        <f>'17'!K118</f>
        <v>168933.16400000002</v>
      </c>
      <c r="P23" s="158">
        <f t="shared" si="4"/>
        <v>6.3885179309289093</v>
      </c>
      <c r="Q23" s="478">
        <f>'17'!F151</f>
        <v>19487.951999999997</v>
      </c>
      <c r="R23" s="478">
        <f>'17'!K151</f>
        <v>22751.4</v>
      </c>
      <c r="S23" s="158">
        <f t="shared" si="5"/>
        <v>1.1674597720684043</v>
      </c>
      <c r="T23" s="478">
        <f>'17'!F162</f>
        <v>5205.5359999999991</v>
      </c>
      <c r="U23" s="478">
        <f>'17'!K162</f>
        <v>12917.2</v>
      </c>
      <c r="V23" s="158">
        <f t="shared" si="6"/>
        <v>2.4814351490413289</v>
      </c>
      <c r="W23" s="478">
        <f>'17'!F191</f>
        <v>13888.720000000001</v>
      </c>
      <c r="X23" s="478">
        <f>'17'!K191</f>
        <v>79404.98000000001</v>
      </c>
      <c r="Y23" s="158">
        <f t="shared" si="7"/>
        <v>5.7172280814934711</v>
      </c>
      <c r="Z23" s="478">
        <f t="shared" si="9"/>
        <v>532555.24400000006</v>
      </c>
      <c r="AA23" s="748"/>
      <c r="AB23" s="474"/>
      <c r="AC23" s="295"/>
      <c r="AD23" s="295">
        <f t="shared" si="10"/>
        <v>0</v>
      </c>
      <c r="AE23" s="295"/>
      <c r="AF23" s="296"/>
      <c r="AG23" s="296"/>
      <c r="AH23" s="295">
        <f t="shared" si="8"/>
        <v>0</v>
      </c>
      <c r="AI23" s="295"/>
      <c r="AJ23" s="295"/>
      <c r="AK23" s="295"/>
      <c r="AL23" s="295">
        <f t="shared" si="11"/>
        <v>0</v>
      </c>
      <c r="AM23" s="295"/>
      <c r="AN23" s="297"/>
      <c r="AO23" s="295"/>
      <c r="AP23" s="295">
        <f t="shared" si="12"/>
        <v>0</v>
      </c>
      <c r="AQ23" s="297"/>
      <c r="AR23" s="297"/>
      <c r="AS23" s="295">
        <v>17</v>
      </c>
      <c r="AT23" s="295">
        <f t="shared" si="13"/>
        <v>0</v>
      </c>
      <c r="AU23" s="298"/>
    </row>
    <row r="24" spans="1:47" s="32" customFormat="1" ht="15.95" customHeight="1">
      <c r="A24" s="771" t="s">
        <v>749</v>
      </c>
      <c r="B24" s="478">
        <f>'18'!F18</f>
        <v>33336.2088</v>
      </c>
      <c r="C24" s="478">
        <f>'18'!K18</f>
        <v>17268</v>
      </c>
      <c r="D24" s="158">
        <f t="shared" si="0"/>
        <v>0.51799531565209056</v>
      </c>
      <c r="E24" s="478">
        <f>'18'!F33</f>
        <v>23430.379999999997</v>
      </c>
      <c r="F24" s="478">
        <f>'18'!K33</f>
        <v>63310</v>
      </c>
      <c r="G24" s="158">
        <f t="shared" si="1"/>
        <v>2.7020475126737171</v>
      </c>
      <c r="H24" s="478">
        <f>'18'!F42</f>
        <v>10408.8848</v>
      </c>
      <c r="I24" s="478">
        <f>'18'!K42</f>
        <v>12218</v>
      </c>
      <c r="J24" s="158">
        <f t="shared" si="2"/>
        <v>1.1738049017508581</v>
      </c>
      <c r="K24" s="478">
        <f>'18'!I42</f>
        <v>0</v>
      </c>
      <c r="L24" s="478">
        <f>'18'!N42</f>
        <v>0</v>
      </c>
      <c r="M24" s="158" t="e">
        <f t="shared" si="3"/>
        <v>#DIV/0!</v>
      </c>
      <c r="N24" s="478">
        <f>'18'!F106</f>
        <v>5265.6840000000002</v>
      </c>
      <c r="O24" s="478">
        <f>'18'!K106</f>
        <v>68362.56700000001</v>
      </c>
      <c r="P24" s="158">
        <f t="shared" si="4"/>
        <v>12.982656574150672</v>
      </c>
      <c r="Q24" s="478">
        <f>'18'!F153</f>
        <v>22364.12</v>
      </c>
      <c r="R24" s="478">
        <f>'18'!K153</f>
        <v>20090</v>
      </c>
      <c r="S24" s="158">
        <f t="shared" si="5"/>
        <v>0.89831390638218722</v>
      </c>
      <c r="T24" s="478">
        <f>'18'!F186</f>
        <v>36416.879999999997</v>
      </c>
      <c r="U24" s="478">
        <f>'18'!K186</f>
        <v>67523.199999999997</v>
      </c>
      <c r="V24" s="158">
        <f t="shared" si="6"/>
        <v>1.8541731197181088</v>
      </c>
      <c r="W24" s="478">
        <f>'18'!F223</f>
        <v>22714.072</v>
      </c>
      <c r="X24" s="478">
        <f>'18'!K223</f>
        <v>116305.28</v>
      </c>
      <c r="Y24" s="158">
        <f t="shared" si="7"/>
        <v>5.1204064158993594</v>
      </c>
      <c r="Z24" s="478">
        <f t="shared" si="9"/>
        <v>365077.04700000002</v>
      </c>
      <c r="AA24" s="748"/>
      <c r="AB24" s="475"/>
      <c r="AC24" s="296"/>
      <c r="AD24" s="295"/>
      <c r="AE24" s="295"/>
      <c r="AF24" s="296"/>
      <c r="AG24" s="296"/>
      <c r="AH24" s="295">
        <f t="shared" si="8"/>
        <v>0</v>
      </c>
      <c r="AI24" s="295"/>
      <c r="AJ24" s="295"/>
      <c r="AK24" s="295"/>
      <c r="AL24" s="295">
        <f t="shared" si="11"/>
        <v>0</v>
      </c>
      <c r="AM24" s="295"/>
      <c r="AN24" s="300"/>
      <c r="AO24" s="301"/>
      <c r="AP24" s="295">
        <f t="shared" si="12"/>
        <v>0</v>
      </c>
      <c r="AQ24" s="302"/>
      <c r="AR24" s="302"/>
      <c r="AS24" s="296">
        <v>18</v>
      </c>
      <c r="AT24" s="295">
        <f t="shared" si="13"/>
        <v>0</v>
      </c>
      <c r="AU24" s="303"/>
    </row>
    <row r="25" spans="1:47" s="32" customFormat="1" ht="15.95" customHeight="1">
      <c r="A25" s="771" t="s">
        <v>750</v>
      </c>
      <c r="B25" s="478">
        <f>'19'!F14</f>
        <v>0</v>
      </c>
      <c r="C25" s="478">
        <f>'19'!K14</f>
        <v>0</v>
      </c>
      <c r="D25" s="158" t="e">
        <f t="shared" si="0"/>
        <v>#DIV/0!</v>
      </c>
      <c r="E25" s="478">
        <f>'19'!F23</f>
        <v>0</v>
      </c>
      <c r="F25" s="478">
        <f>'19'!K23</f>
        <v>0</v>
      </c>
      <c r="G25" s="158" t="e">
        <f t="shared" si="1"/>
        <v>#DIV/0!</v>
      </c>
      <c r="H25" s="478">
        <f>'19'!F29</f>
        <v>0</v>
      </c>
      <c r="I25" s="478">
        <f>'19'!K29</f>
        <v>0</v>
      </c>
      <c r="J25" s="158" t="e">
        <f t="shared" si="2"/>
        <v>#DIV/0!</v>
      </c>
      <c r="K25" s="478">
        <f>'19'!F35</f>
        <v>437.43999999999994</v>
      </c>
      <c r="L25" s="478">
        <f>'19'!K35</f>
        <v>1185</v>
      </c>
      <c r="M25" s="158">
        <f t="shared" si="3"/>
        <v>2.70894294074616</v>
      </c>
      <c r="N25" s="478">
        <f>'19'!F101</f>
        <v>33750.683199999999</v>
      </c>
      <c r="O25" s="478">
        <f>'19'!K101</f>
        <v>232770.63500000001</v>
      </c>
      <c r="P25" s="158">
        <f t="shared" si="4"/>
        <v>6.89676809268264</v>
      </c>
      <c r="Q25" s="478">
        <f>'19'!F133</f>
        <v>39555.512000000002</v>
      </c>
      <c r="R25" s="478">
        <f>'19'!K133</f>
        <v>36288</v>
      </c>
      <c r="S25" s="158">
        <f t="shared" si="5"/>
        <v>0.9173942685914418</v>
      </c>
      <c r="T25" s="478">
        <f>'19'!F160</f>
        <v>36996.487999999998</v>
      </c>
      <c r="U25" s="478">
        <f>'19'!K160</f>
        <v>65631</v>
      </c>
      <c r="V25" s="158">
        <f t="shared" si="6"/>
        <v>1.7739791949981849</v>
      </c>
      <c r="W25" s="478">
        <f>'19'!F193</f>
        <v>1367</v>
      </c>
      <c r="X25" s="478">
        <f>'19'!K193</f>
        <v>7315.65</v>
      </c>
      <c r="Y25" s="158">
        <f t="shared" si="7"/>
        <v>5.3516093635698612</v>
      </c>
      <c r="Z25" s="478">
        <f t="shared" si="9"/>
        <v>343190.28500000003</v>
      </c>
      <c r="AA25" s="748"/>
      <c r="AB25" s="475"/>
      <c r="AC25" s="296"/>
      <c r="AD25" s="295">
        <f t="shared" ref="AD25:AD26" si="14">AC25</f>
        <v>0</v>
      </c>
      <c r="AE25" s="295"/>
      <c r="AF25" s="296"/>
      <c r="AG25" s="296"/>
      <c r="AH25" s="295">
        <f t="shared" si="8"/>
        <v>0</v>
      </c>
      <c r="AI25" s="295"/>
      <c r="AJ25" s="295"/>
      <c r="AK25" s="295"/>
      <c r="AL25" s="295">
        <f t="shared" si="11"/>
        <v>0</v>
      </c>
      <c r="AM25" s="295"/>
      <c r="AN25" s="297"/>
      <c r="AO25" s="295"/>
      <c r="AP25" s="295">
        <f t="shared" si="12"/>
        <v>0</v>
      </c>
      <c r="AQ25" s="297"/>
      <c r="AR25" s="297"/>
      <c r="AS25" s="295">
        <v>19</v>
      </c>
      <c r="AT25" s="295">
        <f t="shared" si="13"/>
        <v>0</v>
      </c>
      <c r="AU25" s="298"/>
    </row>
    <row r="26" spans="1:47" s="32" customFormat="1" ht="15.95" customHeight="1">
      <c r="A26" s="772" t="s">
        <v>751</v>
      </c>
      <c r="B26" s="751">
        <f>'20'!F26</f>
        <v>37034.763999999996</v>
      </c>
      <c r="C26" s="751">
        <f>'20'!K26</f>
        <v>25189</v>
      </c>
      <c r="D26" s="773">
        <f t="shared" si="0"/>
        <v>0.68014474184309648</v>
      </c>
      <c r="E26" s="751">
        <f>'20'!F65</f>
        <v>81633.959199999998</v>
      </c>
      <c r="F26" s="751">
        <f>'20'!K65</f>
        <v>195190</v>
      </c>
      <c r="G26" s="773">
        <f t="shared" si="1"/>
        <v>2.391039242893906</v>
      </c>
      <c r="H26" s="751">
        <f>'20'!F77</f>
        <v>70445.337599999999</v>
      </c>
      <c r="I26" s="751">
        <f>'20'!K77</f>
        <v>67018</v>
      </c>
      <c r="J26" s="773">
        <f t="shared" si="2"/>
        <v>0.95134755944444505</v>
      </c>
      <c r="K26" s="751">
        <f>'20'!I77</f>
        <v>0</v>
      </c>
      <c r="L26" s="751">
        <f>'20'!N77</f>
        <v>0</v>
      </c>
      <c r="M26" s="773" t="e">
        <f t="shared" si="3"/>
        <v>#DIV/0!</v>
      </c>
      <c r="N26" s="751">
        <f>'20'!F111</f>
        <v>8273.0840000000007</v>
      </c>
      <c r="O26" s="751">
        <f>'20'!K111</f>
        <v>55790.969999999994</v>
      </c>
      <c r="P26" s="773">
        <f t="shared" si="4"/>
        <v>6.7436726135018077</v>
      </c>
      <c r="Q26" s="751">
        <f>'20'!F133</f>
        <v>10536.835999999999</v>
      </c>
      <c r="R26" s="751">
        <f>'20'!K133</f>
        <v>22484.6</v>
      </c>
      <c r="S26" s="773">
        <f t="shared" si="5"/>
        <v>2.133904333331182</v>
      </c>
      <c r="T26" s="751">
        <f>'20'!F155</f>
        <v>23528.803999999996</v>
      </c>
      <c r="U26" s="751">
        <f>'20'!K155</f>
        <v>69193</v>
      </c>
      <c r="V26" s="773">
        <f t="shared" si="6"/>
        <v>2.9407784603076301</v>
      </c>
      <c r="W26" s="751">
        <f>'20'!F166</f>
        <v>0</v>
      </c>
      <c r="X26" s="751">
        <f>'20'!K166</f>
        <v>0</v>
      </c>
      <c r="Y26" s="773" t="e">
        <f t="shared" si="7"/>
        <v>#DIV/0!</v>
      </c>
      <c r="Z26" s="751">
        <f t="shared" si="9"/>
        <v>434865.56999999995</v>
      </c>
      <c r="AA26" s="748"/>
      <c r="AB26" s="476"/>
      <c r="AC26" s="304"/>
      <c r="AD26" s="304">
        <f t="shared" si="14"/>
        <v>0</v>
      </c>
      <c r="AE26" s="304"/>
      <c r="AF26" s="752"/>
      <c r="AG26" s="752"/>
      <c r="AH26" s="304">
        <f t="shared" si="8"/>
        <v>0</v>
      </c>
      <c r="AI26" s="304"/>
      <c r="AJ26" s="304"/>
      <c r="AK26" s="304"/>
      <c r="AL26" s="304">
        <f t="shared" si="11"/>
        <v>0</v>
      </c>
      <c r="AM26" s="304"/>
      <c r="AN26" s="305"/>
      <c r="AO26" s="304"/>
      <c r="AP26" s="304">
        <f t="shared" si="12"/>
        <v>0</v>
      </c>
      <c r="AQ26" s="305"/>
      <c r="AR26" s="305"/>
      <c r="AS26" s="304">
        <v>20</v>
      </c>
      <c r="AT26" s="304">
        <f t="shared" si="13"/>
        <v>0</v>
      </c>
      <c r="AU26" s="753"/>
    </row>
    <row r="27" spans="1:47" s="762" customFormat="1" ht="15.95" customHeight="1">
      <c r="A27" s="763" t="s">
        <v>752</v>
      </c>
      <c r="B27" s="760">
        <f>'21'!F18</f>
        <v>0</v>
      </c>
      <c r="C27" s="760">
        <f>'21'!K18</f>
        <v>0</v>
      </c>
      <c r="D27" s="761" t="e">
        <f t="shared" si="0"/>
        <v>#DIV/0!</v>
      </c>
      <c r="E27" s="760">
        <f>'21'!F45</f>
        <v>0</v>
      </c>
      <c r="F27" s="760">
        <f>'21'!K45</f>
        <v>0</v>
      </c>
      <c r="G27" s="761" t="e">
        <f t="shared" si="1"/>
        <v>#DIV/0!</v>
      </c>
      <c r="H27" s="760">
        <f>'21'!F58</f>
        <v>0</v>
      </c>
      <c r="I27" s="760">
        <f>'21'!K58</f>
        <v>0</v>
      </c>
      <c r="J27" s="761" t="e">
        <f t="shared" si="2"/>
        <v>#DIV/0!</v>
      </c>
      <c r="K27" s="760">
        <f>'21'!I58</f>
        <v>0</v>
      </c>
      <c r="L27" s="760">
        <f>'21'!N64</f>
        <v>0</v>
      </c>
      <c r="M27" s="761" t="e">
        <f t="shared" si="3"/>
        <v>#DIV/0!</v>
      </c>
      <c r="N27" s="760">
        <f>'21'!F117</f>
        <v>0</v>
      </c>
      <c r="O27" s="760">
        <f>'21'!K117</f>
        <v>0</v>
      </c>
      <c r="P27" s="761" t="e">
        <f t="shared" si="4"/>
        <v>#DIV/0!</v>
      </c>
      <c r="Q27" s="760">
        <f>'21'!F132</f>
        <v>0</v>
      </c>
      <c r="R27" s="760">
        <f>'21'!K132</f>
        <v>0</v>
      </c>
      <c r="S27" s="761" t="e">
        <f t="shared" si="5"/>
        <v>#DIV/0!</v>
      </c>
      <c r="T27" s="760">
        <f>'21'!F148</f>
        <v>0</v>
      </c>
      <c r="U27" s="760">
        <f>'21'!K148</f>
        <v>0</v>
      </c>
      <c r="V27" s="761" t="e">
        <f t="shared" si="6"/>
        <v>#DIV/0!</v>
      </c>
      <c r="W27" s="760">
        <f>'21'!F191</f>
        <v>0</v>
      </c>
      <c r="X27" s="760">
        <f>'21'!K191</f>
        <v>0</v>
      </c>
      <c r="Y27" s="761" t="e">
        <f t="shared" si="7"/>
        <v>#DIV/0!</v>
      </c>
      <c r="Z27" s="760">
        <f t="shared" si="9"/>
        <v>0</v>
      </c>
      <c r="AA27" s="760"/>
      <c r="AB27" s="760"/>
      <c r="AC27" s="760"/>
      <c r="AD27" s="760">
        <f t="shared" si="10"/>
        <v>0</v>
      </c>
      <c r="AE27" s="760"/>
      <c r="AF27" s="760"/>
      <c r="AG27" s="760"/>
      <c r="AH27" s="760">
        <f t="shared" si="8"/>
        <v>0</v>
      </c>
      <c r="AI27" s="760"/>
      <c r="AJ27" s="760"/>
      <c r="AK27" s="760"/>
      <c r="AL27" s="760">
        <f t="shared" si="11"/>
        <v>0</v>
      </c>
      <c r="AM27" s="760"/>
      <c r="AN27" s="761"/>
      <c r="AO27" s="760"/>
      <c r="AP27" s="760">
        <f t="shared" si="12"/>
        <v>0</v>
      </c>
      <c r="AQ27" s="761"/>
      <c r="AR27" s="761"/>
      <c r="AS27" s="760">
        <v>21</v>
      </c>
      <c r="AT27" s="760">
        <f t="shared" si="13"/>
        <v>0</v>
      </c>
      <c r="AU27" s="759"/>
    </row>
    <row r="28" spans="1:47" s="762" customFormat="1" ht="15.95" customHeight="1">
      <c r="A28" s="763" t="s">
        <v>753</v>
      </c>
      <c r="B28" s="760">
        <f>'22'!F23</f>
        <v>0</v>
      </c>
      <c r="C28" s="760">
        <f>'22'!K23</f>
        <v>0</v>
      </c>
      <c r="D28" s="761" t="e">
        <f t="shared" si="0"/>
        <v>#DIV/0!</v>
      </c>
      <c r="E28" s="760">
        <f>'22'!F50</f>
        <v>0</v>
      </c>
      <c r="F28" s="760">
        <f>'22'!K50</f>
        <v>0</v>
      </c>
      <c r="G28" s="761" t="e">
        <f t="shared" si="1"/>
        <v>#DIV/0!</v>
      </c>
      <c r="H28" s="760">
        <f>'22'!F65</f>
        <v>0</v>
      </c>
      <c r="I28" s="760">
        <f>'22'!K65</f>
        <v>0</v>
      </c>
      <c r="J28" s="761" t="e">
        <f t="shared" si="2"/>
        <v>#DIV/0!</v>
      </c>
      <c r="K28" s="760">
        <f>'22'!I65</f>
        <v>0</v>
      </c>
      <c r="L28" s="760">
        <f>'22'!N65</f>
        <v>0</v>
      </c>
      <c r="M28" s="761" t="e">
        <f t="shared" si="3"/>
        <v>#DIV/0!</v>
      </c>
      <c r="N28" s="760">
        <f>'22'!F114</f>
        <v>0</v>
      </c>
      <c r="O28" s="760">
        <f>'22'!K114</f>
        <v>0</v>
      </c>
      <c r="P28" s="761" t="e">
        <f t="shared" si="4"/>
        <v>#DIV/0!</v>
      </c>
      <c r="Q28" s="760">
        <f>'22'!F125</f>
        <v>0</v>
      </c>
      <c r="R28" s="760">
        <f>'22'!K125</f>
        <v>0</v>
      </c>
      <c r="S28" s="761" t="e">
        <f t="shared" si="5"/>
        <v>#DIV/0!</v>
      </c>
      <c r="T28" s="760">
        <f>'22'!F138</f>
        <v>0</v>
      </c>
      <c r="U28" s="760">
        <f>'22'!K138</f>
        <v>0</v>
      </c>
      <c r="V28" s="761" t="e">
        <f t="shared" si="6"/>
        <v>#DIV/0!</v>
      </c>
      <c r="W28" s="760">
        <f>'22'!F146</f>
        <v>0</v>
      </c>
      <c r="X28" s="760">
        <f>'22'!K146</f>
        <v>0</v>
      </c>
      <c r="Y28" s="761" t="e">
        <f t="shared" si="7"/>
        <v>#DIV/0!</v>
      </c>
      <c r="Z28" s="760">
        <f t="shared" si="9"/>
        <v>0</v>
      </c>
      <c r="AA28" s="760"/>
      <c r="AB28" s="760"/>
      <c r="AC28" s="760"/>
      <c r="AD28" s="760">
        <f t="shared" si="10"/>
        <v>0</v>
      </c>
      <c r="AE28" s="760"/>
      <c r="AF28" s="760"/>
      <c r="AG28" s="760"/>
      <c r="AH28" s="760">
        <f t="shared" si="8"/>
        <v>0</v>
      </c>
      <c r="AI28" s="760"/>
      <c r="AJ28" s="760"/>
      <c r="AK28" s="760"/>
      <c r="AL28" s="760">
        <f t="shared" si="11"/>
        <v>0</v>
      </c>
      <c r="AM28" s="760"/>
      <c r="AN28" s="761"/>
      <c r="AO28" s="760"/>
      <c r="AP28" s="760">
        <f t="shared" si="12"/>
        <v>0</v>
      </c>
      <c r="AQ28" s="761"/>
      <c r="AR28" s="761"/>
      <c r="AS28" s="760">
        <v>22</v>
      </c>
      <c r="AT28" s="760">
        <f t="shared" si="13"/>
        <v>0</v>
      </c>
      <c r="AU28" s="759"/>
    </row>
    <row r="29" spans="1:47" s="762" customFormat="1" ht="15.95" customHeight="1">
      <c r="A29" s="763" t="s">
        <v>754</v>
      </c>
      <c r="B29" s="760">
        <f>'23'!F41</f>
        <v>0</v>
      </c>
      <c r="C29" s="760">
        <f>'23'!K41</f>
        <v>0</v>
      </c>
      <c r="D29" s="761" t="e">
        <f t="shared" si="0"/>
        <v>#DIV/0!</v>
      </c>
      <c r="E29" s="760">
        <f>'23'!F74</f>
        <v>0</v>
      </c>
      <c r="F29" s="760">
        <f>'23'!K74</f>
        <v>0</v>
      </c>
      <c r="G29" s="761" t="e">
        <f t="shared" si="1"/>
        <v>#DIV/0!</v>
      </c>
      <c r="H29" s="760">
        <f>'23'!F92</f>
        <v>0</v>
      </c>
      <c r="I29" s="760">
        <f>'23'!K92</f>
        <v>0</v>
      </c>
      <c r="J29" s="761" t="e">
        <f t="shared" si="2"/>
        <v>#DIV/0!</v>
      </c>
      <c r="K29" s="760">
        <f>'23'!I92</f>
        <v>0</v>
      </c>
      <c r="L29" s="760">
        <f>'23'!N92</f>
        <v>0</v>
      </c>
      <c r="M29" s="761" t="e">
        <f t="shared" si="3"/>
        <v>#DIV/0!</v>
      </c>
      <c r="N29" s="760">
        <f>'23'!F193</f>
        <v>0</v>
      </c>
      <c r="O29" s="760">
        <f>'23'!K193</f>
        <v>0</v>
      </c>
      <c r="P29" s="761" t="e">
        <f t="shared" si="4"/>
        <v>#DIV/0!</v>
      </c>
      <c r="Q29" s="760">
        <f>'23'!F215</f>
        <v>0</v>
      </c>
      <c r="R29" s="760">
        <f>'23'!K215</f>
        <v>0</v>
      </c>
      <c r="S29" s="761" t="e">
        <f t="shared" si="5"/>
        <v>#DIV/0!</v>
      </c>
      <c r="T29" s="760">
        <f>'23'!F228</f>
        <v>0</v>
      </c>
      <c r="U29" s="760">
        <f>'23'!K228</f>
        <v>0</v>
      </c>
      <c r="V29" s="761" t="e">
        <f t="shared" si="6"/>
        <v>#DIV/0!</v>
      </c>
      <c r="W29" s="760">
        <f>'23'!F249</f>
        <v>0</v>
      </c>
      <c r="X29" s="760">
        <f>'23'!K249</f>
        <v>0</v>
      </c>
      <c r="Y29" s="761" t="e">
        <f t="shared" si="7"/>
        <v>#DIV/0!</v>
      </c>
      <c r="Z29" s="760">
        <f t="shared" si="9"/>
        <v>0</v>
      </c>
      <c r="AA29" s="760"/>
      <c r="AB29" s="760"/>
      <c r="AC29" s="760"/>
      <c r="AD29" s="760">
        <f t="shared" si="10"/>
        <v>0</v>
      </c>
      <c r="AE29" s="760"/>
      <c r="AF29" s="760"/>
      <c r="AG29" s="760"/>
      <c r="AH29" s="760">
        <f t="shared" si="8"/>
        <v>0</v>
      </c>
      <c r="AI29" s="760"/>
      <c r="AJ29" s="760"/>
      <c r="AK29" s="760"/>
      <c r="AL29" s="760">
        <f t="shared" si="11"/>
        <v>0</v>
      </c>
      <c r="AM29" s="760"/>
      <c r="AN29" s="761"/>
      <c r="AO29" s="760"/>
      <c r="AP29" s="760">
        <f t="shared" si="12"/>
        <v>0</v>
      </c>
      <c r="AQ29" s="761"/>
      <c r="AR29" s="761"/>
      <c r="AS29" s="760">
        <v>23</v>
      </c>
      <c r="AT29" s="760">
        <f t="shared" si="13"/>
        <v>0</v>
      </c>
      <c r="AU29" s="759"/>
    </row>
    <row r="30" spans="1:47" s="762" customFormat="1" ht="15.95" customHeight="1">
      <c r="A30" s="763" t="s">
        <v>755</v>
      </c>
      <c r="B30" s="760">
        <f>'24'!F40</f>
        <v>0</v>
      </c>
      <c r="C30" s="760">
        <f>'24'!K40</f>
        <v>0</v>
      </c>
      <c r="D30" s="761" t="e">
        <f t="shared" si="0"/>
        <v>#DIV/0!</v>
      </c>
      <c r="E30" s="760">
        <f>'24'!F61</f>
        <v>0</v>
      </c>
      <c r="F30" s="760">
        <f>'24'!K61</f>
        <v>0</v>
      </c>
      <c r="G30" s="761" t="e">
        <f t="shared" si="1"/>
        <v>#DIV/0!</v>
      </c>
      <c r="H30" s="760">
        <f>'24'!F76</f>
        <v>0</v>
      </c>
      <c r="I30" s="760">
        <f>'24'!K76</f>
        <v>0</v>
      </c>
      <c r="J30" s="761" t="e">
        <f t="shared" si="2"/>
        <v>#DIV/0!</v>
      </c>
      <c r="K30" s="760">
        <f>'24'!F85</f>
        <v>0</v>
      </c>
      <c r="L30" s="760">
        <f>'24'!K85</f>
        <v>0</v>
      </c>
      <c r="M30" s="761" t="e">
        <f t="shared" si="3"/>
        <v>#DIV/0!</v>
      </c>
      <c r="N30" s="760">
        <f>'24'!F152</f>
        <v>0</v>
      </c>
      <c r="O30" s="760">
        <f>'24'!K152</f>
        <v>0</v>
      </c>
      <c r="P30" s="761" t="e">
        <f t="shared" si="4"/>
        <v>#DIV/0!</v>
      </c>
      <c r="Q30" s="760">
        <f>'24'!F167</f>
        <v>0</v>
      </c>
      <c r="R30" s="760">
        <f>'24'!K167</f>
        <v>0</v>
      </c>
      <c r="S30" s="761" t="e">
        <f t="shared" si="5"/>
        <v>#DIV/0!</v>
      </c>
      <c r="T30" s="760">
        <f>'24'!F182</f>
        <v>0</v>
      </c>
      <c r="U30" s="760">
        <f>'24'!K182</f>
        <v>0</v>
      </c>
      <c r="V30" s="761" t="e">
        <f t="shared" si="6"/>
        <v>#DIV/0!</v>
      </c>
      <c r="W30" s="760">
        <f>'24'!F209</f>
        <v>0</v>
      </c>
      <c r="X30" s="760">
        <f>'24'!K209</f>
        <v>0</v>
      </c>
      <c r="Y30" s="761" t="e">
        <f t="shared" si="7"/>
        <v>#DIV/0!</v>
      </c>
      <c r="Z30" s="760">
        <f t="shared" si="9"/>
        <v>0</v>
      </c>
      <c r="AA30" s="760"/>
      <c r="AB30" s="760"/>
      <c r="AC30" s="760"/>
      <c r="AD30" s="760">
        <f t="shared" si="10"/>
        <v>0</v>
      </c>
      <c r="AE30" s="760"/>
      <c r="AF30" s="760"/>
      <c r="AG30" s="760"/>
      <c r="AH30" s="760">
        <f t="shared" si="8"/>
        <v>0</v>
      </c>
      <c r="AI30" s="760"/>
      <c r="AJ30" s="760"/>
      <c r="AK30" s="760"/>
      <c r="AL30" s="760">
        <f t="shared" si="11"/>
        <v>0</v>
      </c>
      <c r="AM30" s="760"/>
      <c r="AN30" s="761"/>
      <c r="AO30" s="760"/>
      <c r="AP30" s="760">
        <f t="shared" si="12"/>
        <v>0</v>
      </c>
      <c r="AQ30" s="761"/>
      <c r="AR30" s="761"/>
      <c r="AS30" s="760">
        <v>24</v>
      </c>
      <c r="AT30" s="760">
        <f t="shared" si="13"/>
        <v>0</v>
      </c>
      <c r="AU30" s="759"/>
    </row>
    <row r="31" spans="1:47" s="764" customFormat="1" ht="15.95" customHeight="1">
      <c r="A31" s="763" t="s">
        <v>756</v>
      </c>
      <c r="B31" s="760">
        <f>'25'!F14</f>
        <v>0</v>
      </c>
      <c r="C31" s="760">
        <f>'25'!K14</f>
        <v>0</v>
      </c>
      <c r="D31" s="761" t="e">
        <f t="shared" si="0"/>
        <v>#DIV/0!</v>
      </c>
      <c r="E31" s="760">
        <f>'25'!F47</f>
        <v>0</v>
      </c>
      <c r="F31" s="760">
        <f>'25'!K47</f>
        <v>0</v>
      </c>
      <c r="G31" s="761" t="e">
        <f t="shared" si="1"/>
        <v>#DIV/0!</v>
      </c>
      <c r="H31" s="760">
        <f>'25'!F77</f>
        <v>0</v>
      </c>
      <c r="I31" s="760">
        <f>'25'!K77</f>
        <v>0</v>
      </c>
      <c r="J31" s="761" t="e">
        <f t="shared" si="2"/>
        <v>#DIV/0!</v>
      </c>
      <c r="K31" s="760">
        <f>'25'!F83</f>
        <v>0</v>
      </c>
      <c r="L31" s="760">
        <f>'25'!K83</f>
        <v>0</v>
      </c>
      <c r="M31" s="761" t="e">
        <f t="shared" si="3"/>
        <v>#DIV/0!</v>
      </c>
      <c r="N31" s="760">
        <f>'25'!F173</f>
        <v>0</v>
      </c>
      <c r="O31" s="760">
        <f>'25'!K173</f>
        <v>0</v>
      </c>
      <c r="P31" s="761" t="e">
        <f t="shared" si="4"/>
        <v>#DIV/0!</v>
      </c>
      <c r="Q31" s="760">
        <f>'25'!F188</f>
        <v>0</v>
      </c>
      <c r="R31" s="760">
        <f>'25'!K188</f>
        <v>0</v>
      </c>
      <c r="S31" s="761" t="e">
        <f t="shared" si="5"/>
        <v>#DIV/0!</v>
      </c>
      <c r="T31" s="760">
        <f>'25'!F202</f>
        <v>0</v>
      </c>
      <c r="U31" s="760">
        <f>'25'!K202</f>
        <v>0</v>
      </c>
      <c r="V31" s="761" t="e">
        <f t="shared" si="6"/>
        <v>#DIV/0!</v>
      </c>
      <c r="W31" s="760">
        <f>'25'!F225</f>
        <v>0</v>
      </c>
      <c r="X31" s="760">
        <f>'25'!K225</f>
        <v>0</v>
      </c>
      <c r="Y31" s="761" t="e">
        <f t="shared" si="7"/>
        <v>#DIV/0!</v>
      </c>
      <c r="Z31" s="760">
        <f t="shared" si="9"/>
        <v>0</v>
      </c>
      <c r="AA31" s="760"/>
      <c r="AB31" s="760"/>
      <c r="AC31" s="760"/>
      <c r="AD31" s="760">
        <f t="shared" si="10"/>
        <v>0</v>
      </c>
      <c r="AE31" s="760"/>
      <c r="AF31" s="760"/>
      <c r="AG31" s="760"/>
      <c r="AH31" s="760">
        <f t="shared" si="8"/>
        <v>0</v>
      </c>
      <c r="AI31" s="760"/>
      <c r="AJ31" s="760"/>
      <c r="AK31" s="760"/>
      <c r="AL31" s="760">
        <f t="shared" si="11"/>
        <v>0</v>
      </c>
      <c r="AM31" s="760"/>
      <c r="AN31" s="761"/>
      <c r="AO31" s="760"/>
      <c r="AP31" s="760">
        <f t="shared" si="12"/>
        <v>0</v>
      </c>
      <c r="AQ31" s="761"/>
      <c r="AR31" s="761"/>
      <c r="AS31" s="760">
        <v>25</v>
      </c>
      <c r="AT31" s="760">
        <f t="shared" si="13"/>
        <v>0</v>
      </c>
      <c r="AU31" s="763"/>
    </row>
    <row r="32" spans="1:47" s="762" customFormat="1" ht="15.95" customHeight="1">
      <c r="A32" s="763" t="s">
        <v>757</v>
      </c>
      <c r="B32" s="760">
        <f>'26'!F18</f>
        <v>0</v>
      </c>
      <c r="C32" s="760">
        <f>'26'!K18</f>
        <v>0</v>
      </c>
      <c r="D32" s="761" t="e">
        <f t="shared" si="0"/>
        <v>#DIV/0!</v>
      </c>
      <c r="E32" s="760">
        <f>'26'!F39</f>
        <v>0</v>
      </c>
      <c r="F32" s="760">
        <f>'26'!K39</f>
        <v>0</v>
      </c>
      <c r="G32" s="761" t="e">
        <f t="shared" si="1"/>
        <v>#DIV/0!</v>
      </c>
      <c r="H32" s="760">
        <f>'26'!F54</f>
        <v>0</v>
      </c>
      <c r="I32" s="760">
        <f>'26'!K54</f>
        <v>0</v>
      </c>
      <c r="J32" s="761" t="e">
        <f t="shared" si="2"/>
        <v>#DIV/0!</v>
      </c>
      <c r="K32" s="760"/>
      <c r="L32" s="760"/>
      <c r="M32" s="761" t="e">
        <f t="shared" si="3"/>
        <v>#DIV/0!</v>
      </c>
      <c r="N32" s="760">
        <f>'26'!F151</f>
        <v>0</v>
      </c>
      <c r="O32" s="760">
        <f>'26'!K151</f>
        <v>0</v>
      </c>
      <c r="P32" s="761" t="e">
        <f t="shared" si="4"/>
        <v>#DIV/0!</v>
      </c>
      <c r="Q32" s="760">
        <f>'26'!F171</f>
        <v>0</v>
      </c>
      <c r="R32" s="760">
        <f>'26'!K171</f>
        <v>0</v>
      </c>
      <c r="S32" s="761" t="e">
        <f t="shared" si="5"/>
        <v>#DIV/0!</v>
      </c>
      <c r="T32" s="760">
        <f>'26'!F197</f>
        <v>0</v>
      </c>
      <c r="U32" s="760">
        <f>'26'!K197</f>
        <v>0</v>
      </c>
      <c r="V32" s="761" t="e">
        <f t="shared" si="6"/>
        <v>#DIV/0!</v>
      </c>
      <c r="W32" s="760">
        <f>'26'!F223</f>
        <v>0</v>
      </c>
      <c r="X32" s="760">
        <f>'26'!K223</f>
        <v>0</v>
      </c>
      <c r="Y32" s="761" t="e">
        <f t="shared" si="7"/>
        <v>#DIV/0!</v>
      </c>
      <c r="Z32" s="760">
        <f t="shared" si="9"/>
        <v>0</v>
      </c>
      <c r="AA32" s="760"/>
      <c r="AB32" s="760"/>
      <c r="AC32" s="760"/>
      <c r="AD32" s="760">
        <f t="shared" si="10"/>
        <v>0</v>
      </c>
      <c r="AE32" s="760"/>
      <c r="AF32" s="760"/>
      <c r="AG32" s="760"/>
      <c r="AH32" s="760">
        <f t="shared" si="8"/>
        <v>0</v>
      </c>
      <c r="AI32" s="760"/>
      <c r="AJ32" s="760"/>
      <c r="AK32" s="760"/>
      <c r="AL32" s="760">
        <f t="shared" si="11"/>
        <v>0</v>
      </c>
      <c r="AM32" s="760"/>
      <c r="AN32" s="761"/>
      <c r="AO32" s="760"/>
      <c r="AP32" s="760">
        <f t="shared" si="12"/>
        <v>0</v>
      </c>
      <c r="AQ32" s="761"/>
      <c r="AR32" s="761"/>
      <c r="AS32" s="760">
        <v>26</v>
      </c>
      <c r="AT32" s="760">
        <f t="shared" si="13"/>
        <v>0</v>
      </c>
      <c r="AU32" s="759"/>
    </row>
    <row r="33" spans="1:47" s="32" customFormat="1" ht="15.95" customHeight="1">
      <c r="A33" s="774" t="s">
        <v>758</v>
      </c>
      <c r="B33" s="754">
        <f>'27'!F14</f>
        <v>31504.428799999994</v>
      </c>
      <c r="C33" s="754">
        <f>'27'!K14</f>
        <v>22840</v>
      </c>
      <c r="D33" s="775">
        <f t="shared" si="0"/>
        <v>0.72497743555344207</v>
      </c>
      <c r="E33" s="754">
        <f>'27'!F23</f>
        <v>0</v>
      </c>
      <c r="F33" s="754">
        <f>'27'!K23</f>
        <v>0</v>
      </c>
      <c r="G33" s="775" t="e">
        <f t="shared" si="1"/>
        <v>#DIV/0!</v>
      </c>
      <c r="H33" s="754">
        <f>'27'!F35</f>
        <v>26279.207999999999</v>
      </c>
      <c r="I33" s="754">
        <f>'27'!K35</f>
        <v>27304</v>
      </c>
      <c r="J33" s="775">
        <f t="shared" si="2"/>
        <v>1.0389963046070492</v>
      </c>
      <c r="K33" s="754">
        <f>'27'!I35</f>
        <v>0</v>
      </c>
      <c r="L33" s="754">
        <f>'27'!N35</f>
        <v>0</v>
      </c>
      <c r="M33" s="775" t="e">
        <f t="shared" si="3"/>
        <v>#DIV/0!</v>
      </c>
      <c r="N33" s="754">
        <f>'27'!F85</f>
        <v>22544.563999999998</v>
      </c>
      <c r="O33" s="754">
        <f>'27'!K85</f>
        <v>188988.60900000003</v>
      </c>
      <c r="P33" s="775">
        <f t="shared" si="4"/>
        <v>8.3828903943318682</v>
      </c>
      <c r="Q33" s="754">
        <f>'27'!F100</f>
        <v>20165.984</v>
      </c>
      <c r="R33" s="754">
        <f>'27'!K100</f>
        <v>22027</v>
      </c>
      <c r="S33" s="775">
        <f t="shared" si="5"/>
        <v>1.0922849090825422</v>
      </c>
      <c r="T33" s="754">
        <f>'27'!F122</f>
        <v>36006.78</v>
      </c>
      <c r="U33" s="754">
        <f>'27'!K122</f>
        <v>65017.8</v>
      </c>
      <c r="V33" s="775">
        <f t="shared" si="6"/>
        <v>1.8057099246308612</v>
      </c>
      <c r="W33" s="754">
        <f>'27'!F160</f>
        <v>4237.6999999999989</v>
      </c>
      <c r="X33" s="754">
        <f>'27'!K160</f>
        <v>14797</v>
      </c>
      <c r="Y33" s="775">
        <f t="shared" si="7"/>
        <v>3.491752601647121</v>
      </c>
      <c r="Z33" s="754">
        <f t="shared" si="9"/>
        <v>340974.40900000004</v>
      </c>
      <c r="AA33" s="748"/>
      <c r="AB33" s="755"/>
      <c r="AC33" s="756"/>
      <c r="AD33" s="756">
        <f t="shared" si="10"/>
        <v>0</v>
      </c>
      <c r="AE33" s="756"/>
      <c r="AF33" s="756"/>
      <c r="AG33" s="756"/>
      <c r="AH33" s="756">
        <f t="shared" si="8"/>
        <v>0</v>
      </c>
      <c r="AI33" s="756"/>
      <c r="AJ33" s="756"/>
      <c r="AK33" s="756"/>
      <c r="AL33" s="756">
        <f t="shared" si="11"/>
        <v>0</v>
      </c>
      <c r="AM33" s="756"/>
      <c r="AN33" s="757"/>
      <c r="AO33" s="756"/>
      <c r="AP33" s="756">
        <f t="shared" si="12"/>
        <v>0</v>
      </c>
      <c r="AQ33" s="757"/>
      <c r="AR33" s="757"/>
      <c r="AS33" s="756">
        <v>27</v>
      </c>
      <c r="AT33" s="756">
        <f t="shared" si="13"/>
        <v>0</v>
      </c>
      <c r="AU33" s="758"/>
    </row>
    <row r="34" spans="1:47" s="32" customFormat="1" ht="15.95" customHeight="1">
      <c r="A34" s="771" t="s">
        <v>759</v>
      </c>
      <c r="B34" s="478">
        <f>'28'!F26</f>
        <v>61645.138399999996</v>
      </c>
      <c r="C34" s="478">
        <f>'28'!K26</f>
        <v>35074.5</v>
      </c>
      <c r="D34" s="158">
        <f t="shared" si="0"/>
        <v>0.56897430860500753</v>
      </c>
      <c r="E34" s="478">
        <f>'28'!F59</f>
        <v>57653.498399999989</v>
      </c>
      <c r="F34" s="478">
        <f>'28'!K59</f>
        <v>158392</v>
      </c>
      <c r="G34" s="158">
        <f t="shared" si="1"/>
        <v>2.7473094330039829</v>
      </c>
      <c r="H34" s="478">
        <f>'28'!F68</f>
        <v>20870.2624</v>
      </c>
      <c r="I34" s="478">
        <f>'28'!K68</f>
        <v>25388</v>
      </c>
      <c r="J34" s="158">
        <f t="shared" si="2"/>
        <v>1.2164676952025291</v>
      </c>
      <c r="K34" s="478">
        <f>'28'!I68</f>
        <v>0</v>
      </c>
      <c r="L34" s="478">
        <f>'28'!N68</f>
        <v>0</v>
      </c>
      <c r="M34" s="158" t="e">
        <f t="shared" si="3"/>
        <v>#DIV/0!</v>
      </c>
      <c r="N34" s="478">
        <f>'28'!F127</f>
        <v>45028.98</v>
      </c>
      <c r="O34" s="478">
        <f>'28'!K127</f>
        <v>137304.05799999999</v>
      </c>
      <c r="P34" s="158">
        <f t="shared" si="4"/>
        <v>3.0492375798874409</v>
      </c>
      <c r="Q34" s="478">
        <f>'28'!F150</f>
        <v>29035.079999999994</v>
      </c>
      <c r="R34" s="478">
        <f>'28'!K150</f>
        <v>24626</v>
      </c>
      <c r="S34" s="158">
        <f t="shared" si="5"/>
        <v>0.84814644905404102</v>
      </c>
      <c r="T34" s="478">
        <f>'28'!F173</f>
        <v>28712.467999999997</v>
      </c>
      <c r="U34" s="478">
        <f>'28'!K173</f>
        <v>56087.5</v>
      </c>
      <c r="V34" s="158">
        <f t="shared" si="6"/>
        <v>1.95341967816908</v>
      </c>
      <c r="W34" s="478">
        <f>'28'!F229</f>
        <v>6337.4119999999994</v>
      </c>
      <c r="X34" s="478">
        <f>'28'!K229</f>
        <v>42038.639999999992</v>
      </c>
      <c r="Y34" s="158">
        <f t="shared" si="7"/>
        <v>6.6334080851931354</v>
      </c>
      <c r="Z34" s="478">
        <f t="shared" si="9"/>
        <v>478910.69799999997</v>
      </c>
      <c r="AA34" s="748"/>
      <c r="AB34" s="474"/>
      <c r="AC34" s="295"/>
      <c r="AD34" s="295">
        <f t="shared" si="10"/>
        <v>0</v>
      </c>
      <c r="AE34" s="295"/>
      <c r="AF34" s="295"/>
      <c r="AG34" s="295"/>
      <c r="AH34" s="295">
        <f t="shared" si="8"/>
        <v>0</v>
      </c>
      <c r="AI34" s="295"/>
      <c r="AJ34" s="295"/>
      <c r="AK34" s="295"/>
      <c r="AL34" s="295">
        <f t="shared" si="11"/>
        <v>0</v>
      </c>
      <c r="AM34" s="295"/>
      <c r="AN34" s="297"/>
      <c r="AO34" s="295"/>
      <c r="AP34" s="295">
        <f t="shared" si="12"/>
        <v>0</v>
      </c>
      <c r="AQ34" s="297"/>
      <c r="AR34" s="297"/>
      <c r="AS34" s="295">
        <v>28</v>
      </c>
      <c r="AT34" s="295">
        <f t="shared" si="13"/>
        <v>0</v>
      </c>
      <c r="AU34" s="298"/>
    </row>
    <row r="35" spans="1:47" s="32" customFormat="1" ht="15.95" customHeight="1">
      <c r="A35" s="771" t="s">
        <v>760</v>
      </c>
      <c r="B35" s="478">
        <f>'29'!F30</f>
        <v>48093.247199999991</v>
      </c>
      <c r="C35" s="478">
        <f>'29'!K30</f>
        <v>33324.5</v>
      </c>
      <c r="D35" s="158">
        <f t="shared" si="0"/>
        <v>0.69291432665000019</v>
      </c>
      <c r="E35" s="478">
        <f>'29'!F45</f>
        <v>39223.0576</v>
      </c>
      <c r="F35" s="478">
        <f>'29'!K45</f>
        <v>87501</v>
      </c>
      <c r="G35" s="158">
        <f t="shared" si="1"/>
        <v>2.2308561686430077</v>
      </c>
      <c r="H35" s="478">
        <f>'29'!F63</f>
        <v>33007.035199999998</v>
      </c>
      <c r="I35" s="478">
        <f>'29'!K63</f>
        <v>37874</v>
      </c>
      <c r="J35" s="158">
        <f t="shared" si="2"/>
        <v>1.1474523467651527</v>
      </c>
      <c r="K35" s="478">
        <f>'29'!F69</f>
        <v>519.45999999999992</v>
      </c>
      <c r="L35" s="478">
        <f>'29'!K69</f>
        <v>790</v>
      </c>
      <c r="M35" s="158">
        <f t="shared" si="3"/>
        <v>1.5208100719978441</v>
      </c>
      <c r="N35" s="478">
        <f>'29'!F108</f>
        <v>38057.279999999999</v>
      </c>
      <c r="O35" s="478">
        <f>'29'!K108</f>
        <v>167965.54200000002</v>
      </c>
      <c r="P35" s="158">
        <f t="shared" si="4"/>
        <v>4.4134930820069123</v>
      </c>
      <c r="Q35" s="478">
        <f>'29'!F127</f>
        <v>20931.504000000001</v>
      </c>
      <c r="R35" s="478">
        <f>'29'!K127</f>
        <v>32346</v>
      </c>
      <c r="S35" s="158">
        <f t="shared" si="5"/>
        <v>1.5453261265888967</v>
      </c>
      <c r="T35" s="478">
        <f>'29'!F149</f>
        <v>25043.439999999999</v>
      </c>
      <c r="U35" s="478">
        <f>'29'!K149</f>
        <v>44651.5</v>
      </c>
      <c r="V35" s="158">
        <f t="shared" si="6"/>
        <v>1.7829619253584972</v>
      </c>
      <c r="W35" s="478">
        <f>'29'!F166</f>
        <v>13560.64</v>
      </c>
      <c r="X35" s="478">
        <f>'29'!K166</f>
        <v>32139.1</v>
      </c>
      <c r="Y35" s="158">
        <f t="shared" si="7"/>
        <v>2.3700282582532979</v>
      </c>
      <c r="Z35" s="478">
        <f t="shared" si="9"/>
        <v>436591.64199999999</v>
      </c>
      <c r="AA35" s="748"/>
      <c r="AB35" s="476"/>
      <c r="AC35" s="304"/>
      <c r="AD35" s="295">
        <f t="shared" si="10"/>
        <v>0</v>
      </c>
      <c r="AE35" s="304"/>
      <c r="AF35" s="304"/>
      <c r="AG35" s="304"/>
      <c r="AH35" s="295">
        <f t="shared" si="8"/>
        <v>0</v>
      </c>
      <c r="AI35" s="295"/>
      <c r="AJ35" s="295"/>
      <c r="AK35" s="295"/>
      <c r="AL35" s="295">
        <f t="shared" si="11"/>
        <v>0</v>
      </c>
      <c r="AM35" s="304"/>
      <c r="AN35" s="305"/>
      <c r="AO35" s="304"/>
      <c r="AP35" s="304">
        <f t="shared" si="12"/>
        <v>0</v>
      </c>
      <c r="AQ35" s="297"/>
      <c r="AR35" s="297"/>
      <c r="AS35" s="295">
        <v>29</v>
      </c>
      <c r="AT35" s="295">
        <f t="shared" si="13"/>
        <v>0</v>
      </c>
      <c r="AU35" s="298"/>
    </row>
    <row r="36" spans="1:47" s="32" customFormat="1" ht="15.95" customHeight="1">
      <c r="A36" s="771" t="s">
        <v>761</v>
      </c>
      <c r="B36" s="776">
        <f>'30'!F16</f>
        <v>0</v>
      </c>
      <c r="C36" s="478">
        <f>'30'!K16</f>
        <v>0</v>
      </c>
      <c r="D36" s="158" t="e">
        <f t="shared" si="0"/>
        <v>#DIV/0!</v>
      </c>
      <c r="E36" s="478">
        <f>'30'!F57</f>
        <v>0</v>
      </c>
      <c r="F36" s="478">
        <f>'30'!K57</f>
        <v>0</v>
      </c>
      <c r="G36" s="158" t="e">
        <f t="shared" si="1"/>
        <v>#DIV/0!</v>
      </c>
      <c r="H36" s="776">
        <f>'30'!F83</f>
        <v>0</v>
      </c>
      <c r="I36" s="776">
        <f>'30'!K83</f>
        <v>0</v>
      </c>
      <c r="J36" s="158" t="e">
        <f t="shared" si="2"/>
        <v>#DIV/0!</v>
      </c>
      <c r="K36" s="776">
        <f>'30'!I83</f>
        <v>0</v>
      </c>
      <c r="L36" s="776">
        <f>'30'!N83</f>
        <v>0</v>
      </c>
      <c r="M36" s="158" t="e">
        <f t="shared" si="3"/>
        <v>#DIV/0!</v>
      </c>
      <c r="N36" s="776">
        <f>'30'!F162</f>
        <v>0</v>
      </c>
      <c r="O36" s="776">
        <f>'30'!K162</f>
        <v>0</v>
      </c>
      <c r="P36" s="158" t="e">
        <f t="shared" si="4"/>
        <v>#DIV/0!</v>
      </c>
      <c r="Q36" s="776">
        <f>'30'!F178</f>
        <v>0</v>
      </c>
      <c r="R36" s="776">
        <f>'30'!K178</f>
        <v>0</v>
      </c>
      <c r="S36" s="158" t="e">
        <f t="shared" si="5"/>
        <v>#DIV/0!</v>
      </c>
      <c r="T36" s="776">
        <f>'30'!F220</f>
        <v>0</v>
      </c>
      <c r="U36" s="776">
        <f>'30'!K220</f>
        <v>0</v>
      </c>
      <c r="V36" s="158" t="e">
        <f t="shared" si="6"/>
        <v>#DIV/0!</v>
      </c>
      <c r="W36" s="776">
        <f>'30'!F261</f>
        <v>0</v>
      </c>
      <c r="X36" s="776">
        <f>'30'!K261</f>
        <v>0</v>
      </c>
      <c r="Y36" s="158" t="e">
        <f t="shared" si="7"/>
        <v>#DIV/0!</v>
      </c>
      <c r="Z36" s="478">
        <f t="shared" si="9"/>
        <v>0</v>
      </c>
      <c r="AA36" s="748"/>
      <c r="AB36" s="476"/>
      <c r="AC36" s="304"/>
      <c r="AD36" s="295">
        <f t="shared" si="10"/>
        <v>0</v>
      </c>
      <c r="AE36" s="304"/>
      <c r="AF36" s="304"/>
      <c r="AG36" s="304"/>
      <c r="AH36" s="295">
        <f t="shared" si="8"/>
        <v>0</v>
      </c>
      <c r="AI36" s="295"/>
      <c r="AJ36" s="295"/>
      <c r="AK36" s="295"/>
      <c r="AL36" s="295">
        <f t="shared" si="11"/>
        <v>0</v>
      </c>
      <c r="AM36" s="304"/>
      <c r="AN36" s="305"/>
      <c r="AO36" s="304"/>
      <c r="AP36" s="304">
        <f t="shared" si="12"/>
        <v>0</v>
      </c>
      <c r="AQ36" s="297"/>
      <c r="AR36" s="297"/>
      <c r="AS36" s="295">
        <v>30</v>
      </c>
      <c r="AT36" s="295">
        <f t="shared" si="13"/>
        <v>0</v>
      </c>
      <c r="AU36" s="298"/>
    </row>
    <row r="37" spans="1:47" s="32" customFormat="1" ht="15.95" customHeight="1">
      <c r="A37" s="771" t="s">
        <v>762</v>
      </c>
      <c r="B37" s="776">
        <f>'31'!F12</f>
        <v>0</v>
      </c>
      <c r="C37" s="478">
        <f>'31'!K12</f>
        <v>0</v>
      </c>
      <c r="D37" s="158" t="e">
        <f t="shared" si="0"/>
        <v>#DIV/0!</v>
      </c>
      <c r="E37" s="478">
        <f>'31'!F22</f>
        <v>0</v>
      </c>
      <c r="F37" s="478">
        <f>'31'!K22</f>
        <v>0</v>
      </c>
      <c r="G37" s="158" t="e">
        <f t="shared" si="1"/>
        <v>#DIV/0!</v>
      </c>
      <c r="H37" s="776">
        <f>'31'!F47</f>
        <v>0</v>
      </c>
      <c r="I37" s="776">
        <f>'31'!K47</f>
        <v>0</v>
      </c>
      <c r="J37" s="158" t="e">
        <f t="shared" si="2"/>
        <v>#DIV/0!</v>
      </c>
      <c r="K37" s="776">
        <f>'31'!I47</f>
        <v>0</v>
      </c>
      <c r="L37" s="776">
        <f>'31'!N47</f>
        <v>0</v>
      </c>
      <c r="M37" s="158" t="e">
        <f t="shared" si="3"/>
        <v>#DIV/0!</v>
      </c>
      <c r="N37" s="776">
        <f>'31'!F113</f>
        <v>0</v>
      </c>
      <c r="O37" s="776">
        <f>'31'!K113</f>
        <v>0</v>
      </c>
      <c r="P37" s="158" t="e">
        <f t="shared" si="4"/>
        <v>#DIV/0!</v>
      </c>
      <c r="Q37" s="776">
        <f>'31'!F143</f>
        <v>0</v>
      </c>
      <c r="R37" s="776">
        <f>'31'!K143</f>
        <v>0</v>
      </c>
      <c r="S37" s="158" t="e">
        <f t="shared" si="5"/>
        <v>#DIV/0!</v>
      </c>
      <c r="T37" s="776">
        <f>'31'!F179</f>
        <v>0</v>
      </c>
      <c r="U37" s="776">
        <f>'31'!K179</f>
        <v>0</v>
      </c>
      <c r="V37" s="158" t="e">
        <f t="shared" si="6"/>
        <v>#DIV/0!</v>
      </c>
      <c r="W37" s="776">
        <f>'31'!F216</f>
        <v>0</v>
      </c>
      <c r="X37" s="776">
        <f>'31'!K216</f>
        <v>0</v>
      </c>
      <c r="Y37" s="158" t="e">
        <f t="shared" si="7"/>
        <v>#DIV/0!</v>
      </c>
      <c r="Z37" s="478">
        <f t="shared" si="9"/>
        <v>0</v>
      </c>
      <c r="AA37" s="748"/>
      <c r="AB37" s="476"/>
      <c r="AC37" s="304"/>
      <c r="AD37" s="304">
        <v>31</v>
      </c>
      <c r="AE37" s="306"/>
      <c r="AF37" s="304"/>
      <c r="AG37" s="304"/>
      <c r="AH37" s="304">
        <v>31</v>
      </c>
      <c r="AI37" s="306"/>
      <c r="AJ37" s="295"/>
      <c r="AK37" s="295"/>
      <c r="AL37" s="304">
        <v>31</v>
      </c>
      <c r="AM37" s="304"/>
      <c r="AN37" s="305"/>
      <c r="AO37" s="304"/>
      <c r="AP37" s="304">
        <v>31</v>
      </c>
      <c r="AQ37" s="297"/>
      <c r="AR37" s="297"/>
      <c r="AS37" s="295"/>
      <c r="AT37" s="295"/>
      <c r="AU37" s="298"/>
    </row>
    <row r="38" spans="1:47" s="32" customFormat="1" ht="15.95" customHeight="1">
      <c r="A38" s="771"/>
      <c r="B38" s="776"/>
      <c r="C38" s="478"/>
      <c r="D38" s="158"/>
      <c r="E38" s="478"/>
      <c r="F38" s="478"/>
      <c r="G38" s="158"/>
      <c r="H38" s="776"/>
      <c r="I38" s="776"/>
      <c r="J38" s="158"/>
      <c r="K38" s="776"/>
      <c r="L38" s="776"/>
      <c r="M38" s="158"/>
      <c r="N38" s="776"/>
      <c r="O38" s="776"/>
      <c r="P38" s="158"/>
      <c r="Q38" s="776"/>
      <c r="R38" s="776"/>
      <c r="S38" s="158"/>
      <c r="T38" s="776"/>
      <c r="U38" s="776"/>
      <c r="V38" s="158"/>
      <c r="W38" s="776"/>
      <c r="X38" s="776"/>
      <c r="Y38" s="158"/>
      <c r="Z38" s="158"/>
      <c r="AA38" s="749"/>
      <c r="AB38" s="476"/>
      <c r="AC38" s="304"/>
      <c r="AD38" s="306"/>
      <c r="AE38" s="306"/>
      <c r="AF38" s="304"/>
      <c r="AG38" s="304"/>
      <c r="AH38" s="306"/>
      <c r="AI38" s="306"/>
      <c r="AJ38" s="305"/>
      <c r="AK38" s="305"/>
      <c r="AL38" s="304"/>
      <c r="AM38" s="304"/>
      <c r="AN38" s="305"/>
      <c r="AO38" s="304"/>
      <c r="AP38" s="304"/>
      <c r="AQ38" s="297"/>
      <c r="AR38" s="297"/>
      <c r="AS38" s="295"/>
      <c r="AT38" s="295"/>
      <c r="AU38" s="298"/>
    </row>
    <row r="39" spans="1:47" s="1" customFormat="1" ht="15.95" customHeight="1">
      <c r="A39" s="484" t="s">
        <v>39</v>
      </c>
      <c r="B39" s="485">
        <f>SUM(B7:B37)</f>
        <v>563283.83280000009</v>
      </c>
      <c r="C39" s="485">
        <f>SUM(C7:C38)</f>
        <v>497283.15</v>
      </c>
      <c r="D39" s="155">
        <f>C39/B39</f>
        <v>0.88282872868564233</v>
      </c>
      <c r="E39" s="485">
        <f>SUM(E7:E37)</f>
        <v>545920.74560000002</v>
      </c>
      <c r="F39" s="485">
        <f>SUM(F7:F38)</f>
        <v>1574266</v>
      </c>
      <c r="G39" s="155">
        <f>F39/E39</f>
        <v>2.8836896430264547</v>
      </c>
      <c r="H39" s="485">
        <f>SUM(H7:H37)</f>
        <v>518531.53360000002</v>
      </c>
      <c r="I39" s="485">
        <f>SUM(I7:I38)</f>
        <v>624516</v>
      </c>
      <c r="J39" s="155">
        <f>I39/H39</f>
        <v>1.2043934833898788</v>
      </c>
      <c r="K39" s="485">
        <f>SUM(K7:K37)</f>
        <v>18943.128555961954</v>
      </c>
      <c r="L39" s="485">
        <f>SUM(L7:L37)</f>
        <v>12340</v>
      </c>
      <c r="M39" s="155">
        <f>L39/K39</f>
        <v>0.65142354725329898</v>
      </c>
      <c r="N39" s="485">
        <f>SUM(N7:N37)</f>
        <v>405387.67759999994</v>
      </c>
      <c r="O39" s="485">
        <f>SUM(O7:O37)</f>
        <v>2417518.1580000003</v>
      </c>
      <c r="P39" s="155">
        <f>O39/N39</f>
        <v>5.9634722306122718</v>
      </c>
      <c r="Q39" s="485">
        <f>SUM(Q7:Q37)</f>
        <v>394220.92800000001</v>
      </c>
      <c r="R39" s="485">
        <f>SUM(R7:R37)</f>
        <v>483578.56199999992</v>
      </c>
      <c r="S39" s="155">
        <f>R39/Q39</f>
        <v>1.2266689250957268</v>
      </c>
      <c r="T39" s="485">
        <f>SUM(T7:T37)</f>
        <v>376376.65679999994</v>
      </c>
      <c r="U39" s="485">
        <f>SUM(U7:U37)</f>
        <v>709860.43</v>
      </c>
      <c r="V39" s="155">
        <f>U39/T39</f>
        <v>1.88603734364219</v>
      </c>
      <c r="W39" s="485">
        <f>SUM(W7:W37)</f>
        <v>93038.01999999999</v>
      </c>
      <c r="X39" s="485">
        <f>SUM(X7:X37)</f>
        <v>506716.16000000003</v>
      </c>
      <c r="Y39" s="155">
        <f>X39/W39</f>
        <v>5.4463343050507751</v>
      </c>
      <c r="Z39" s="483">
        <f>SUM(Z7:Z38)</f>
        <v>6826078.4600000009</v>
      </c>
      <c r="AA39" s="750"/>
      <c r="AB39" s="477">
        <f>SUM(AB7:AB38)</f>
        <v>500</v>
      </c>
      <c r="AC39" s="75">
        <f>SUM(AC7:AC38)</f>
        <v>16000</v>
      </c>
      <c r="AD39" s="76">
        <f>AC39/AD37</f>
        <v>516.12903225806451</v>
      </c>
      <c r="AE39" s="76"/>
      <c r="AF39" s="75">
        <f>SUM(AF7:AF38)</f>
        <v>1.8</v>
      </c>
      <c r="AG39" s="75">
        <f>SUM(AG7:AG38)</f>
        <v>945</v>
      </c>
      <c r="AH39" s="76">
        <f>AG39/AH37</f>
        <v>30.483870967741936</v>
      </c>
      <c r="AI39" s="76"/>
      <c r="AJ39" s="77">
        <f>SUM(AJ7:AJ38)</f>
        <v>0</v>
      </c>
      <c r="AK39" s="77">
        <f>SUM(AK7:AK38)</f>
        <v>0</v>
      </c>
      <c r="AL39" s="76">
        <f>AK39/AL37</f>
        <v>0</v>
      </c>
      <c r="AM39" s="76"/>
      <c r="AN39" s="76">
        <f>SUM(AN7:AN38)</f>
        <v>0</v>
      </c>
      <c r="AO39" s="76">
        <f>SUM(AO7:AO38)</f>
        <v>0</v>
      </c>
      <c r="AP39" s="76">
        <f>AO39/AP37</f>
        <v>0</v>
      </c>
      <c r="AQ39" s="78"/>
      <c r="AR39" s="78"/>
      <c r="AS39" s="77">
        <v>30</v>
      </c>
      <c r="AT39" s="76">
        <f>AR39/AS39</f>
        <v>0</v>
      </c>
      <c r="AU39" s="486"/>
    </row>
    <row r="40" spans="1:47" s="64" customFormat="1" ht="15.95" customHeight="1">
      <c r="A40" s="484"/>
      <c r="B40" s="485"/>
      <c r="C40" s="485"/>
      <c r="D40" s="155"/>
      <c r="E40" s="485"/>
      <c r="F40" s="485"/>
      <c r="G40" s="167"/>
      <c r="H40" s="777"/>
      <c r="I40" s="777"/>
      <c r="J40" s="167"/>
      <c r="K40" s="777"/>
      <c r="L40" s="777"/>
      <c r="M40" s="167"/>
      <c r="N40" s="777"/>
      <c r="O40" s="777"/>
      <c r="P40" s="167"/>
      <c r="Q40" s="777"/>
      <c r="R40" s="777"/>
      <c r="S40" s="167"/>
      <c r="T40" s="777"/>
      <c r="U40" s="777"/>
      <c r="V40" s="167"/>
      <c r="W40" s="777"/>
      <c r="X40" s="777"/>
      <c r="Y40" s="167"/>
      <c r="Z40" s="167"/>
      <c r="AA40" s="167"/>
      <c r="AB40" s="168"/>
      <c r="AC40" s="168"/>
      <c r="AD40" s="169"/>
      <c r="AE40" s="169"/>
      <c r="AF40" s="169"/>
      <c r="AG40" s="169"/>
      <c r="AH40" s="169"/>
      <c r="AI40" s="169"/>
      <c r="AJ40" s="170"/>
      <c r="AK40" s="170"/>
      <c r="AL40" s="169"/>
      <c r="AM40" s="169"/>
      <c r="AN40" s="171"/>
      <c r="AO40" s="169"/>
      <c r="AP40" s="169"/>
      <c r="AQ40" s="171"/>
      <c r="AR40" s="171"/>
      <c r="AS40" s="170"/>
      <c r="AT40" s="169"/>
      <c r="AU40" s="131"/>
    </row>
    <row r="41" spans="1:47" s="28" customFormat="1" ht="15.95" customHeight="1">
      <c r="A41" s="879" t="s">
        <v>149</v>
      </c>
      <c r="B41" s="879"/>
      <c r="C41" s="879"/>
      <c r="D41" s="879"/>
      <c r="E41" s="765" t="s">
        <v>150</v>
      </c>
      <c r="F41" s="766">
        <f>C39+F39+I39+L39+O39+R39+U39+X39</f>
        <v>6826078.46</v>
      </c>
      <c r="G41" s="778"/>
      <c r="H41" s="884">
        <f>C39+F39+I39</f>
        <v>2696065.15</v>
      </c>
      <c r="I41" s="884"/>
      <c r="J41" s="778"/>
      <c r="K41" s="778"/>
      <c r="L41" s="778"/>
      <c r="M41" s="905" t="s">
        <v>30</v>
      </c>
      <c r="N41" s="905"/>
      <c r="O41" s="904" t="s">
        <v>207</v>
      </c>
      <c r="P41" s="904"/>
      <c r="Q41" s="779">
        <f>N39+Q39</f>
        <v>799608.60559999989</v>
      </c>
      <c r="R41" s="779">
        <f>O39+R39</f>
        <v>2901096.72</v>
      </c>
      <c r="S41" s="780">
        <f>P39+S39</f>
        <v>7.1901411557079982</v>
      </c>
      <c r="T41" s="778"/>
      <c r="U41" s="778"/>
      <c r="V41" s="778"/>
      <c r="W41" s="106"/>
      <c r="X41" s="106"/>
      <c r="Y41" s="106"/>
      <c r="Z41" s="106"/>
      <c r="AA41" s="106"/>
    </row>
    <row r="42" spans="1:47" s="28" customFormat="1" ht="15.95" customHeight="1">
      <c r="A42" s="879" t="s">
        <v>151</v>
      </c>
      <c r="B42" s="879"/>
      <c r="C42" s="879"/>
      <c r="D42" s="879"/>
      <c r="E42" s="765" t="s">
        <v>150</v>
      </c>
      <c r="F42" s="767">
        <f>D39+G39+J39</f>
        <v>4.970911855101976</v>
      </c>
      <c r="G42" s="106"/>
      <c r="H42" s="885" t="s">
        <v>1128</v>
      </c>
      <c r="I42" s="885"/>
      <c r="J42" s="885"/>
      <c r="K42" s="885"/>
      <c r="L42" s="601" t="s">
        <v>38</v>
      </c>
      <c r="M42" s="768"/>
      <c r="N42" s="603"/>
      <c r="O42" s="136"/>
      <c r="P42" s="165" t="s">
        <v>479</v>
      </c>
      <c r="Q42" s="165"/>
      <c r="R42" s="781"/>
      <c r="S42" s="782"/>
      <c r="T42" s="603" t="s">
        <v>38</v>
      </c>
      <c r="U42" s="603" t="s">
        <v>61</v>
      </c>
      <c r="V42" s="885" t="s">
        <v>6</v>
      </c>
      <c r="W42" s="885"/>
      <c r="X42" s="106"/>
      <c r="Y42" s="106"/>
      <c r="Z42" s="106"/>
      <c r="AA42" s="106"/>
    </row>
    <row r="43" spans="1:47" s="28" customFormat="1" ht="15.95" customHeight="1">
      <c r="A43" s="879" t="s">
        <v>152</v>
      </c>
      <c r="B43" s="879"/>
      <c r="C43" s="879"/>
      <c r="D43" s="879"/>
      <c r="E43" s="765" t="s">
        <v>150</v>
      </c>
      <c r="F43" s="767">
        <f>M39</f>
        <v>0.65142354725329898</v>
      </c>
      <c r="G43" s="106"/>
      <c r="H43" s="922" t="s">
        <v>914</v>
      </c>
      <c r="I43" s="922"/>
      <c r="J43" s="909">
        <f>'01'!G146+'02'!G192+'03'!G286+'04'!G200+'05'!G211+'06'!G131+'07'!G124+'08'!G188+'09'!G130+'10'!G261+'11'!G243+'12'!G135+'13'!G172+'14'!G150+'15'!G230+'16'!G174+'17'!G195+'18'!G227+'19'!G197+'20'!G170+'21'!G195+'22'!G150+'23'!G253+'24'!G213+'25'!G229+'26'!G227+'27'!G164+'28'!G233+'29'!G170+'30'!G265+'31'!G220</f>
        <v>2168078.179</v>
      </c>
      <c r="K43" s="910"/>
      <c r="L43" s="924">
        <f>J43+J44</f>
        <v>6826078.4600000009</v>
      </c>
      <c r="M43" s="768"/>
      <c r="N43" s="783"/>
      <c r="O43" s="136"/>
      <c r="P43" s="603"/>
      <c r="Q43" s="374" t="s">
        <v>21</v>
      </c>
      <c r="R43" s="374"/>
      <c r="S43" s="122">
        <f>B39</f>
        <v>563283.83280000009</v>
      </c>
      <c r="T43" s="378">
        <f>C39</f>
        <v>497283.15</v>
      </c>
      <c r="U43" s="158">
        <f t="shared" ref="U43:U50" si="15">T43/S43</f>
        <v>0.88282872868564233</v>
      </c>
      <c r="V43" s="899"/>
      <c r="W43" s="900"/>
      <c r="X43" s="106"/>
      <c r="Y43" s="106"/>
      <c r="Z43" s="106"/>
      <c r="AA43" s="106"/>
      <c r="AK43" s="174" t="s">
        <v>165</v>
      </c>
      <c r="AL43" s="273" t="s">
        <v>162</v>
      </c>
      <c r="AM43" s="273"/>
      <c r="AN43" s="273" t="s">
        <v>164</v>
      </c>
    </row>
    <row r="44" spans="1:47" s="28" customFormat="1" ht="15.95" customHeight="1">
      <c r="A44" s="879" t="s">
        <v>142</v>
      </c>
      <c r="B44" s="879"/>
      <c r="C44" s="879"/>
      <c r="D44" s="879"/>
      <c r="E44" s="768" t="s">
        <v>150</v>
      </c>
      <c r="F44" s="767">
        <f>P39+S39</f>
        <v>7.1901411557079982</v>
      </c>
      <c r="G44" s="106"/>
      <c r="H44" s="885" t="s">
        <v>913</v>
      </c>
      <c r="I44" s="885"/>
      <c r="J44" s="911">
        <f>'01'!G147+'02'!G193+'03'!G287+'04'!G201+'05'!G212+'06'!G132+'07'!G125+'08'!G189+'09'!G131+'10'!G262+'11'!G244+'12'!G136+'13'!G173+'14'!G151+'15'!G231+'16'!G175+'17'!G196+'18'!G228+'19'!G198+'20'!G171+'21'!G196+'22'!G151+'23'!G254+'24'!G214+'25'!G230+'26'!G228+'27'!G165+'28'!G234+'29'!G171+'30'!G266+'31'!G221</f>
        <v>4658000.2810000004</v>
      </c>
      <c r="K44" s="911"/>
      <c r="L44" s="925"/>
      <c r="M44" s="768"/>
      <c r="N44" s="783"/>
      <c r="O44" s="136"/>
      <c r="P44" s="603"/>
      <c r="Q44" s="374" t="s">
        <v>177</v>
      </c>
      <c r="R44" s="374"/>
      <c r="S44" s="122">
        <f>E39</f>
        <v>545920.74560000002</v>
      </c>
      <c r="T44" s="378">
        <f>F39</f>
        <v>1574266</v>
      </c>
      <c r="U44" s="158">
        <f t="shared" si="15"/>
        <v>2.8836896430264547</v>
      </c>
      <c r="V44" s="899"/>
      <c r="W44" s="900"/>
      <c r="X44" s="106"/>
      <c r="Y44" s="106"/>
      <c r="Z44" s="106"/>
      <c r="AA44" s="106"/>
    </row>
    <row r="45" spans="1:47" s="28" customFormat="1" ht="15.95" customHeight="1">
      <c r="A45" s="879" t="s">
        <v>144</v>
      </c>
      <c r="B45" s="879"/>
      <c r="C45" s="879"/>
      <c r="D45" s="879"/>
      <c r="E45" s="768" t="s">
        <v>150</v>
      </c>
      <c r="F45" s="767">
        <f>D39+G39+J39+P39+S39+V39</f>
        <v>14.047090354452164</v>
      </c>
      <c r="G45" s="106"/>
      <c r="H45" s="923" t="s">
        <v>1004</v>
      </c>
      <c r="I45" s="923"/>
      <c r="J45" s="912">
        <f>'01'!M162+'02'!M210+'03'!M301+'04'!M215+'05'!M227+'06'!M146+'07'!M139+'08'!M201+'09'!M143+'10'!M274+'11'!M256+'12'!M148+'13'!M185+'14'!M163+'15'!M243+'16'!M187+'17'!M219+'18'!M240+'19'!M223+'20'!M195+'27'!M177+'28'!M246+'29'!M183+'30'!M278+'31'!M233</f>
        <v>88459.384000000005</v>
      </c>
      <c r="K45" s="912"/>
      <c r="L45" s="784"/>
      <c r="M45" s="768"/>
      <c r="N45" s="783"/>
      <c r="O45" s="136"/>
      <c r="P45" s="109"/>
      <c r="Q45" s="374" t="s">
        <v>22</v>
      </c>
      <c r="R45" s="374"/>
      <c r="S45" s="122">
        <f>H39</f>
        <v>518531.53360000002</v>
      </c>
      <c r="T45" s="378">
        <f>I39</f>
        <v>624516</v>
      </c>
      <c r="U45" s="158">
        <f t="shared" si="15"/>
        <v>1.2043934833898788</v>
      </c>
      <c r="V45" s="899"/>
      <c r="W45" s="900"/>
      <c r="X45" s="106"/>
      <c r="Y45" s="106"/>
      <c r="Z45" s="106"/>
      <c r="AA45" s="106"/>
      <c r="AK45" s="277" t="s">
        <v>157</v>
      </c>
      <c r="AL45" s="163">
        <f>AC39</f>
        <v>16000</v>
      </c>
      <c r="AM45" s="163"/>
      <c r="AN45" s="163">
        <f>AD39</f>
        <v>516.12903225806451</v>
      </c>
    </row>
    <row r="46" spans="1:47" s="28" customFormat="1" ht="15.95" customHeight="1">
      <c r="A46" s="879" t="s">
        <v>143</v>
      </c>
      <c r="B46" s="879"/>
      <c r="C46" s="879"/>
      <c r="D46" s="879"/>
      <c r="E46" s="768" t="s">
        <v>150</v>
      </c>
      <c r="F46" s="767">
        <f>V39</f>
        <v>1.88603734364219</v>
      </c>
      <c r="G46" s="106"/>
      <c r="H46" s="885" t="s">
        <v>915</v>
      </c>
      <c r="I46" s="885"/>
      <c r="J46" s="892">
        <f t="shared" ref="J46" si="16">T43</f>
        <v>497283.15</v>
      </c>
      <c r="K46" s="885"/>
      <c r="L46" s="893">
        <f>J46+J47+J48</f>
        <v>2696065.15</v>
      </c>
      <c r="M46" s="768"/>
      <c r="N46" s="783"/>
      <c r="O46" s="136"/>
      <c r="P46" s="109"/>
      <c r="Q46" s="374" t="s">
        <v>178</v>
      </c>
      <c r="R46" s="374"/>
      <c r="S46" s="134">
        <f>N39</f>
        <v>405387.67759999994</v>
      </c>
      <c r="T46" s="785">
        <f>O39</f>
        <v>2417518.1580000003</v>
      </c>
      <c r="U46" s="786">
        <f t="shared" si="15"/>
        <v>5.9634722306122718</v>
      </c>
      <c r="V46" s="899"/>
      <c r="W46" s="900"/>
      <c r="X46" s="106"/>
      <c r="Y46" s="106"/>
      <c r="Z46" s="106"/>
      <c r="AA46" s="106"/>
      <c r="AL46" s="164"/>
      <c r="AM46" s="164"/>
      <c r="AN46" s="164"/>
    </row>
    <row r="47" spans="1:47" s="28" customFormat="1" ht="15.95" customHeight="1">
      <c r="A47" s="879" t="s">
        <v>145</v>
      </c>
      <c r="B47" s="879"/>
      <c r="C47" s="879"/>
      <c r="D47" s="879"/>
      <c r="E47" s="768" t="s">
        <v>150</v>
      </c>
      <c r="F47" s="769">
        <f>Y39</f>
        <v>5.4463343050507751</v>
      </c>
      <c r="G47" s="106"/>
      <c r="H47" s="885" t="s">
        <v>916</v>
      </c>
      <c r="I47" s="885"/>
      <c r="J47" s="892">
        <f t="shared" ref="J47:J53" si="17">T44</f>
        <v>1574266</v>
      </c>
      <c r="K47" s="885"/>
      <c r="L47" s="893"/>
      <c r="M47" s="586">
        <f>D39+G39+J39</f>
        <v>4.970911855101976</v>
      </c>
      <c r="N47" s="783"/>
      <c r="O47" s="136"/>
      <c r="P47" s="109"/>
      <c r="Q47" s="886" t="s">
        <v>40</v>
      </c>
      <c r="R47" s="887"/>
      <c r="S47" s="122">
        <f>Q39</f>
        <v>394220.92800000001</v>
      </c>
      <c r="T47" s="378">
        <f>R39</f>
        <v>483578.56199999992</v>
      </c>
      <c r="U47" s="158">
        <f t="shared" si="15"/>
        <v>1.2266689250957268</v>
      </c>
      <c r="V47" s="899"/>
      <c r="W47" s="900"/>
      <c r="X47" s="106"/>
      <c r="Y47" s="106"/>
      <c r="Z47" s="106"/>
      <c r="AA47" s="106"/>
      <c r="AK47" s="277" t="s">
        <v>778</v>
      </c>
      <c r="AL47" s="163">
        <f>AG39</f>
        <v>945</v>
      </c>
      <c r="AM47" s="163"/>
      <c r="AN47" s="163">
        <f>AH39</f>
        <v>30.483870967741936</v>
      </c>
    </row>
    <row r="48" spans="1:47" s="28" customFormat="1" ht="15.95" customHeight="1">
      <c r="A48" s="879" t="s">
        <v>141</v>
      </c>
      <c r="B48" s="879"/>
      <c r="C48" s="879"/>
      <c r="D48" s="879"/>
      <c r="E48" s="768" t="s">
        <v>150</v>
      </c>
      <c r="F48" s="769">
        <f>F45+F47</f>
        <v>19.493424659502939</v>
      </c>
      <c r="G48" s="106"/>
      <c r="H48" s="885" t="s">
        <v>22</v>
      </c>
      <c r="I48" s="885"/>
      <c r="J48" s="888">
        <f t="shared" si="17"/>
        <v>624516</v>
      </c>
      <c r="K48" s="889"/>
      <c r="L48" s="893"/>
      <c r="M48" s="768"/>
      <c r="N48" s="783"/>
      <c r="O48" s="136"/>
      <c r="P48" s="109"/>
      <c r="Q48" s="886" t="s">
        <v>11</v>
      </c>
      <c r="R48" s="887"/>
      <c r="S48" s="122">
        <f>T39</f>
        <v>376376.65679999994</v>
      </c>
      <c r="T48" s="378">
        <f>U39</f>
        <v>709860.43</v>
      </c>
      <c r="U48" s="158">
        <f t="shared" si="15"/>
        <v>1.88603734364219</v>
      </c>
      <c r="V48" s="899"/>
      <c r="W48" s="900"/>
      <c r="X48" s="106"/>
      <c r="Y48" s="106"/>
      <c r="Z48" s="106"/>
      <c r="AA48" s="106"/>
      <c r="AL48" s="164"/>
      <c r="AM48" s="164"/>
      <c r="AN48" s="164"/>
    </row>
    <row r="49" spans="1:45" s="28" customFormat="1" ht="15.95" customHeight="1">
      <c r="A49" s="879" t="s">
        <v>153</v>
      </c>
      <c r="B49" s="879"/>
      <c r="C49" s="879"/>
      <c r="D49" s="879"/>
      <c r="E49" s="768" t="s">
        <v>150</v>
      </c>
      <c r="F49" s="770">
        <f>AH45+AH47+AH49</f>
        <v>0</v>
      </c>
      <c r="G49" s="106"/>
      <c r="H49" s="885" t="s">
        <v>178</v>
      </c>
      <c r="I49" s="885"/>
      <c r="J49" s="890">
        <f t="shared" si="17"/>
        <v>2417518.1580000003</v>
      </c>
      <c r="K49" s="891"/>
      <c r="L49" s="136"/>
      <c r="M49" s="768"/>
      <c r="N49" s="783"/>
      <c r="O49" s="136"/>
      <c r="P49" s="109"/>
      <c r="Q49" s="886" t="s">
        <v>42</v>
      </c>
      <c r="R49" s="887"/>
      <c r="S49" s="787">
        <f>W39</f>
        <v>93038.01999999999</v>
      </c>
      <c r="T49" s="785">
        <f>X39</f>
        <v>506716.16000000003</v>
      </c>
      <c r="U49" s="786">
        <f t="shared" si="15"/>
        <v>5.4463343050507751</v>
      </c>
      <c r="V49" s="899"/>
      <c r="W49" s="900"/>
      <c r="X49" s="106"/>
      <c r="Y49" s="106"/>
      <c r="Z49" s="106"/>
      <c r="AA49" s="106"/>
      <c r="AK49" s="278" t="s">
        <v>158</v>
      </c>
      <c r="AL49" s="163">
        <f>AK39</f>
        <v>0</v>
      </c>
      <c r="AM49" s="163"/>
      <c r="AN49" s="163">
        <f>AL39</f>
        <v>0</v>
      </c>
      <c r="AQ49" s="307"/>
    </row>
    <row r="50" spans="1:45" s="28" customFormat="1" ht="15.95" customHeight="1">
      <c r="A50" s="879" t="s">
        <v>154</v>
      </c>
      <c r="B50" s="879"/>
      <c r="C50" s="879"/>
      <c r="D50" s="879"/>
      <c r="E50" s="768" t="s">
        <v>150</v>
      </c>
      <c r="F50" s="770">
        <f>F41+F49</f>
        <v>6826078.46</v>
      </c>
      <c r="G50" s="106"/>
      <c r="H50" s="885" t="s">
        <v>40</v>
      </c>
      <c r="I50" s="885"/>
      <c r="J50" s="892">
        <f t="shared" si="17"/>
        <v>483578.56199999992</v>
      </c>
      <c r="K50" s="885"/>
      <c r="L50" s="466"/>
      <c r="M50" s="768"/>
      <c r="N50" s="783"/>
      <c r="O50" s="788"/>
      <c r="P50" s="789"/>
      <c r="Q50" s="886" t="s">
        <v>35</v>
      </c>
      <c r="R50" s="887"/>
      <c r="S50" s="789">
        <f>K39</f>
        <v>18943.128555961954</v>
      </c>
      <c r="T50" s="378">
        <f>L39</f>
        <v>12340</v>
      </c>
      <c r="U50" s="158">
        <f t="shared" si="15"/>
        <v>0.65142354725329898</v>
      </c>
      <c r="V50" s="899"/>
      <c r="W50" s="900"/>
      <c r="X50" s="106"/>
      <c r="Y50" s="106"/>
      <c r="Z50" s="106"/>
      <c r="AA50" s="106"/>
    </row>
    <row r="51" spans="1:45" s="28" customFormat="1" ht="15.95" customHeight="1">
      <c r="A51" s="879" t="s">
        <v>155</v>
      </c>
      <c r="B51" s="879"/>
      <c r="C51" s="879"/>
      <c r="D51" s="879"/>
      <c r="E51" s="768" t="s">
        <v>150</v>
      </c>
      <c r="F51" s="769">
        <f>F50/N39</f>
        <v>16.838396520614914</v>
      </c>
      <c r="G51" s="106"/>
      <c r="H51" s="885" t="s">
        <v>11</v>
      </c>
      <c r="I51" s="885"/>
      <c r="J51" s="892">
        <f t="shared" si="17"/>
        <v>709860.43</v>
      </c>
      <c r="K51" s="892"/>
      <c r="L51" s="136"/>
      <c r="M51" s="109"/>
      <c r="N51" s="109"/>
      <c r="O51" s="136"/>
      <c r="P51" s="109"/>
      <c r="Q51" s="374" t="s">
        <v>301</v>
      </c>
      <c r="R51" s="374"/>
      <c r="S51" s="790">
        <f>SUM(S43:S50)</f>
        <v>2915702.5229559615</v>
      </c>
      <c r="T51" s="779">
        <f>SUM(T43:T50)</f>
        <v>6826078.46</v>
      </c>
      <c r="U51" s="791">
        <f>U43+U44+U45+U46+U47+U48</f>
        <v>14.047090354452164</v>
      </c>
      <c r="V51" s="899"/>
      <c r="W51" s="900"/>
      <c r="X51" s="106"/>
      <c r="Y51" s="106"/>
      <c r="Z51" s="106"/>
      <c r="AA51" s="106"/>
      <c r="AK51" s="279" t="s">
        <v>159</v>
      </c>
      <c r="AL51" s="163">
        <f>AO39</f>
        <v>0</v>
      </c>
      <c r="AM51" s="163"/>
      <c r="AN51" s="163">
        <f>AP39</f>
        <v>0</v>
      </c>
    </row>
    <row r="52" spans="1:45" s="28" customFormat="1" ht="15.95" customHeight="1">
      <c r="A52" s="106"/>
      <c r="B52" s="106"/>
      <c r="C52" s="106"/>
      <c r="D52" s="106"/>
      <c r="E52" s="106"/>
      <c r="F52" s="106"/>
      <c r="G52" s="106"/>
      <c r="H52" s="885" t="s">
        <v>42</v>
      </c>
      <c r="I52" s="885"/>
      <c r="J52" s="892">
        <f t="shared" si="17"/>
        <v>506716.16000000003</v>
      </c>
      <c r="K52" s="885"/>
      <c r="L52" s="136"/>
      <c r="M52" s="109"/>
      <c r="N52" s="109"/>
      <c r="O52" s="106"/>
      <c r="P52" s="879" t="s">
        <v>383</v>
      </c>
      <c r="Q52" s="879"/>
      <c r="R52" s="879"/>
      <c r="S52" s="792">
        <f>SUM(S51)</f>
        <v>2915702.5229559615</v>
      </c>
      <c r="T52" s="793">
        <f>SUM(T51)</f>
        <v>6826078.46</v>
      </c>
      <c r="U52" s="791">
        <f>U43+U44+U45+U46+U47+U48+U49</f>
        <v>19.493424659502939</v>
      </c>
      <c r="V52" s="899"/>
      <c r="W52" s="900"/>
      <c r="X52" s="106"/>
      <c r="Y52" s="106"/>
      <c r="Z52" s="106"/>
      <c r="AA52" s="106"/>
    </row>
    <row r="53" spans="1:45" s="28" customFormat="1" ht="15.95" customHeight="1">
      <c r="A53" s="106"/>
      <c r="B53" s="106"/>
      <c r="C53" s="106"/>
      <c r="D53" s="106"/>
      <c r="E53" s="106"/>
      <c r="F53" s="106"/>
      <c r="G53" s="106"/>
      <c r="H53" s="885" t="s">
        <v>35</v>
      </c>
      <c r="I53" s="885"/>
      <c r="J53" s="892">
        <f t="shared" si="17"/>
        <v>12340</v>
      </c>
      <c r="K53" s="885"/>
      <c r="L53" s="136"/>
      <c r="M53" s="109"/>
      <c r="N53" s="109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K53" s="280" t="s">
        <v>300</v>
      </c>
      <c r="AL53" s="157">
        <f>AL45+AL47+AL49+AL51</f>
        <v>16945</v>
      </c>
      <c r="AM53" s="157"/>
      <c r="AN53" s="157">
        <f>AN47+AN49+AN51</f>
        <v>30.483870967741936</v>
      </c>
    </row>
    <row r="54" spans="1:45" s="28" customFormat="1" ht="15.95" customHeight="1">
      <c r="A54" s="106"/>
      <c r="B54" s="106"/>
      <c r="C54" s="106"/>
      <c r="D54" s="106"/>
      <c r="E54" s="106"/>
      <c r="F54" s="106"/>
      <c r="G54" s="106"/>
      <c r="H54" s="317" t="s">
        <v>1039</v>
      </c>
      <c r="I54" s="109"/>
      <c r="J54" s="896">
        <f>J43+J44</f>
        <v>6826078.4600000009</v>
      </c>
      <c r="K54" s="897"/>
      <c r="L54" s="136"/>
      <c r="M54" s="109"/>
      <c r="N54" s="109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</row>
    <row r="55" spans="1:45" s="28" customFormat="1" ht="15.95" customHeight="1">
      <c r="A55" s="106"/>
      <c r="B55" s="106"/>
      <c r="C55" s="106"/>
      <c r="D55" s="106"/>
      <c r="E55" s="106"/>
      <c r="F55" s="106"/>
      <c r="G55" s="106"/>
      <c r="H55" s="130"/>
      <c r="I55" s="130"/>
      <c r="J55" s="898"/>
      <c r="K55" s="898"/>
      <c r="L55" s="136"/>
      <c r="M55" s="136"/>
      <c r="N55" s="13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</row>
    <row r="56" spans="1:45" s="28" customFormat="1" ht="15.95" customHeight="1">
      <c r="A56" s="106"/>
      <c r="B56" s="106"/>
      <c r="C56" s="106"/>
      <c r="D56" s="106"/>
      <c r="E56" s="106"/>
      <c r="F56" s="106"/>
      <c r="G56" s="106"/>
      <c r="H56" s="130"/>
      <c r="I56" s="136"/>
      <c r="J56" s="894"/>
      <c r="K56" s="895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</row>
    <row r="57" spans="1:45" s="28" customFormat="1" ht="15.95" customHeight="1">
      <c r="A57" s="595"/>
      <c r="B57" s="595"/>
      <c r="C57" s="595"/>
      <c r="D57" s="595"/>
      <c r="E57" s="870"/>
      <c r="F57" s="870"/>
      <c r="G57" s="595"/>
      <c r="H57" s="595"/>
      <c r="I57" s="595"/>
      <c r="J57" s="595"/>
      <c r="K57" s="595"/>
      <c r="L57" s="870"/>
      <c r="M57" s="870"/>
      <c r="N57" s="136"/>
      <c r="O57" s="595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C57" s="284"/>
      <c r="AD57" s="284"/>
      <c r="AE57" s="284"/>
      <c r="AF57" s="284"/>
      <c r="AG57" s="284"/>
      <c r="AH57" s="391"/>
      <c r="AI57" s="391"/>
      <c r="AJ57" s="391"/>
      <c r="AK57" s="284"/>
      <c r="AL57" s="284"/>
      <c r="AM57" s="284"/>
      <c r="AN57" s="284"/>
      <c r="AO57" s="284"/>
      <c r="AP57" s="391"/>
      <c r="AQ57" s="391"/>
      <c r="AR57" s="136"/>
      <c r="AS57" s="284"/>
    </row>
    <row r="58" spans="1:45" s="28" customFormat="1" ht="15.95" customHeight="1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</row>
    <row r="59" spans="1:45" s="28" customFormat="1" ht="15.95" customHeight="1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</row>
    <row r="60" spans="1:45" s="28" customFormat="1" ht="15.95" customHeight="1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</row>
    <row r="61" spans="1:45" ht="15.95" customHeight="1">
      <c r="A61" s="870"/>
      <c r="B61" s="870"/>
      <c r="C61" s="870"/>
      <c r="D61" s="870"/>
      <c r="E61" s="870"/>
      <c r="F61" s="870"/>
      <c r="G61" s="870"/>
      <c r="H61" s="870"/>
      <c r="I61" s="870"/>
      <c r="J61" s="870"/>
      <c r="K61" s="595"/>
      <c r="L61" s="136"/>
      <c r="M61" s="595"/>
      <c r="N61" s="70"/>
      <c r="O61" s="263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</row>
    <row r="62" spans="1:45" ht="15.95" customHeight="1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</row>
    <row r="63" spans="1:45" s="28" customFormat="1" ht="15.95" customHeight="1">
      <c r="A63" s="595"/>
      <c r="B63" s="840" t="s">
        <v>240</v>
      </c>
      <c r="C63" s="840"/>
      <c r="D63" s="587"/>
      <c r="E63" s="840" t="s">
        <v>65</v>
      </c>
      <c r="F63" s="840"/>
      <c r="G63" s="840" t="s">
        <v>241</v>
      </c>
      <c r="H63" s="840"/>
      <c r="I63" s="840"/>
      <c r="J63" s="895" t="s">
        <v>66</v>
      </c>
      <c r="K63" s="895"/>
      <c r="L63" s="840" t="s">
        <v>242</v>
      </c>
      <c r="M63" s="840"/>
      <c r="N63" s="840"/>
      <c r="O63" s="587" t="s">
        <v>1129</v>
      </c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C63" s="523" t="s">
        <v>240</v>
      </c>
      <c r="AD63" s="523"/>
      <c r="AE63" s="523"/>
      <c r="AF63" s="523"/>
      <c r="AG63" s="523"/>
      <c r="AH63" s="870" t="s">
        <v>65</v>
      </c>
      <c r="AI63" s="870"/>
      <c r="AJ63" s="870"/>
      <c r="AK63" s="523"/>
      <c r="AL63" s="523" t="s">
        <v>241</v>
      </c>
      <c r="AM63" s="523"/>
      <c r="AN63" s="523" t="s">
        <v>66</v>
      </c>
      <c r="AO63" s="523"/>
      <c r="AP63" s="870" t="s">
        <v>242</v>
      </c>
      <c r="AQ63" s="870"/>
      <c r="AR63" s="136"/>
      <c r="AS63" s="523" t="s">
        <v>730</v>
      </c>
    </row>
    <row r="64" spans="1:45" ht="15.95" customHeight="1">
      <c r="A64" s="870"/>
      <c r="B64" s="870"/>
      <c r="C64" s="870"/>
      <c r="D64" s="870"/>
      <c r="E64" s="870"/>
      <c r="F64" s="870"/>
      <c r="G64" s="870"/>
      <c r="H64" s="870"/>
      <c r="I64" s="870"/>
      <c r="J64" s="870"/>
      <c r="K64" s="159"/>
      <c r="L64" s="136"/>
      <c r="M64" s="159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</row>
    <row r="65" spans="1:27" ht="15.95" customHeight="1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</row>
    <row r="66" spans="1:27" ht="15.95" customHeight="1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</row>
    <row r="67" spans="1:27" ht="15.95" customHeight="1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</row>
    <row r="68" spans="1:27" ht="15" customHeight="1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</row>
    <row r="69" spans="1:27" ht="15" customHeight="1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</row>
    <row r="70" spans="1:27" ht="15" customHeight="1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</row>
    <row r="71" spans="1:27" ht="15" customHeight="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</row>
    <row r="72" spans="1:27" ht="15" customHeight="1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</row>
    <row r="73" spans="1:27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</row>
    <row r="74" spans="1:27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</row>
    <row r="75" spans="1:27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</row>
    <row r="76" spans="1:27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</row>
    <row r="77" spans="1:27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</row>
    <row r="78" spans="1:27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</row>
    <row r="79" spans="1:27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</row>
    <row r="80" spans="1:27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</row>
    <row r="81" spans="1:27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</row>
    <row r="82" spans="1:27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</row>
    <row r="83" spans="1:27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</row>
    <row r="84" spans="1:27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</row>
    <row r="85" spans="1:27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  <row r="89" spans="1:27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</row>
    <row r="90" spans="1:27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</row>
    <row r="91" spans="1:27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</row>
    <row r="92" spans="1:27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</row>
    <row r="93" spans="1:27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</row>
  </sheetData>
  <mergeCells count="96">
    <mergeCell ref="K5:M5"/>
    <mergeCell ref="J53:K53"/>
    <mergeCell ref="H43:I43"/>
    <mergeCell ref="H44:I44"/>
    <mergeCell ref="H45:I45"/>
    <mergeCell ref="H46:I46"/>
    <mergeCell ref="H47:I47"/>
    <mergeCell ref="H48:I48"/>
    <mergeCell ref="H49:I49"/>
    <mergeCell ref="H50:I50"/>
    <mergeCell ref="H51:I51"/>
    <mergeCell ref="H52:I52"/>
    <mergeCell ref="L43:L44"/>
    <mergeCell ref="AN5:AP5"/>
    <mergeCell ref="AQ5:AT5"/>
    <mergeCell ref="A51:D51"/>
    <mergeCell ref="J51:K51"/>
    <mergeCell ref="P52:R52"/>
    <mergeCell ref="V52:W52"/>
    <mergeCell ref="V51:W51"/>
    <mergeCell ref="V43:W43"/>
    <mergeCell ref="V44:W44"/>
    <mergeCell ref="AB5:AD5"/>
    <mergeCell ref="AF5:AH5"/>
    <mergeCell ref="V50:W50"/>
    <mergeCell ref="A49:D49"/>
    <mergeCell ref="V49:W49"/>
    <mergeCell ref="J52:K52"/>
    <mergeCell ref="H42:K42"/>
    <mergeCell ref="A64:B64"/>
    <mergeCell ref="C64:E64"/>
    <mergeCell ref="F64:G64"/>
    <mergeCell ref="H64:J64"/>
    <mergeCell ref="L57:M57"/>
    <mergeCell ref="A61:B61"/>
    <mergeCell ref="C61:E61"/>
    <mergeCell ref="F61:G61"/>
    <mergeCell ref="H61:J61"/>
    <mergeCell ref="E57:F57"/>
    <mergeCell ref="J63:K63"/>
    <mergeCell ref="G63:I63"/>
    <mergeCell ref="B63:C63"/>
    <mergeCell ref="L63:N63"/>
    <mergeCell ref="AB1:AK1"/>
    <mergeCell ref="AB2:AK2"/>
    <mergeCell ref="AB3:AK3"/>
    <mergeCell ref="AB4:AK4"/>
    <mergeCell ref="A48:D48"/>
    <mergeCell ref="A5:A6"/>
    <mergeCell ref="N5:P5"/>
    <mergeCell ref="B5:D5"/>
    <mergeCell ref="E5:G5"/>
    <mergeCell ref="H5:J5"/>
    <mergeCell ref="Q5:S5"/>
    <mergeCell ref="V47:W47"/>
    <mergeCell ref="V48:W48"/>
    <mergeCell ref="J43:K43"/>
    <mergeCell ref="J44:K44"/>
    <mergeCell ref="J45:K45"/>
    <mergeCell ref="AJ5:AL5"/>
    <mergeCell ref="A50:D50"/>
    <mergeCell ref="W5:Y5"/>
    <mergeCell ref="A41:D41"/>
    <mergeCell ref="A42:D42"/>
    <mergeCell ref="A43:D43"/>
    <mergeCell ref="A44:D44"/>
    <mergeCell ref="O41:P41"/>
    <mergeCell ref="T5:V5"/>
    <mergeCell ref="M41:N41"/>
    <mergeCell ref="A45:D45"/>
    <mergeCell ref="A46:D46"/>
    <mergeCell ref="A47:D47"/>
    <mergeCell ref="J46:K46"/>
    <mergeCell ref="J47:K47"/>
    <mergeCell ref="Q47:R47"/>
    <mergeCell ref="AH63:AJ63"/>
    <mergeCell ref="AP63:AQ63"/>
    <mergeCell ref="V42:W42"/>
    <mergeCell ref="V45:W45"/>
    <mergeCell ref="V46:W46"/>
    <mergeCell ref="A1:Z1"/>
    <mergeCell ref="A2:Z2"/>
    <mergeCell ref="A3:Z3"/>
    <mergeCell ref="H41:I41"/>
    <mergeCell ref="E63:F63"/>
    <mergeCell ref="H53:I53"/>
    <mergeCell ref="Q48:R48"/>
    <mergeCell ref="Q49:R49"/>
    <mergeCell ref="Q50:R50"/>
    <mergeCell ref="J48:K48"/>
    <mergeCell ref="J49:K49"/>
    <mergeCell ref="J50:K50"/>
    <mergeCell ref="L46:L48"/>
    <mergeCell ref="J56:K56"/>
    <mergeCell ref="J54:K54"/>
    <mergeCell ref="J55:K55"/>
  </mergeCells>
  <pageMargins left="0.2" right="0.2" top="0.75" bottom="0.25" header="0.3" footer="0.3"/>
  <pageSetup scale="55" fitToWidth="0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188"/>
  <sheetViews>
    <sheetView topLeftCell="A136" workbookViewId="0">
      <selection activeCell="N30" sqref="N30"/>
    </sheetView>
  </sheetViews>
  <sheetFormatPr defaultRowHeight="15"/>
  <cols>
    <col min="2" max="2" width="13.42578125" bestFit="1" customWidth="1"/>
    <col min="3" max="3" width="12.5703125" bestFit="1" customWidth="1"/>
    <col min="4" max="4" width="19.7109375" customWidth="1"/>
    <col min="5" max="5" width="12.7109375" bestFit="1" customWidth="1"/>
    <col min="6" max="6" width="10.5703125" bestFit="1" customWidth="1"/>
    <col min="7" max="7" width="24.42578125" bestFit="1" customWidth="1"/>
    <col min="8" max="8" width="6.42578125" bestFit="1" customWidth="1"/>
    <col min="9" max="9" width="10.5703125" bestFit="1" customWidth="1"/>
    <col min="10" max="10" width="9.5703125" bestFit="1" customWidth="1"/>
    <col min="11" max="11" width="11.5703125" bestFit="1" customWidth="1"/>
    <col min="12" max="12" width="9.42578125" customWidth="1"/>
    <col min="13" max="13" width="10.28515625" customWidth="1"/>
    <col min="14" max="14" width="12.7109375" customWidth="1"/>
  </cols>
  <sheetData>
    <row r="1" spans="1:14" s="71" customFormat="1" ht="23.25">
      <c r="A1" s="846" t="s">
        <v>146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383"/>
    </row>
    <row r="2" spans="1:14" s="71" customFormat="1" ht="15.6" customHeight="1">
      <c r="A2" s="827" t="s">
        <v>147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384"/>
    </row>
    <row r="3" spans="1:14" s="441" customFormat="1" ht="15.6" customHeight="1">
      <c r="A3" s="828" t="s">
        <v>148</v>
      </c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  <c r="M3" s="828"/>
      <c r="N3" s="385"/>
    </row>
    <row r="4" spans="1:14" s="71" customFormat="1" ht="15.6" customHeight="1">
      <c r="A4" s="106" t="s">
        <v>21</v>
      </c>
      <c r="B4" s="106"/>
      <c r="C4" s="106"/>
      <c r="D4" s="106"/>
      <c r="E4" s="106"/>
      <c r="F4" s="107"/>
      <c r="G4" s="107"/>
      <c r="H4" s="107"/>
      <c r="I4" s="107"/>
      <c r="J4" s="107"/>
      <c r="K4" s="867" t="s">
        <v>1106</v>
      </c>
      <c r="L4" s="867"/>
      <c r="M4" s="867"/>
      <c r="N4" s="107"/>
    </row>
    <row r="5" spans="1:14" s="71" customFormat="1" ht="15.6" customHeight="1">
      <c r="A5" s="273" t="s">
        <v>0</v>
      </c>
      <c r="B5" s="273" t="s">
        <v>7</v>
      </c>
      <c r="C5" s="273" t="s">
        <v>13</v>
      </c>
      <c r="D5" s="273" t="s">
        <v>14</v>
      </c>
      <c r="E5" s="273" t="s">
        <v>8</v>
      </c>
      <c r="F5" s="273" t="s">
        <v>1</v>
      </c>
      <c r="G5" s="273" t="s">
        <v>2</v>
      </c>
      <c r="H5" s="273" t="s">
        <v>15</v>
      </c>
      <c r="I5" s="273" t="s">
        <v>3</v>
      </c>
      <c r="J5" s="273" t="s">
        <v>4</v>
      </c>
      <c r="K5" s="273" t="s">
        <v>5</v>
      </c>
      <c r="L5" s="273" t="s">
        <v>12</v>
      </c>
      <c r="M5" s="273" t="s">
        <v>6</v>
      </c>
      <c r="N5" s="107"/>
    </row>
    <row r="6" spans="1:14" s="71" customFormat="1" ht="15.6" customHeight="1">
      <c r="A6" s="552">
        <v>1</v>
      </c>
      <c r="B6" s="552" t="s">
        <v>1107</v>
      </c>
      <c r="C6" s="552" t="s">
        <v>1033</v>
      </c>
      <c r="D6" s="552" t="s">
        <v>1085</v>
      </c>
      <c r="E6" s="552"/>
      <c r="F6" s="90">
        <f>1749*1.0936</f>
        <v>1912.7063999999998</v>
      </c>
      <c r="G6" s="552" t="s">
        <v>170</v>
      </c>
      <c r="H6" s="79"/>
      <c r="I6" s="80">
        <v>7.5</v>
      </c>
      <c r="J6" s="81">
        <v>227</v>
      </c>
      <c r="K6" s="81">
        <f t="shared" ref="K6:K7" si="0">I6*J6</f>
        <v>1702.5</v>
      </c>
      <c r="L6" s="79"/>
      <c r="M6" s="156">
        <f>I6+I10+I14</f>
        <v>37.5</v>
      </c>
      <c r="N6" s="552" t="s">
        <v>173</v>
      </c>
    </row>
    <row r="7" spans="1:14" s="71" customFormat="1" ht="15.6" customHeight="1">
      <c r="A7" s="552"/>
      <c r="B7" s="552" t="s">
        <v>1108</v>
      </c>
      <c r="C7" s="552" t="s">
        <v>1033</v>
      </c>
      <c r="D7" s="552" t="s">
        <v>1085</v>
      </c>
      <c r="E7" s="552"/>
      <c r="F7" s="90">
        <f>1776*1.0936</f>
        <v>1942.2335999999998</v>
      </c>
      <c r="G7" s="552" t="s">
        <v>171</v>
      </c>
      <c r="H7" s="79"/>
      <c r="I7" s="80">
        <v>4.5</v>
      </c>
      <c r="J7" s="81">
        <v>416</v>
      </c>
      <c r="K7" s="81">
        <f t="shared" si="0"/>
        <v>1872</v>
      </c>
      <c r="L7" s="79"/>
      <c r="M7" s="156" t="e">
        <f>I7+I11+I15+I25+I31+#REF!+#REF!</f>
        <v>#REF!</v>
      </c>
      <c r="N7" s="552" t="s">
        <v>174</v>
      </c>
    </row>
    <row r="8" spans="1:14" s="71" customFormat="1" ht="15.6" customHeight="1">
      <c r="A8" s="552"/>
      <c r="B8" s="552"/>
      <c r="C8" s="552"/>
      <c r="D8" s="552"/>
      <c r="E8" s="552"/>
      <c r="F8" s="87"/>
      <c r="G8" s="552" t="s">
        <v>172</v>
      </c>
      <c r="H8" s="79"/>
      <c r="I8" s="80">
        <v>6</v>
      </c>
      <c r="J8" s="81">
        <v>165</v>
      </c>
      <c r="K8" s="81">
        <f>I8*J8</f>
        <v>990</v>
      </c>
      <c r="L8" s="79"/>
      <c r="M8" s="156" t="e">
        <f>I8+I12+I16+I26+I32+#REF!+#REF!</f>
        <v>#REF!</v>
      </c>
      <c r="N8" s="552" t="s">
        <v>172</v>
      </c>
    </row>
    <row r="9" spans="1:14" s="71" customFormat="1" ht="15.6" customHeight="1">
      <c r="A9" s="552"/>
      <c r="B9" s="552"/>
      <c r="C9" s="552"/>
      <c r="D9" s="552"/>
      <c r="E9" s="273" t="s">
        <v>9</v>
      </c>
      <c r="F9" s="108">
        <f>SUM(F6:F8)</f>
        <v>3854.9399999999996</v>
      </c>
      <c r="G9" s="273"/>
      <c r="H9" s="273"/>
      <c r="I9" s="80"/>
      <c r="J9" s="81"/>
      <c r="K9" s="103">
        <f>SUM(K6:K8)</f>
        <v>4564.5</v>
      </c>
      <c r="L9" s="103">
        <f>K9/F9</f>
        <v>1.1840651216361346</v>
      </c>
      <c r="M9" s="156" t="e">
        <f>I23+I29+#REF!+#REF!+I38+#REF!+#REF!+#REF!</f>
        <v>#REF!</v>
      </c>
      <c r="N9" s="552" t="s">
        <v>24</v>
      </c>
    </row>
    <row r="10" spans="1:14" s="71" customFormat="1" ht="15.6" customHeight="1">
      <c r="A10" s="552">
        <v>2</v>
      </c>
      <c r="B10" s="552" t="s">
        <v>1108</v>
      </c>
      <c r="C10" s="552" t="s">
        <v>1033</v>
      </c>
      <c r="D10" s="552" t="s">
        <v>1034</v>
      </c>
      <c r="E10" s="552"/>
      <c r="F10" s="90">
        <f>3835*1.0936</f>
        <v>4193.9559999999992</v>
      </c>
      <c r="G10" s="552" t="s">
        <v>170</v>
      </c>
      <c r="H10" s="79"/>
      <c r="I10" s="80">
        <v>10</v>
      </c>
      <c r="J10" s="81">
        <v>227</v>
      </c>
      <c r="K10" s="81">
        <f t="shared" ref="K10:K11" si="1">I10*J10</f>
        <v>2270</v>
      </c>
      <c r="L10" s="79"/>
      <c r="M10" s="156" t="e">
        <f>I24+I30+#REF!+#REF!</f>
        <v>#REF!</v>
      </c>
      <c r="N10" s="552" t="s">
        <v>175</v>
      </c>
    </row>
    <row r="11" spans="1:14" s="71" customFormat="1" ht="15.6" customHeight="1">
      <c r="A11" s="552"/>
      <c r="B11" s="552"/>
      <c r="C11" s="552"/>
      <c r="D11" s="552"/>
      <c r="E11" s="552"/>
      <c r="F11" s="87"/>
      <c r="G11" s="552" t="s">
        <v>171</v>
      </c>
      <c r="H11" s="79"/>
      <c r="I11" s="80">
        <v>6</v>
      </c>
      <c r="J11" s="81">
        <v>416</v>
      </c>
      <c r="K11" s="81">
        <f t="shared" si="1"/>
        <v>2496</v>
      </c>
      <c r="L11" s="79"/>
      <c r="M11" s="156" t="e">
        <f>I27+I33+#REF!+#REF!</f>
        <v>#REF!</v>
      </c>
      <c r="N11" s="553" t="s">
        <v>176</v>
      </c>
    </row>
    <row r="12" spans="1:14" s="71" customFormat="1" ht="15.6" customHeight="1">
      <c r="A12" s="552"/>
      <c r="B12" s="552"/>
      <c r="C12" s="552"/>
      <c r="D12" s="552"/>
      <c r="E12" s="552"/>
      <c r="F12" s="87"/>
      <c r="G12" s="552" t="s">
        <v>172</v>
      </c>
      <c r="H12" s="79"/>
      <c r="I12" s="80">
        <v>8</v>
      </c>
      <c r="J12" s="81">
        <v>165</v>
      </c>
      <c r="K12" s="81">
        <f>I12*J12</f>
        <v>1320</v>
      </c>
      <c r="L12" s="79"/>
      <c r="M12" s="156" t="e">
        <f>I39+#REF!+#REF!+#REF!</f>
        <v>#REF!</v>
      </c>
      <c r="N12" s="430" t="s">
        <v>10</v>
      </c>
    </row>
    <row r="13" spans="1:14" s="71" customFormat="1" ht="15.6" customHeight="1">
      <c r="A13" s="552"/>
      <c r="B13" s="552"/>
      <c r="C13" s="552"/>
      <c r="D13" s="552"/>
      <c r="E13" s="273" t="s">
        <v>9</v>
      </c>
      <c r="F13" s="108">
        <f>SUM(F10:F12)</f>
        <v>4193.9559999999992</v>
      </c>
      <c r="G13" s="273"/>
      <c r="H13" s="273"/>
      <c r="I13" s="80"/>
      <c r="J13" s="81"/>
      <c r="K13" s="103">
        <f>SUM(K10:K12)</f>
        <v>6086</v>
      </c>
      <c r="L13" s="103">
        <f>K13/F13</f>
        <v>1.4511358726700998</v>
      </c>
      <c r="M13" s="79"/>
      <c r="N13" s="107"/>
    </row>
    <row r="14" spans="1:14" s="71" customFormat="1" ht="15.6" customHeight="1">
      <c r="A14" s="552">
        <v>3</v>
      </c>
      <c r="B14" s="552" t="s">
        <v>277</v>
      </c>
      <c r="C14" s="552" t="s">
        <v>516</v>
      </c>
      <c r="D14" s="552" t="s">
        <v>1109</v>
      </c>
      <c r="E14" s="552"/>
      <c r="F14" s="90">
        <f>528*1.0936</f>
        <v>577.42079999999999</v>
      </c>
      <c r="G14" s="552" t="s">
        <v>24</v>
      </c>
      <c r="H14" s="79"/>
      <c r="I14" s="80">
        <v>20</v>
      </c>
      <c r="J14" s="81">
        <v>74</v>
      </c>
      <c r="K14" s="81">
        <f t="shared" ref="K14:K16" si="2">I14*J14</f>
        <v>1480</v>
      </c>
      <c r="L14" s="79"/>
      <c r="M14" s="79"/>
      <c r="N14" s="107"/>
    </row>
    <row r="15" spans="1:14" s="71" customFormat="1" ht="15.6" customHeight="1">
      <c r="A15" s="552"/>
      <c r="B15" s="552" t="s">
        <v>269</v>
      </c>
      <c r="C15" s="552"/>
      <c r="D15" s="552"/>
      <c r="E15" s="552"/>
      <c r="F15" s="90">
        <f>375*1.0936</f>
        <v>410.09999999999997</v>
      </c>
      <c r="G15" s="88" t="s">
        <v>18</v>
      </c>
      <c r="H15" s="79"/>
      <c r="I15" s="80">
        <v>11</v>
      </c>
      <c r="J15" s="81">
        <v>46</v>
      </c>
      <c r="K15" s="81">
        <f t="shared" si="2"/>
        <v>506</v>
      </c>
      <c r="L15" s="79"/>
      <c r="M15" s="79"/>
      <c r="N15" s="107"/>
    </row>
    <row r="16" spans="1:14" s="71" customFormat="1" ht="15.6" customHeight="1">
      <c r="A16" s="552"/>
      <c r="B16" s="552"/>
      <c r="C16" s="552"/>
      <c r="D16" s="552"/>
      <c r="E16" s="552"/>
      <c r="F16" s="87"/>
      <c r="G16" s="552" t="s">
        <v>1067</v>
      </c>
      <c r="H16" s="79"/>
      <c r="I16" s="80">
        <v>3</v>
      </c>
      <c r="J16" s="81">
        <v>416</v>
      </c>
      <c r="K16" s="81">
        <f t="shared" si="2"/>
        <v>1248</v>
      </c>
      <c r="L16" s="79"/>
      <c r="M16" s="79"/>
      <c r="N16" s="107"/>
    </row>
    <row r="17" spans="1:14" s="71" customFormat="1" ht="15.6" customHeight="1">
      <c r="A17" s="552"/>
      <c r="B17" s="552"/>
      <c r="C17" s="552"/>
      <c r="D17" s="552"/>
      <c r="E17" s="552"/>
      <c r="F17" s="87"/>
      <c r="G17" s="552" t="s">
        <v>1065</v>
      </c>
      <c r="H17" s="79"/>
      <c r="I17" s="80">
        <v>2.5</v>
      </c>
      <c r="J17" s="81">
        <v>165</v>
      </c>
      <c r="K17" s="81">
        <f>I17*J17</f>
        <v>412.5</v>
      </c>
      <c r="L17" s="79"/>
      <c r="M17" s="79"/>
      <c r="N17" s="107"/>
    </row>
    <row r="18" spans="1:14" s="71" customFormat="1" ht="15.6" customHeight="1">
      <c r="A18" s="552"/>
      <c r="B18" s="552"/>
      <c r="C18" s="552"/>
      <c r="D18" s="552"/>
      <c r="E18" s="552"/>
      <c r="F18" s="87"/>
      <c r="G18" s="553" t="s">
        <v>1066</v>
      </c>
      <c r="H18" s="79"/>
      <c r="I18" s="80">
        <v>3</v>
      </c>
      <c r="J18" s="81">
        <v>165</v>
      </c>
      <c r="K18" s="81">
        <f t="shared" ref="K18" si="3">I18*J18</f>
        <v>495</v>
      </c>
      <c r="L18" s="79"/>
      <c r="M18" s="79"/>
      <c r="N18" s="107"/>
    </row>
    <row r="19" spans="1:14" s="71" customFormat="1" ht="15.6" customHeight="1">
      <c r="A19" s="552"/>
      <c r="B19" s="552"/>
      <c r="C19" s="552"/>
      <c r="D19" s="552"/>
      <c r="E19" s="273" t="s">
        <v>9</v>
      </c>
      <c r="F19" s="108">
        <f>SUM(F14:F18)</f>
        <v>987.52080000000001</v>
      </c>
      <c r="G19" s="273"/>
      <c r="H19" s="273"/>
      <c r="I19" s="80"/>
      <c r="J19" s="81"/>
      <c r="K19" s="103">
        <f>SUM(K14:K18)</f>
        <v>4141.5</v>
      </c>
      <c r="L19" s="103">
        <f>K19/F19</f>
        <v>4.1938357146502634</v>
      </c>
      <c r="M19" s="79"/>
      <c r="N19" s="107"/>
    </row>
    <row r="20" spans="1:14" s="71" customFormat="1" ht="15.6" customHeight="1">
      <c r="A20" s="107"/>
      <c r="B20" s="107"/>
      <c r="C20" s="107"/>
      <c r="D20" s="133" t="s">
        <v>30</v>
      </c>
      <c r="E20" s="133"/>
      <c r="F20" s="134">
        <f>F9+F13+F19</f>
        <v>9036.4167999999991</v>
      </c>
      <c r="G20" s="135"/>
      <c r="H20" s="135"/>
      <c r="I20" s="135"/>
      <c r="J20" s="135"/>
      <c r="K20" s="134">
        <f>K9+K13+K19</f>
        <v>14792</v>
      </c>
      <c r="L20" s="151">
        <f>K20/F20</f>
        <v>1.6369320193375765</v>
      </c>
      <c r="M20" s="107"/>
      <c r="N20" s="107"/>
    </row>
    <row r="21" spans="1:14" s="71" customFormat="1" ht="15.6" customHeight="1">
      <c r="A21" s="106" t="s">
        <v>23</v>
      </c>
      <c r="B21" s="106"/>
      <c r="C21" s="106"/>
      <c r="D21" s="106"/>
      <c r="E21" s="106"/>
      <c r="F21" s="107"/>
      <c r="G21" s="107"/>
      <c r="H21" s="107"/>
      <c r="I21" s="107"/>
      <c r="J21" s="107"/>
      <c r="K21" s="867" t="s">
        <v>1106</v>
      </c>
      <c r="L21" s="867"/>
      <c r="M21" s="867"/>
    </row>
    <row r="22" spans="1:14" s="71" customFormat="1" ht="15.6" customHeight="1">
      <c r="A22" s="273" t="s">
        <v>0</v>
      </c>
      <c r="B22" s="273" t="s">
        <v>7</v>
      </c>
      <c r="C22" s="273" t="s">
        <v>13</v>
      </c>
      <c r="D22" s="273" t="s">
        <v>14</v>
      </c>
      <c r="E22" s="273" t="s">
        <v>8</v>
      </c>
      <c r="F22" s="273" t="s">
        <v>1</v>
      </c>
      <c r="G22" s="273" t="s">
        <v>2</v>
      </c>
      <c r="H22" s="273" t="s">
        <v>15</v>
      </c>
      <c r="I22" s="273" t="s">
        <v>3</v>
      </c>
      <c r="J22" s="273" t="s">
        <v>4</v>
      </c>
      <c r="K22" s="273" t="s">
        <v>5</v>
      </c>
      <c r="L22" s="273" t="s">
        <v>12</v>
      </c>
      <c r="M22" s="273" t="s">
        <v>6</v>
      </c>
    </row>
    <row r="23" spans="1:14" s="71" customFormat="1" ht="15.6" customHeight="1">
      <c r="A23" s="552">
        <v>1</v>
      </c>
      <c r="B23" s="552" t="s">
        <v>1080</v>
      </c>
      <c r="C23" s="552" t="s">
        <v>515</v>
      </c>
      <c r="D23" s="552" t="s">
        <v>521</v>
      </c>
      <c r="E23" s="551"/>
      <c r="F23" s="90">
        <f>1630*1.0936</f>
        <v>1782.5679999999998</v>
      </c>
      <c r="G23" s="552" t="s">
        <v>24</v>
      </c>
      <c r="H23" s="79"/>
      <c r="I23" s="80">
        <v>10</v>
      </c>
      <c r="J23" s="81">
        <v>74</v>
      </c>
      <c r="K23" s="81">
        <f t="shared" ref="K23:K25" si="4">I23*J23</f>
        <v>740</v>
      </c>
      <c r="L23" s="79"/>
      <c r="M23" s="162"/>
    </row>
    <row r="24" spans="1:14" s="71" customFormat="1" ht="15.6" customHeight="1">
      <c r="A24" s="552"/>
      <c r="B24" s="552"/>
      <c r="C24" s="552"/>
      <c r="D24" s="552"/>
      <c r="E24" s="552"/>
      <c r="F24" s="87"/>
      <c r="G24" s="88" t="s">
        <v>18</v>
      </c>
      <c r="H24" s="79"/>
      <c r="I24" s="80">
        <v>5</v>
      </c>
      <c r="J24" s="81">
        <v>46</v>
      </c>
      <c r="K24" s="81">
        <f t="shared" si="4"/>
        <v>230</v>
      </c>
      <c r="L24" s="79"/>
      <c r="M24" s="79"/>
    </row>
    <row r="25" spans="1:14" s="71" customFormat="1" ht="15.6" customHeight="1">
      <c r="A25" s="552"/>
      <c r="B25" s="552"/>
      <c r="C25" s="552"/>
      <c r="D25" s="552"/>
      <c r="E25" s="552"/>
      <c r="F25" s="87"/>
      <c r="G25" s="552" t="s">
        <v>171</v>
      </c>
      <c r="H25" s="79"/>
      <c r="I25" s="80">
        <v>5</v>
      </c>
      <c r="J25" s="81">
        <v>416</v>
      </c>
      <c r="K25" s="81">
        <f t="shared" si="4"/>
        <v>2080</v>
      </c>
      <c r="L25" s="79"/>
      <c r="M25" s="79"/>
    </row>
    <row r="26" spans="1:14" s="71" customFormat="1" ht="15.6" customHeight="1">
      <c r="A26" s="552"/>
      <c r="B26" s="552"/>
      <c r="C26" s="552"/>
      <c r="D26" s="552"/>
      <c r="E26" s="552"/>
      <c r="F26" s="87"/>
      <c r="G26" s="552" t="s">
        <v>172</v>
      </c>
      <c r="H26" s="79"/>
      <c r="I26" s="80">
        <v>3</v>
      </c>
      <c r="J26" s="81">
        <v>165</v>
      </c>
      <c r="K26" s="81">
        <f>I26*J26</f>
        <v>495</v>
      </c>
      <c r="L26" s="79"/>
      <c r="M26" s="79"/>
    </row>
    <row r="27" spans="1:14" s="71" customFormat="1" ht="15.6" customHeight="1">
      <c r="A27" s="552"/>
      <c r="B27" s="552"/>
      <c r="C27" s="552"/>
      <c r="D27" s="552"/>
      <c r="E27" s="552"/>
      <c r="F27" s="87"/>
      <c r="G27" s="553" t="s">
        <v>181</v>
      </c>
      <c r="H27" s="79"/>
      <c r="I27" s="80">
        <v>2</v>
      </c>
      <c r="J27" s="81">
        <v>165</v>
      </c>
      <c r="K27" s="81">
        <f t="shared" ref="K27" si="5">I27*J27</f>
        <v>330</v>
      </c>
      <c r="L27" s="79"/>
      <c r="M27" s="79"/>
    </row>
    <row r="28" spans="1:14" s="71" customFormat="1" ht="15.6" customHeight="1">
      <c r="A28" s="552"/>
      <c r="B28" s="552"/>
      <c r="C28" s="552"/>
      <c r="D28" s="552"/>
      <c r="E28" s="273" t="s">
        <v>9</v>
      </c>
      <c r="F28" s="108">
        <f>SUM(F23:F27)</f>
        <v>1782.5679999999998</v>
      </c>
      <c r="G28" s="273"/>
      <c r="H28" s="273"/>
      <c r="I28" s="80"/>
      <c r="J28" s="81"/>
      <c r="K28" s="103">
        <f>SUM(K23:K27)</f>
        <v>3875</v>
      </c>
      <c r="L28" s="103">
        <f>K28/F28</f>
        <v>2.1738301147557908</v>
      </c>
      <c r="M28" s="79"/>
    </row>
    <row r="29" spans="1:14" s="71" customFormat="1" ht="15.6" customHeight="1">
      <c r="A29" s="552">
        <v>2</v>
      </c>
      <c r="B29" s="552" t="s">
        <v>1077</v>
      </c>
      <c r="C29" s="552" t="s">
        <v>1078</v>
      </c>
      <c r="D29" s="552" t="s">
        <v>1079</v>
      </c>
      <c r="E29" s="552"/>
      <c r="F29" s="87">
        <f>9558*1.0936</f>
        <v>10452.628799999999</v>
      </c>
      <c r="G29" s="552" t="s">
        <v>24</v>
      </c>
      <c r="H29" s="79"/>
      <c r="I29" s="80">
        <v>100</v>
      </c>
      <c r="J29" s="81">
        <v>74</v>
      </c>
      <c r="K29" s="81">
        <f t="shared" ref="K29:K31" si="6">I29*J29</f>
        <v>7400</v>
      </c>
      <c r="L29" s="79"/>
      <c r="M29" s="79"/>
    </row>
    <row r="30" spans="1:14" s="71" customFormat="1" ht="15.6" customHeight="1">
      <c r="A30" s="552"/>
      <c r="B30" s="552" t="s">
        <v>269</v>
      </c>
      <c r="C30" s="552"/>
      <c r="D30" s="552"/>
      <c r="E30" s="551"/>
      <c r="F30" s="90">
        <f>175*1.0936</f>
        <v>191.38</v>
      </c>
      <c r="G30" s="88" t="s">
        <v>18</v>
      </c>
      <c r="H30" s="79"/>
      <c r="I30" s="80">
        <v>50</v>
      </c>
      <c r="J30" s="81">
        <v>46</v>
      </c>
      <c r="K30" s="81">
        <f t="shared" si="6"/>
        <v>2300</v>
      </c>
      <c r="L30" s="79"/>
      <c r="M30" s="79"/>
    </row>
    <row r="31" spans="1:14" s="71" customFormat="1" ht="15.6" customHeight="1">
      <c r="A31" s="552"/>
      <c r="B31" s="552"/>
      <c r="C31" s="552"/>
      <c r="D31" s="552"/>
      <c r="E31" s="552"/>
      <c r="F31" s="87"/>
      <c r="G31" s="552" t="s">
        <v>171</v>
      </c>
      <c r="H31" s="79"/>
      <c r="I31" s="80">
        <v>30</v>
      </c>
      <c r="J31" s="81">
        <v>416</v>
      </c>
      <c r="K31" s="81">
        <f t="shared" si="6"/>
        <v>12480</v>
      </c>
      <c r="L31" s="79"/>
      <c r="M31" s="79"/>
    </row>
    <row r="32" spans="1:14" s="71" customFormat="1" ht="15.6" customHeight="1">
      <c r="A32" s="552"/>
      <c r="B32" s="552"/>
      <c r="C32" s="552"/>
      <c r="D32" s="552"/>
      <c r="E32" s="552"/>
      <c r="F32" s="87"/>
      <c r="G32" s="552" t="s">
        <v>172</v>
      </c>
      <c r="H32" s="79"/>
      <c r="I32" s="80">
        <v>20</v>
      </c>
      <c r="J32" s="81">
        <v>165</v>
      </c>
      <c r="K32" s="81">
        <f>I32*J32</f>
        <v>3300</v>
      </c>
      <c r="L32" s="79"/>
      <c r="M32" s="79"/>
    </row>
    <row r="33" spans="1:13" s="71" customFormat="1" ht="15.6" customHeight="1">
      <c r="A33" s="552"/>
      <c r="B33" s="552"/>
      <c r="C33" s="552"/>
      <c r="D33" s="552"/>
      <c r="E33" s="552"/>
      <c r="F33" s="87"/>
      <c r="G33" s="553" t="s">
        <v>181</v>
      </c>
      <c r="H33" s="79"/>
      <c r="I33" s="80">
        <v>30</v>
      </c>
      <c r="J33" s="81">
        <v>165</v>
      </c>
      <c r="K33" s="81">
        <f t="shared" ref="K33" si="7">I33*J33</f>
        <v>4950</v>
      </c>
      <c r="L33" s="79"/>
      <c r="M33" s="79"/>
    </row>
    <row r="34" spans="1:13" s="71" customFormat="1" ht="15.6" customHeight="1">
      <c r="A34" s="552"/>
      <c r="B34" s="552"/>
      <c r="C34" s="552"/>
      <c r="D34" s="552"/>
      <c r="E34" s="273" t="s">
        <v>9</v>
      </c>
      <c r="F34" s="108">
        <f>SUM(F29:F33)</f>
        <v>10644.008799999998</v>
      </c>
      <c r="G34" s="273"/>
      <c r="H34" s="273"/>
      <c r="I34" s="80"/>
      <c r="J34" s="81"/>
      <c r="K34" s="103">
        <f>SUM(K29:K33)</f>
        <v>30430</v>
      </c>
      <c r="L34" s="103">
        <f>K34/F34</f>
        <v>2.8588852726239766</v>
      </c>
      <c r="M34" s="79"/>
    </row>
    <row r="35" spans="1:13" s="71" customFormat="1" ht="15.6" customHeight="1">
      <c r="A35" s="137"/>
      <c r="B35" s="137"/>
      <c r="C35" s="137"/>
      <c r="D35" s="273" t="s">
        <v>30</v>
      </c>
      <c r="E35" s="273"/>
      <c r="F35" s="134">
        <f>F28+F34</f>
        <v>12426.576799999997</v>
      </c>
      <c r="G35" s="195"/>
      <c r="H35" s="195"/>
      <c r="I35" s="195"/>
      <c r="J35" s="195"/>
      <c r="K35" s="134">
        <f>K28+K34</f>
        <v>34305</v>
      </c>
      <c r="L35" s="151">
        <f>K35/F35</f>
        <v>2.7606154576697266</v>
      </c>
      <c r="M35" s="79"/>
    </row>
    <row r="36" spans="1:13" s="71" customFormat="1" ht="15.6" customHeight="1">
      <c r="A36" s="106" t="s">
        <v>22</v>
      </c>
      <c r="B36" s="106"/>
      <c r="C36" s="106"/>
      <c r="D36" s="106"/>
      <c r="E36" s="106"/>
      <c r="F36" s="107"/>
      <c r="G36" s="107"/>
      <c r="H36" s="107"/>
      <c r="I36" s="107"/>
      <c r="J36" s="107"/>
      <c r="K36" s="867" t="s">
        <v>1106</v>
      </c>
      <c r="L36" s="867"/>
      <c r="M36" s="867"/>
    </row>
    <row r="37" spans="1:13" s="71" customFormat="1" ht="15.6" customHeight="1">
      <c r="A37" s="273" t="s">
        <v>0</v>
      </c>
      <c r="B37" s="273" t="s">
        <v>7</v>
      </c>
      <c r="C37" s="273" t="s">
        <v>13</v>
      </c>
      <c r="D37" s="273" t="s">
        <v>14</v>
      </c>
      <c r="E37" s="273" t="s">
        <v>8</v>
      </c>
      <c r="F37" s="273" t="s">
        <v>1</v>
      </c>
      <c r="G37" s="273" t="s">
        <v>2</v>
      </c>
      <c r="H37" s="273" t="s">
        <v>15</v>
      </c>
      <c r="I37" s="273" t="s">
        <v>3</v>
      </c>
      <c r="J37" s="273" t="s">
        <v>4</v>
      </c>
      <c r="K37" s="273" t="s">
        <v>5</v>
      </c>
      <c r="L37" s="273" t="s">
        <v>12</v>
      </c>
      <c r="M37" s="273" t="s">
        <v>6</v>
      </c>
    </row>
    <row r="38" spans="1:13" s="71" customFormat="1" ht="15.6" customHeight="1">
      <c r="A38" s="552">
        <v>1</v>
      </c>
      <c r="B38" s="552" t="s">
        <v>1077</v>
      </c>
      <c r="C38" s="552" t="s">
        <v>1078</v>
      </c>
      <c r="D38" s="552" t="s">
        <v>1079</v>
      </c>
      <c r="E38" s="552"/>
      <c r="F38" s="87">
        <f>4920*1.0936</f>
        <v>5380.5119999999997</v>
      </c>
      <c r="G38" s="552" t="s">
        <v>24</v>
      </c>
      <c r="H38" s="79"/>
      <c r="I38" s="188">
        <v>71</v>
      </c>
      <c r="J38" s="81">
        <v>74</v>
      </c>
      <c r="K38" s="81">
        <f t="shared" ref="K38:K39" si="8">I38*J38</f>
        <v>5254</v>
      </c>
      <c r="L38" s="79"/>
      <c r="M38" s="162"/>
    </row>
    <row r="39" spans="1:13" s="71" customFormat="1" ht="15.6" customHeight="1">
      <c r="A39" s="552"/>
      <c r="B39" s="552"/>
      <c r="C39" s="552"/>
      <c r="D39" s="552"/>
      <c r="E39" s="552"/>
      <c r="F39" s="87"/>
      <c r="G39" s="430" t="s">
        <v>10</v>
      </c>
      <c r="H39" s="79"/>
      <c r="I39" s="188">
        <v>35</v>
      </c>
      <c r="J39" s="81">
        <v>120</v>
      </c>
      <c r="K39" s="81">
        <f t="shared" si="8"/>
        <v>4200</v>
      </c>
      <c r="L39" s="79"/>
      <c r="M39" s="79"/>
    </row>
    <row r="40" spans="1:13" s="71" customFormat="1" ht="15.6" customHeight="1">
      <c r="A40" s="552"/>
      <c r="B40" s="552"/>
      <c r="C40" s="552"/>
      <c r="D40" s="552"/>
      <c r="E40" s="273" t="s">
        <v>9</v>
      </c>
      <c r="F40" s="108">
        <f>SUM(F38:F39)</f>
        <v>5380.5119999999997</v>
      </c>
      <c r="G40" s="273"/>
      <c r="H40" s="273"/>
      <c r="I40" s="188"/>
      <c r="J40" s="81"/>
      <c r="K40" s="103">
        <f>SUM(K38:K39)</f>
        <v>9454</v>
      </c>
      <c r="L40" s="103">
        <f>K40/F40</f>
        <v>1.7570818539202218</v>
      </c>
      <c r="M40" s="79"/>
    </row>
    <row r="41" spans="1:13" s="71" customFormat="1" ht="15.6" customHeight="1">
      <c r="A41" s="107"/>
      <c r="B41" s="107"/>
      <c r="C41" s="107"/>
      <c r="D41" s="133" t="s">
        <v>30</v>
      </c>
      <c r="E41" s="133"/>
      <c r="F41" s="134">
        <f>F40</f>
        <v>5380.5119999999997</v>
      </c>
      <c r="G41" s="135"/>
      <c r="H41" s="135"/>
      <c r="I41" s="135"/>
      <c r="J41" s="135"/>
      <c r="K41" s="134">
        <f>K40</f>
        <v>9454</v>
      </c>
      <c r="L41" s="151">
        <f>K41/F41</f>
        <v>1.7570818539202218</v>
      </c>
      <c r="M41" s="107"/>
    </row>
    <row r="42" spans="1:13" s="71" customFormat="1" ht="15.6" customHeight="1">
      <c r="A42" s="70" t="s">
        <v>16</v>
      </c>
      <c r="B42" s="70"/>
      <c r="C42" s="70"/>
      <c r="D42" s="70"/>
      <c r="E42" s="70"/>
      <c r="K42" s="867" t="s">
        <v>1106</v>
      </c>
      <c r="L42" s="867"/>
      <c r="M42" s="867"/>
    </row>
    <row r="43" spans="1:13" s="71" customFormat="1" ht="15.6" customHeight="1">
      <c r="A43" s="550" t="s">
        <v>0</v>
      </c>
      <c r="B43" s="550" t="s">
        <v>7</v>
      </c>
      <c r="C43" s="550" t="s">
        <v>13</v>
      </c>
      <c r="D43" s="550" t="s">
        <v>14</v>
      </c>
      <c r="E43" s="550" t="s">
        <v>8</v>
      </c>
      <c r="F43" s="550" t="s">
        <v>1</v>
      </c>
      <c r="G43" s="550" t="s">
        <v>2</v>
      </c>
      <c r="H43" s="550" t="s">
        <v>15</v>
      </c>
      <c r="I43" s="550" t="s">
        <v>3</v>
      </c>
      <c r="J43" s="550" t="s">
        <v>4</v>
      </c>
      <c r="K43" s="550" t="s">
        <v>5</v>
      </c>
      <c r="L43" s="550" t="s">
        <v>12</v>
      </c>
      <c r="M43" s="550" t="s">
        <v>6</v>
      </c>
    </row>
    <row r="44" spans="1:13" s="71" customFormat="1" ht="15.6" customHeight="1">
      <c r="A44" s="552">
        <v>8140</v>
      </c>
      <c r="B44" s="552" t="s">
        <v>996</v>
      </c>
      <c r="C44" s="89" t="s">
        <v>766</v>
      </c>
      <c r="D44" s="89" t="s">
        <v>465</v>
      </c>
      <c r="E44" s="552" t="s">
        <v>310</v>
      </c>
      <c r="F44" s="99">
        <f>3200*1.0936</f>
        <v>3499.5199999999995</v>
      </c>
      <c r="G44" s="95" t="s">
        <v>832</v>
      </c>
      <c r="H44" s="79"/>
      <c r="I44" s="81">
        <f>2+1</f>
        <v>3</v>
      </c>
      <c r="J44" s="81">
        <v>790</v>
      </c>
      <c r="K44" s="81">
        <f t="shared" ref="K44" si="9">I44*J44</f>
        <v>2370</v>
      </c>
      <c r="L44" s="79"/>
      <c r="M44" s="139"/>
    </row>
    <row r="45" spans="1:13" s="71" customFormat="1" ht="15.6" customHeight="1">
      <c r="A45" s="551"/>
      <c r="B45" s="552" t="s">
        <v>996</v>
      </c>
      <c r="C45" s="89" t="s">
        <v>766</v>
      </c>
      <c r="D45" s="89" t="s">
        <v>274</v>
      </c>
      <c r="E45" s="552" t="s">
        <v>310</v>
      </c>
      <c r="F45" s="99">
        <f>1900*1.0936</f>
        <v>2077.8399999999997</v>
      </c>
      <c r="G45" s="552" t="s">
        <v>20</v>
      </c>
      <c r="H45" s="79"/>
      <c r="I45" s="80"/>
      <c r="J45" s="81">
        <v>315</v>
      </c>
      <c r="K45" s="81">
        <f t="shared" ref="K45" si="10">I45*J45</f>
        <v>0</v>
      </c>
      <c r="L45" s="102"/>
      <c r="M45" s="102"/>
    </row>
    <row r="46" spans="1:13" s="71" customFormat="1" ht="15.6" customHeight="1">
      <c r="A46" s="551"/>
      <c r="B46" s="551"/>
      <c r="C46" s="551"/>
      <c r="D46" s="551"/>
      <c r="E46" s="550" t="s">
        <v>9</v>
      </c>
      <c r="F46" s="110">
        <f>SUM(F44:F45)</f>
        <v>5577.3599999999988</v>
      </c>
      <c r="G46" s="550"/>
      <c r="H46" s="550"/>
      <c r="I46" s="125"/>
      <c r="J46" s="97"/>
      <c r="K46" s="111">
        <f>SUM(K44:K45)</f>
        <v>2370</v>
      </c>
      <c r="L46" s="111">
        <f>K46/F46</f>
        <v>0.42493222599939767</v>
      </c>
      <c r="M46" s="102"/>
    </row>
    <row r="47" spans="1:13" s="71" customFormat="1" ht="15.6" customHeight="1">
      <c r="A47" s="548"/>
      <c r="B47" s="548"/>
      <c r="C47" s="548"/>
      <c r="D47" s="126" t="s">
        <v>30</v>
      </c>
      <c r="E47" s="126"/>
      <c r="F47" s="127">
        <f>F46</f>
        <v>5577.3599999999988</v>
      </c>
      <c r="G47" s="128"/>
      <c r="H47" s="128"/>
      <c r="I47" s="128"/>
      <c r="J47" s="128"/>
      <c r="K47" s="127">
        <f>K46</f>
        <v>2370</v>
      </c>
      <c r="L47" s="129">
        <f>K47/F47</f>
        <v>0.42493222599939767</v>
      </c>
      <c r="M47" s="131"/>
    </row>
    <row r="48" spans="1:13" s="71" customFormat="1" ht="15.6" customHeight="1">
      <c r="A48" s="70" t="s">
        <v>72</v>
      </c>
      <c r="B48" s="70"/>
      <c r="C48" s="70"/>
      <c r="D48" s="70"/>
      <c r="E48" s="70"/>
      <c r="I48" s="140"/>
      <c r="K48" s="867" t="s">
        <v>1106</v>
      </c>
      <c r="L48" s="867"/>
      <c r="M48" s="867"/>
    </row>
    <row r="49" spans="1:14" s="71" customFormat="1" ht="15.6" customHeight="1">
      <c r="A49" s="550" t="s">
        <v>0</v>
      </c>
      <c r="B49" s="550" t="s">
        <v>7</v>
      </c>
      <c r="C49" s="550" t="s">
        <v>13</v>
      </c>
      <c r="D49" s="550" t="s">
        <v>14</v>
      </c>
      <c r="E49" s="550" t="s">
        <v>8</v>
      </c>
      <c r="F49" s="550" t="s">
        <v>1</v>
      </c>
      <c r="G49" s="550" t="s">
        <v>2</v>
      </c>
      <c r="H49" s="550" t="s">
        <v>15</v>
      </c>
      <c r="I49" s="141" t="s">
        <v>3</v>
      </c>
      <c r="J49" s="550" t="s">
        <v>4</v>
      </c>
      <c r="K49" s="550" t="s">
        <v>5</v>
      </c>
      <c r="L49" s="550" t="s">
        <v>12</v>
      </c>
      <c r="M49" s="550" t="s">
        <v>6</v>
      </c>
      <c r="N49" s="123"/>
    </row>
    <row r="50" spans="1:14" s="71" customFormat="1" ht="15.6" customHeight="1">
      <c r="A50" s="552">
        <v>10013</v>
      </c>
      <c r="B50" s="552" t="s">
        <v>1089</v>
      </c>
      <c r="C50" s="552" t="s">
        <v>1040</v>
      </c>
      <c r="D50" s="552" t="s">
        <v>869</v>
      </c>
      <c r="E50" s="552" t="s">
        <v>102</v>
      </c>
      <c r="F50" s="90">
        <f>5900*1.0936</f>
        <v>6452.24</v>
      </c>
      <c r="G50" s="553" t="s">
        <v>405</v>
      </c>
      <c r="H50" s="79"/>
      <c r="I50" s="80">
        <f>1.401+2.253+2.25+0.432+0.57</f>
        <v>6.9060000000000006</v>
      </c>
      <c r="J50" s="81">
        <v>1708</v>
      </c>
      <c r="K50" s="81">
        <f t="shared" ref="K50:K54" si="11">I50*J50</f>
        <v>11795.448</v>
      </c>
      <c r="L50" s="102"/>
      <c r="M50" s="550"/>
      <c r="N50" s="123"/>
    </row>
    <row r="51" spans="1:14" s="71" customFormat="1" ht="15.6" customHeight="1">
      <c r="A51" s="550"/>
      <c r="B51" s="552"/>
      <c r="C51" s="273"/>
      <c r="D51" s="273"/>
      <c r="E51" s="552"/>
      <c r="F51" s="87"/>
      <c r="G51" s="91" t="s">
        <v>281</v>
      </c>
      <c r="H51" s="79"/>
      <c r="I51" s="80">
        <f>1.14+1.973+1.89+0.335+0.355</f>
        <v>5.6929999999999996</v>
      </c>
      <c r="J51" s="81">
        <v>1035</v>
      </c>
      <c r="K51" s="81">
        <f t="shared" si="11"/>
        <v>5892.2549999999992</v>
      </c>
      <c r="L51" s="102"/>
      <c r="M51" s="550"/>
      <c r="N51" s="123"/>
    </row>
    <row r="52" spans="1:14" s="71" customFormat="1" ht="15.6" customHeight="1">
      <c r="A52" s="550"/>
      <c r="B52" s="551"/>
      <c r="C52" s="551"/>
      <c r="D52" s="551"/>
      <c r="E52" s="552"/>
      <c r="F52" s="87"/>
      <c r="G52" s="91" t="s">
        <v>282</v>
      </c>
      <c r="H52" s="79"/>
      <c r="I52" s="80">
        <f>5.55+9.547+8.73+1.784+1.71</f>
        <v>27.321000000000002</v>
      </c>
      <c r="J52" s="81">
        <v>840</v>
      </c>
      <c r="K52" s="81">
        <f t="shared" si="11"/>
        <v>22949.640000000003</v>
      </c>
      <c r="L52" s="102"/>
      <c r="M52" s="550"/>
      <c r="N52" s="123"/>
    </row>
    <row r="53" spans="1:14" s="71" customFormat="1" ht="15.6" customHeight="1">
      <c r="A53" s="550"/>
      <c r="B53" s="551"/>
      <c r="C53" s="551"/>
      <c r="D53" s="551"/>
      <c r="E53" s="552"/>
      <c r="F53" s="87"/>
      <c r="G53" s="552" t="s">
        <v>184</v>
      </c>
      <c r="H53" s="552"/>
      <c r="I53" s="80">
        <f>3+5.5+5</f>
        <v>13.5</v>
      </c>
      <c r="J53" s="81">
        <v>336</v>
      </c>
      <c r="K53" s="94">
        <f t="shared" si="11"/>
        <v>4536</v>
      </c>
      <c r="L53" s="102"/>
      <c r="M53" s="550"/>
      <c r="N53" s="123"/>
    </row>
    <row r="54" spans="1:14" s="71" customFormat="1" ht="15.6" customHeight="1">
      <c r="A54" s="550"/>
      <c r="B54" s="551"/>
      <c r="C54" s="551"/>
      <c r="D54" s="551"/>
      <c r="E54" s="552"/>
      <c r="F54" s="87"/>
      <c r="G54" s="95" t="s">
        <v>185</v>
      </c>
      <c r="H54" s="79"/>
      <c r="I54" s="96">
        <f>0.6+1.2+1</f>
        <v>2.8</v>
      </c>
      <c r="J54" s="81">
        <v>490</v>
      </c>
      <c r="K54" s="81">
        <f t="shared" si="11"/>
        <v>1372</v>
      </c>
      <c r="L54" s="102"/>
      <c r="M54" s="550"/>
      <c r="N54" s="123"/>
    </row>
    <row r="55" spans="1:14" s="71" customFormat="1" ht="15.6" customHeight="1">
      <c r="A55" s="550"/>
      <c r="B55" s="550"/>
      <c r="C55" s="550"/>
      <c r="D55" s="550"/>
      <c r="E55" s="550" t="s">
        <v>9</v>
      </c>
      <c r="F55" s="110">
        <f>SUM(F50:F54)</f>
        <v>6452.24</v>
      </c>
      <c r="G55" s="550"/>
      <c r="H55" s="550"/>
      <c r="I55" s="125"/>
      <c r="J55" s="97"/>
      <c r="K55" s="111">
        <f>SUM(K50:K54)</f>
        <v>46545.343000000008</v>
      </c>
      <c r="L55" s="111">
        <f>K55/F55</f>
        <v>7.2138269810174469</v>
      </c>
      <c r="M55" s="550"/>
      <c r="N55" s="123"/>
    </row>
    <row r="56" spans="1:14" s="71" customFormat="1" ht="15.6" customHeight="1">
      <c r="A56" s="552">
        <v>10009</v>
      </c>
      <c r="B56" s="552" t="s">
        <v>1092</v>
      </c>
      <c r="C56" s="552" t="s">
        <v>121</v>
      </c>
      <c r="D56" s="552" t="s">
        <v>1093</v>
      </c>
      <c r="E56" s="552" t="s">
        <v>811</v>
      </c>
      <c r="F56" s="90">
        <f>50*1.0936</f>
        <v>54.679999999999993</v>
      </c>
      <c r="G56" s="553" t="s">
        <v>314</v>
      </c>
      <c r="H56" s="79"/>
      <c r="I56" s="80">
        <v>0.32400000000000001</v>
      </c>
      <c r="J56" s="81">
        <v>1695</v>
      </c>
      <c r="K56" s="81">
        <f t="shared" ref="K56:K60" si="12">I56*J56</f>
        <v>549.18000000000006</v>
      </c>
      <c r="L56" s="550"/>
      <c r="M56" s="550"/>
      <c r="N56" s="123"/>
    </row>
    <row r="57" spans="1:14" s="71" customFormat="1" ht="15.6" customHeight="1">
      <c r="A57" s="550"/>
      <c r="B57" s="550"/>
      <c r="C57" s="550"/>
      <c r="D57" s="550"/>
      <c r="E57" s="550"/>
      <c r="F57" s="550"/>
      <c r="G57" s="91" t="s">
        <v>192</v>
      </c>
      <c r="H57" s="79"/>
      <c r="I57" s="80">
        <v>0.13200000000000001</v>
      </c>
      <c r="J57" s="81">
        <v>1126</v>
      </c>
      <c r="K57" s="81">
        <f t="shared" si="12"/>
        <v>148.63200000000001</v>
      </c>
      <c r="L57" s="550"/>
      <c r="M57" s="550"/>
      <c r="N57" s="123"/>
    </row>
    <row r="58" spans="1:14" s="71" customFormat="1" ht="15.6" customHeight="1">
      <c r="A58" s="550"/>
      <c r="B58" s="550"/>
      <c r="C58" s="550"/>
      <c r="D58" s="550"/>
      <c r="E58" s="550"/>
      <c r="F58" s="550"/>
      <c r="G58" s="91" t="s">
        <v>193</v>
      </c>
      <c r="H58" s="79"/>
      <c r="I58" s="80">
        <v>1.2</v>
      </c>
      <c r="J58" s="81">
        <v>1150</v>
      </c>
      <c r="K58" s="81">
        <f t="shared" si="12"/>
        <v>1380</v>
      </c>
      <c r="L58" s="550"/>
      <c r="M58" s="550"/>
      <c r="N58" s="123"/>
    </row>
    <row r="59" spans="1:14" s="71" customFormat="1" ht="15.6" customHeight="1">
      <c r="A59" s="550"/>
      <c r="B59" s="550"/>
      <c r="C59" s="550"/>
      <c r="D59" s="550"/>
      <c r="E59" s="550"/>
      <c r="F59" s="550"/>
      <c r="G59" s="552" t="s">
        <v>184</v>
      </c>
      <c r="H59" s="552"/>
      <c r="I59" s="80">
        <v>0.6</v>
      </c>
      <c r="J59" s="81">
        <v>336</v>
      </c>
      <c r="K59" s="94">
        <f t="shared" si="12"/>
        <v>201.6</v>
      </c>
      <c r="L59" s="550"/>
      <c r="M59" s="550"/>
      <c r="N59" s="123"/>
    </row>
    <row r="60" spans="1:14" s="71" customFormat="1" ht="15.6" customHeight="1">
      <c r="A60" s="550"/>
      <c r="B60" s="550"/>
      <c r="C60" s="550"/>
      <c r="D60" s="550"/>
      <c r="E60" s="550"/>
      <c r="F60" s="550"/>
      <c r="G60" s="95" t="s">
        <v>185</v>
      </c>
      <c r="H60" s="79"/>
      <c r="I60" s="96">
        <v>0.12</v>
      </c>
      <c r="J60" s="81">
        <v>490</v>
      </c>
      <c r="K60" s="81">
        <f t="shared" si="12"/>
        <v>58.8</v>
      </c>
      <c r="L60" s="550"/>
      <c r="M60" s="550"/>
      <c r="N60" s="123"/>
    </row>
    <row r="61" spans="1:14" s="71" customFormat="1" ht="15.6" customHeight="1">
      <c r="A61" s="550"/>
      <c r="B61" s="550"/>
      <c r="C61" s="550"/>
      <c r="D61" s="550"/>
      <c r="E61" s="550" t="s">
        <v>9</v>
      </c>
      <c r="F61" s="110">
        <f>SUM(F56:F60)</f>
        <v>54.679999999999993</v>
      </c>
      <c r="G61" s="550"/>
      <c r="H61" s="550"/>
      <c r="I61" s="125"/>
      <c r="J61" s="97"/>
      <c r="K61" s="111">
        <f>SUM(K56:K60)</f>
        <v>2338.212</v>
      </c>
      <c r="L61" s="111">
        <f>K61/F61</f>
        <v>42.761741038771035</v>
      </c>
      <c r="M61" s="550"/>
      <c r="N61" s="123"/>
    </row>
    <row r="62" spans="1:14" s="71" customFormat="1" ht="15.6" customHeight="1">
      <c r="A62" s="552">
        <v>10010</v>
      </c>
      <c r="B62" s="552" t="s">
        <v>1030</v>
      </c>
      <c r="C62" s="552" t="s">
        <v>121</v>
      </c>
      <c r="D62" s="552" t="s">
        <v>1093</v>
      </c>
      <c r="E62" s="552" t="s">
        <v>1094</v>
      </c>
      <c r="F62" s="90">
        <f>50*1.0936</f>
        <v>54.679999999999993</v>
      </c>
      <c r="G62" s="553" t="s">
        <v>405</v>
      </c>
      <c r="H62" s="79"/>
      <c r="I62" s="80">
        <v>0.14399999999999999</v>
      </c>
      <c r="J62" s="81">
        <v>1708</v>
      </c>
      <c r="K62" s="81">
        <f t="shared" ref="K62:K66" si="13">I62*J62</f>
        <v>245.95199999999997</v>
      </c>
      <c r="L62" s="550"/>
      <c r="M62" s="550"/>
      <c r="N62" s="123"/>
    </row>
    <row r="63" spans="1:14" s="71" customFormat="1" ht="15.6" customHeight="1">
      <c r="A63" s="550"/>
      <c r="B63" s="550"/>
      <c r="C63" s="550"/>
      <c r="D63" s="550"/>
      <c r="E63" s="550"/>
      <c r="F63" s="550"/>
      <c r="G63" s="93" t="s">
        <v>315</v>
      </c>
      <c r="H63" s="79"/>
      <c r="I63" s="80">
        <v>0.27</v>
      </c>
      <c r="J63" s="81">
        <v>2184</v>
      </c>
      <c r="K63" s="81">
        <f t="shared" si="13"/>
        <v>589.68000000000006</v>
      </c>
      <c r="L63" s="550"/>
      <c r="M63" s="550"/>
      <c r="N63" s="123"/>
    </row>
    <row r="64" spans="1:14" s="71" customFormat="1" ht="15.6" customHeight="1">
      <c r="A64" s="550"/>
      <c r="B64" s="550"/>
      <c r="C64" s="550"/>
      <c r="D64" s="550"/>
      <c r="E64" s="550"/>
      <c r="F64" s="550"/>
      <c r="G64" s="91" t="s">
        <v>260</v>
      </c>
      <c r="H64" s="79"/>
      <c r="I64" s="80">
        <v>0.86399999999999999</v>
      </c>
      <c r="J64" s="81">
        <v>4545</v>
      </c>
      <c r="K64" s="81">
        <f t="shared" si="13"/>
        <v>3926.88</v>
      </c>
      <c r="L64" s="102"/>
      <c r="M64" s="550"/>
      <c r="N64" s="123"/>
    </row>
    <row r="65" spans="1:14" s="71" customFormat="1" ht="15.6" customHeight="1">
      <c r="A65" s="550"/>
      <c r="B65" s="550"/>
      <c r="C65" s="550"/>
      <c r="D65" s="550"/>
      <c r="E65" s="550"/>
      <c r="F65" s="550"/>
      <c r="G65" s="552" t="s">
        <v>184</v>
      </c>
      <c r="H65" s="552"/>
      <c r="I65" s="80">
        <v>0.6</v>
      </c>
      <c r="J65" s="81">
        <v>336</v>
      </c>
      <c r="K65" s="94">
        <f t="shared" si="13"/>
        <v>201.6</v>
      </c>
      <c r="L65" s="550"/>
      <c r="M65" s="550"/>
      <c r="N65" s="123"/>
    </row>
    <row r="66" spans="1:14" s="71" customFormat="1" ht="15.6" customHeight="1">
      <c r="A66" s="550"/>
      <c r="B66" s="550"/>
      <c r="C66" s="550"/>
      <c r="D66" s="550"/>
      <c r="E66" s="550"/>
      <c r="F66" s="550"/>
      <c r="G66" s="95" t="s">
        <v>185</v>
      </c>
      <c r="H66" s="79"/>
      <c r="I66" s="96">
        <v>0.12</v>
      </c>
      <c r="J66" s="81">
        <v>490</v>
      </c>
      <c r="K66" s="81">
        <f t="shared" si="13"/>
        <v>58.8</v>
      </c>
      <c r="L66" s="550"/>
      <c r="M66" s="550"/>
      <c r="N66" s="123"/>
    </row>
    <row r="67" spans="1:14" s="71" customFormat="1" ht="15.6" customHeight="1">
      <c r="A67" s="550"/>
      <c r="B67" s="550"/>
      <c r="C67" s="550"/>
      <c r="D67" s="550"/>
      <c r="E67" s="550" t="s">
        <v>9</v>
      </c>
      <c r="F67" s="110">
        <f>SUM(F62:F66)</f>
        <v>54.679999999999993</v>
      </c>
      <c r="G67" s="550"/>
      <c r="H67" s="550"/>
      <c r="I67" s="125"/>
      <c r="J67" s="97"/>
      <c r="K67" s="111">
        <f>SUM(K62:K66)</f>
        <v>5022.9120000000012</v>
      </c>
      <c r="L67" s="111">
        <f>K67/F67</f>
        <v>91.860131675201202</v>
      </c>
      <c r="M67" s="550"/>
      <c r="N67" s="123"/>
    </row>
    <row r="68" spans="1:14" s="71" customFormat="1" ht="15.6" customHeight="1">
      <c r="A68" s="552">
        <v>8449</v>
      </c>
      <c r="B68" s="552" t="s">
        <v>1098</v>
      </c>
      <c r="C68" s="552" t="s">
        <v>1095</v>
      </c>
      <c r="D68" s="552" t="s">
        <v>74</v>
      </c>
      <c r="E68" s="552" t="s">
        <v>1096</v>
      </c>
      <c r="F68" s="87">
        <f>2300*1.0936</f>
        <v>2515.2799999999997</v>
      </c>
      <c r="G68" s="93" t="s">
        <v>190</v>
      </c>
      <c r="H68" s="79"/>
      <c r="I68" s="80">
        <f>3.55+0.385+0.18</f>
        <v>4.1149999999999993</v>
      </c>
      <c r="J68" s="81">
        <v>644</v>
      </c>
      <c r="K68" s="81">
        <f t="shared" ref="K68:K72" si="14">I68*J68</f>
        <v>2650.0599999999995</v>
      </c>
      <c r="L68" s="550"/>
      <c r="M68" s="550"/>
      <c r="N68" s="123"/>
    </row>
    <row r="69" spans="1:14" s="71" customFormat="1" ht="15.6" customHeight="1">
      <c r="A69" s="550"/>
      <c r="B69" s="550"/>
      <c r="C69" s="550"/>
      <c r="D69" s="550"/>
      <c r="E69" s="550"/>
      <c r="F69" s="550"/>
      <c r="G69" s="91" t="s">
        <v>1097</v>
      </c>
      <c r="H69" s="79"/>
      <c r="I69" s="80">
        <f>0.98+0.108+0.02+0.06</f>
        <v>1.1680000000000001</v>
      </c>
      <c r="J69" s="81">
        <v>645</v>
      </c>
      <c r="K69" s="81">
        <f t="shared" si="14"/>
        <v>753.36000000000013</v>
      </c>
      <c r="L69" s="102"/>
      <c r="M69" s="550"/>
      <c r="N69" s="123"/>
    </row>
    <row r="70" spans="1:14" s="71" customFormat="1" ht="15.6" customHeight="1">
      <c r="A70" s="550"/>
      <c r="B70" s="550"/>
      <c r="C70" s="550"/>
      <c r="D70" s="550"/>
      <c r="E70" s="550"/>
      <c r="F70" s="550"/>
      <c r="G70" s="91" t="s">
        <v>191</v>
      </c>
      <c r="H70" s="79"/>
      <c r="I70" s="80">
        <f>2.3+0.262+0.104+0.18</f>
        <v>2.8460000000000001</v>
      </c>
      <c r="J70" s="81">
        <v>1628</v>
      </c>
      <c r="K70" s="81">
        <f t="shared" si="14"/>
        <v>4633.2880000000005</v>
      </c>
      <c r="L70" s="102"/>
      <c r="M70" s="550"/>
      <c r="N70" s="123"/>
    </row>
    <row r="71" spans="1:14" s="71" customFormat="1" ht="15.6" customHeight="1">
      <c r="A71" s="550"/>
      <c r="B71" s="550"/>
      <c r="C71" s="550"/>
      <c r="D71" s="550"/>
      <c r="E71" s="550"/>
      <c r="F71" s="550"/>
      <c r="G71" s="552" t="s">
        <v>184</v>
      </c>
      <c r="H71" s="552"/>
      <c r="I71" s="80">
        <f>5</f>
        <v>5</v>
      </c>
      <c r="J71" s="81">
        <v>336</v>
      </c>
      <c r="K71" s="94">
        <f t="shared" si="14"/>
        <v>1680</v>
      </c>
      <c r="L71" s="550"/>
      <c r="M71" s="550"/>
      <c r="N71" s="123"/>
    </row>
    <row r="72" spans="1:14" s="71" customFormat="1" ht="15.6" customHeight="1">
      <c r="A72" s="550"/>
      <c r="B72" s="550"/>
      <c r="C72" s="550"/>
      <c r="D72" s="550"/>
      <c r="E72" s="550"/>
      <c r="F72" s="550"/>
      <c r="G72" s="95" t="s">
        <v>185</v>
      </c>
      <c r="H72" s="79"/>
      <c r="I72" s="96">
        <v>1</v>
      </c>
      <c r="J72" s="81">
        <v>490</v>
      </c>
      <c r="K72" s="81">
        <f t="shared" si="14"/>
        <v>490</v>
      </c>
      <c r="L72" s="550"/>
      <c r="M72" s="550"/>
      <c r="N72" s="123"/>
    </row>
    <row r="73" spans="1:14" s="71" customFormat="1" ht="15.6" customHeight="1">
      <c r="A73" s="550"/>
      <c r="B73" s="550"/>
      <c r="C73" s="550"/>
      <c r="D73" s="550"/>
      <c r="E73" s="550" t="s">
        <v>9</v>
      </c>
      <c r="F73" s="110">
        <f>SUM(F68:F72)</f>
        <v>2515.2799999999997</v>
      </c>
      <c r="G73" s="550"/>
      <c r="H73" s="550"/>
      <c r="I73" s="125"/>
      <c r="J73" s="97"/>
      <c r="K73" s="111">
        <f>SUM(K68:K72)</f>
        <v>10206.708000000001</v>
      </c>
      <c r="L73" s="111">
        <f>K73/F73</f>
        <v>4.0578814287077387</v>
      </c>
      <c r="M73" s="550"/>
      <c r="N73" s="123"/>
    </row>
    <row r="74" spans="1:14" s="71" customFormat="1" ht="15.6" customHeight="1">
      <c r="A74" s="552">
        <v>10003</v>
      </c>
      <c r="B74" s="552" t="s">
        <v>1099</v>
      </c>
      <c r="C74" s="552" t="s">
        <v>121</v>
      </c>
      <c r="D74" s="552" t="s">
        <v>1100</v>
      </c>
      <c r="E74" s="551" t="s">
        <v>822</v>
      </c>
      <c r="F74" s="87">
        <f>383*1.0936</f>
        <v>418.84879999999998</v>
      </c>
      <c r="G74" s="553" t="s">
        <v>405</v>
      </c>
      <c r="H74" s="79"/>
      <c r="I74" s="80">
        <f>0.504+0.21</f>
        <v>0.71399999999999997</v>
      </c>
      <c r="J74" s="81">
        <v>1708</v>
      </c>
      <c r="K74" s="81">
        <f t="shared" ref="K74" si="15">I74*J74</f>
        <v>1219.5119999999999</v>
      </c>
      <c r="L74" s="550"/>
      <c r="M74" s="102"/>
    </row>
    <row r="75" spans="1:14" s="71" customFormat="1" ht="15.6" customHeight="1">
      <c r="A75" s="551"/>
      <c r="B75" s="551"/>
      <c r="C75" s="551"/>
      <c r="D75" s="551"/>
      <c r="E75" s="551"/>
      <c r="F75" s="98"/>
      <c r="G75" s="91" t="s">
        <v>1097</v>
      </c>
      <c r="H75" s="79"/>
      <c r="I75" s="80">
        <f>0.125+0.052</f>
        <v>0.17699999999999999</v>
      </c>
      <c r="J75" s="81">
        <v>645</v>
      </c>
      <c r="K75" s="81">
        <f t="shared" ref="K75:K78" si="16">I75*J75</f>
        <v>114.16499999999999</v>
      </c>
      <c r="L75" s="102"/>
      <c r="M75" s="102"/>
    </row>
    <row r="76" spans="1:14" s="71" customFormat="1" ht="15.6" customHeight="1">
      <c r="A76" s="551"/>
      <c r="B76" s="551"/>
      <c r="C76" s="551"/>
      <c r="D76" s="551"/>
      <c r="E76" s="551"/>
      <c r="F76" s="98"/>
      <c r="G76" s="91" t="s">
        <v>191</v>
      </c>
      <c r="H76" s="79"/>
      <c r="I76" s="80">
        <f>0.307+0.128</f>
        <v>0.435</v>
      </c>
      <c r="J76" s="81">
        <v>1628</v>
      </c>
      <c r="K76" s="81">
        <f t="shared" si="16"/>
        <v>708.18</v>
      </c>
      <c r="L76" s="102"/>
      <c r="M76" s="102"/>
    </row>
    <row r="77" spans="1:14" s="71" customFormat="1" ht="15.6" customHeight="1">
      <c r="A77" s="551"/>
      <c r="B77" s="551"/>
      <c r="C77" s="551"/>
      <c r="D77" s="551"/>
      <c r="E77" s="551"/>
      <c r="F77" s="98"/>
      <c r="G77" s="552" t="s">
        <v>184</v>
      </c>
      <c r="H77" s="552"/>
      <c r="I77" s="80">
        <v>1.7</v>
      </c>
      <c r="J77" s="81">
        <v>336</v>
      </c>
      <c r="K77" s="94">
        <f t="shared" si="16"/>
        <v>571.19999999999993</v>
      </c>
      <c r="L77" s="550"/>
      <c r="M77" s="102"/>
    </row>
    <row r="78" spans="1:14" s="71" customFormat="1" ht="15.6" customHeight="1">
      <c r="A78" s="551"/>
      <c r="B78" s="551"/>
      <c r="C78" s="551"/>
      <c r="D78" s="551"/>
      <c r="E78" s="551"/>
      <c r="F78" s="98"/>
      <c r="G78" s="95" t="s">
        <v>185</v>
      </c>
      <c r="H78" s="79"/>
      <c r="I78" s="96">
        <v>3.4</v>
      </c>
      <c r="J78" s="81">
        <v>490</v>
      </c>
      <c r="K78" s="81">
        <f t="shared" si="16"/>
        <v>1666</v>
      </c>
      <c r="L78" s="550"/>
      <c r="M78" s="102"/>
    </row>
    <row r="79" spans="1:14" s="71" customFormat="1" ht="15.6" customHeight="1">
      <c r="A79" s="551"/>
      <c r="B79" s="551"/>
      <c r="C79" s="551"/>
      <c r="D79" s="551"/>
      <c r="E79" s="550" t="s">
        <v>9</v>
      </c>
      <c r="F79" s="110">
        <f>SUM(F74:F78)</f>
        <v>418.84879999999998</v>
      </c>
      <c r="G79" s="550"/>
      <c r="H79" s="550"/>
      <c r="I79" s="125"/>
      <c r="J79" s="97"/>
      <c r="K79" s="111">
        <f>SUM(K74:K78)</f>
        <v>4279.0569999999998</v>
      </c>
      <c r="L79" s="111">
        <f>K79/F79</f>
        <v>10.216233160987926</v>
      </c>
      <c r="M79" s="102"/>
    </row>
    <row r="80" spans="1:14" s="71" customFormat="1" ht="15.6" customHeight="1">
      <c r="A80" s="552">
        <v>10001</v>
      </c>
      <c r="B80" s="552" t="s">
        <v>1101</v>
      </c>
      <c r="C80" s="552" t="s">
        <v>271</v>
      </c>
      <c r="D80" s="552" t="s">
        <v>869</v>
      </c>
      <c r="E80" s="552" t="s">
        <v>126</v>
      </c>
      <c r="F80" s="87">
        <f>415*1.0936</f>
        <v>453.84399999999994</v>
      </c>
      <c r="G80" s="553" t="s">
        <v>405</v>
      </c>
      <c r="H80" s="79"/>
      <c r="I80" s="80">
        <f>1.515+0.353</f>
        <v>1.8679999999999999</v>
      </c>
      <c r="J80" s="81">
        <v>1708</v>
      </c>
      <c r="K80" s="81">
        <f t="shared" ref="K80:K84" si="17">I80*J80</f>
        <v>3190.5439999999999</v>
      </c>
      <c r="L80" s="550"/>
      <c r="M80" s="550"/>
    </row>
    <row r="81" spans="1:13" s="71" customFormat="1" ht="15.6" customHeight="1">
      <c r="A81" s="552"/>
      <c r="B81" s="552"/>
      <c r="C81" s="552"/>
      <c r="D81" s="552"/>
      <c r="E81" s="552"/>
      <c r="F81" s="87"/>
      <c r="G81" s="91" t="s">
        <v>192</v>
      </c>
      <c r="H81" s="79"/>
      <c r="I81" s="80">
        <f>0.501+0.14</f>
        <v>0.64100000000000001</v>
      </c>
      <c r="J81" s="81">
        <v>1126</v>
      </c>
      <c r="K81" s="81">
        <f t="shared" si="17"/>
        <v>721.76599999999996</v>
      </c>
      <c r="L81" s="102"/>
      <c r="M81" s="550"/>
    </row>
    <row r="82" spans="1:13" s="71" customFormat="1" ht="15.6" customHeight="1">
      <c r="A82" s="552"/>
      <c r="B82" s="552"/>
      <c r="C82" s="552"/>
      <c r="D82" s="552"/>
      <c r="E82" s="552"/>
      <c r="F82" s="87"/>
      <c r="G82" s="93" t="s">
        <v>315</v>
      </c>
      <c r="H82" s="79"/>
      <c r="I82" s="80">
        <f>2.775+0.75</f>
        <v>3.5249999999999999</v>
      </c>
      <c r="J82" s="81">
        <v>2184</v>
      </c>
      <c r="K82" s="81">
        <f t="shared" ref="K82" si="18">I82*J82</f>
        <v>7698.5999999999995</v>
      </c>
      <c r="L82" s="550"/>
      <c r="M82" s="550"/>
    </row>
    <row r="83" spans="1:13" s="71" customFormat="1" ht="15.6" customHeight="1">
      <c r="A83" s="552"/>
      <c r="B83" s="552"/>
      <c r="C83" s="552"/>
      <c r="D83" s="552"/>
      <c r="E83" s="552"/>
      <c r="F83" s="87"/>
      <c r="G83" s="552" t="s">
        <v>184</v>
      </c>
      <c r="H83" s="552"/>
      <c r="I83" s="80">
        <v>1.5</v>
      </c>
      <c r="J83" s="81">
        <v>336</v>
      </c>
      <c r="K83" s="94">
        <f t="shared" si="17"/>
        <v>504</v>
      </c>
      <c r="L83" s="550"/>
      <c r="M83" s="550"/>
    </row>
    <row r="84" spans="1:13" s="71" customFormat="1" ht="15.6" customHeight="1">
      <c r="A84" s="552"/>
      <c r="B84" s="552"/>
      <c r="C84" s="552"/>
      <c r="D84" s="552"/>
      <c r="E84" s="552"/>
      <c r="F84" s="87"/>
      <c r="G84" s="95" t="s">
        <v>185</v>
      </c>
      <c r="H84" s="79"/>
      <c r="I84" s="96">
        <v>0.3</v>
      </c>
      <c r="J84" s="81">
        <v>490</v>
      </c>
      <c r="K84" s="81">
        <f t="shared" si="17"/>
        <v>147</v>
      </c>
      <c r="L84" s="550"/>
      <c r="M84" s="550"/>
    </row>
    <row r="85" spans="1:13" s="71" customFormat="1" ht="15.6" customHeight="1">
      <c r="A85" s="552"/>
      <c r="B85" s="552"/>
      <c r="C85" s="552"/>
      <c r="D85" s="552"/>
      <c r="E85" s="273" t="s">
        <v>9</v>
      </c>
      <c r="F85" s="108">
        <f>SUM(F80:F84)</f>
        <v>453.84399999999994</v>
      </c>
      <c r="G85" s="550"/>
      <c r="H85" s="550"/>
      <c r="I85" s="125"/>
      <c r="J85" s="97"/>
      <c r="K85" s="111">
        <f>SUM(K80:K84)</f>
        <v>12261.91</v>
      </c>
      <c r="L85" s="111">
        <f>K85/F85</f>
        <v>27.017896017133644</v>
      </c>
      <c r="M85" s="102"/>
    </row>
    <row r="86" spans="1:13" s="71" customFormat="1" ht="15.6" customHeight="1">
      <c r="A86" s="552">
        <v>10005</v>
      </c>
      <c r="B86" s="552" t="s">
        <v>1042</v>
      </c>
      <c r="C86" s="552" t="s">
        <v>271</v>
      </c>
      <c r="D86" s="552" t="s">
        <v>869</v>
      </c>
      <c r="E86" s="552">
        <v>148</v>
      </c>
      <c r="F86" s="87">
        <f>280*1.0936</f>
        <v>306.20799999999997</v>
      </c>
      <c r="G86" s="553" t="s">
        <v>405</v>
      </c>
      <c r="H86" s="79"/>
      <c r="I86" s="80">
        <v>0.45</v>
      </c>
      <c r="J86" s="81">
        <v>1708</v>
      </c>
      <c r="K86" s="81">
        <f t="shared" ref="K86:K90" si="19">I86*J86</f>
        <v>768.6</v>
      </c>
      <c r="L86" s="550"/>
      <c r="M86" s="102"/>
    </row>
    <row r="87" spans="1:13" s="71" customFormat="1" ht="15.6" customHeight="1">
      <c r="A87" s="551"/>
      <c r="B87" s="552"/>
      <c r="C87" s="552"/>
      <c r="D87" s="552"/>
      <c r="E87" s="552" t="s">
        <v>402</v>
      </c>
      <c r="F87" s="552"/>
      <c r="G87" s="91" t="s">
        <v>192</v>
      </c>
      <c r="H87" s="79"/>
      <c r="I87" s="80">
        <v>0.215</v>
      </c>
      <c r="J87" s="81">
        <v>1126</v>
      </c>
      <c r="K87" s="81">
        <f t="shared" si="19"/>
        <v>242.09</v>
      </c>
      <c r="L87" s="102"/>
      <c r="M87" s="102"/>
    </row>
    <row r="88" spans="1:13" s="71" customFormat="1" ht="15.6" customHeight="1">
      <c r="A88" s="551"/>
      <c r="B88" s="552"/>
      <c r="C88" s="551"/>
      <c r="D88" s="551"/>
      <c r="E88" s="551"/>
      <c r="F88" s="98"/>
      <c r="G88" s="91" t="s">
        <v>193</v>
      </c>
      <c r="H88" s="79"/>
      <c r="I88" s="80">
        <v>1.123</v>
      </c>
      <c r="J88" s="81">
        <v>1150</v>
      </c>
      <c r="K88" s="81">
        <f t="shared" si="19"/>
        <v>1291.45</v>
      </c>
      <c r="L88" s="550"/>
      <c r="M88" s="102"/>
    </row>
    <row r="89" spans="1:13" s="71" customFormat="1" ht="15.6" customHeight="1">
      <c r="A89" s="551"/>
      <c r="B89" s="552"/>
      <c r="C89" s="551"/>
      <c r="D89" s="551"/>
      <c r="E89" s="551"/>
      <c r="F89" s="98"/>
      <c r="G89" s="552" t="s">
        <v>184</v>
      </c>
      <c r="H89" s="552"/>
      <c r="I89" s="80">
        <v>1.5</v>
      </c>
      <c r="J89" s="81">
        <v>336</v>
      </c>
      <c r="K89" s="94">
        <f t="shared" si="19"/>
        <v>504</v>
      </c>
      <c r="L89" s="550"/>
      <c r="M89" s="102"/>
    </row>
    <row r="90" spans="1:13" s="71" customFormat="1" ht="15.6" customHeight="1">
      <c r="A90" s="551"/>
      <c r="B90" s="552"/>
      <c r="C90" s="551"/>
      <c r="D90" s="551"/>
      <c r="E90" s="551"/>
      <c r="F90" s="98"/>
      <c r="G90" s="95" t="s">
        <v>185</v>
      </c>
      <c r="H90" s="79"/>
      <c r="I90" s="96">
        <v>0.3</v>
      </c>
      <c r="J90" s="81">
        <v>490</v>
      </c>
      <c r="K90" s="81">
        <f t="shared" si="19"/>
        <v>147</v>
      </c>
      <c r="L90" s="550"/>
      <c r="M90" s="102"/>
    </row>
    <row r="91" spans="1:13" s="71" customFormat="1" ht="15.6" customHeight="1">
      <c r="A91" s="551"/>
      <c r="B91" s="551"/>
      <c r="C91" s="551"/>
      <c r="D91" s="551"/>
      <c r="E91" s="550" t="s">
        <v>9</v>
      </c>
      <c r="F91" s="110">
        <f>SUM(F86:F90)</f>
        <v>306.20799999999997</v>
      </c>
      <c r="G91" s="550"/>
      <c r="H91" s="550"/>
      <c r="I91" s="125"/>
      <c r="J91" s="97"/>
      <c r="K91" s="111">
        <f>SUM(K86:K90)</f>
        <v>2953.1400000000003</v>
      </c>
      <c r="L91" s="111">
        <f>K91/F91</f>
        <v>9.6442287595360039</v>
      </c>
      <c r="M91" s="102"/>
    </row>
    <row r="92" spans="1:13" s="71" customFormat="1" ht="15.6" customHeight="1">
      <c r="A92" s="552">
        <v>10014</v>
      </c>
      <c r="B92" s="552" t="s">
        <v>865</v>
      </c>
      <c r="C92" s="552" t="s">
        <v>700</v>
      </c>
      <c r="D92" s="552" t="s">
        <v>297</v>
      </c>
      <c r="E92" s="552" t="s">
        <v>1102</v>
      </c>
      <c r="F92" s="87">
        <f>250*1.0936</f>
        <v>273.39999999999998</v>
      </c>
      <c r="G92" s="553" t="s">
        <v>405</v>
      </c>
      <c r="H92" s="79"/>
      <c r="I92" s="80">
        <v>0.4</v>
      </c>
      <c r="J92" s="81">
        <v>1708</v>
      </c>
      <c r="K92" s="81">
        <f t="shared" ref="K92:K96" si="20">I92*J92</f>
        <v>683.2</v>
      </c>
      <c r="L92" s="550"/>
      <c r="M92" s="102"/>
    </row>
    <row r="93" spans="1:13" s="71" customFormat="1" ht="15.6" customHeight="1">
      <c r="A93" s="551"/>
      <c r="B93" s="551"/>
      <c r="C93" s="551"/>
      <c r="D93" s="551"/>
      <c r="E93" s="551"/>
      <c r="F93" s="98"/>
      <c r="G93" s="91" t="s">
        <v>926</v>
      </c>
      <c r="H93" s="79"/>
      <c r="I93" s="80">
        <v>0.43</v>
      </c>
      <c r="J93" s="81">
        <v>2152</v>
      </c>
      <c r="K93" s="81">
        <f t="shared" si="20"/>
        <v>925.36</v>
      </c>
      <c r="L93" s="102"/>
      <c r="M93" s="102"/>
    </row>
    <row r="94" spans="1:13" s="71" customFormat="1" ht="15.6" customHeight="1">
      <c r="A94" s="551"/>
      <c r="B94" s="551"/>
      <c r="C94" s="551"/>
      <c r="D94" s="551"/>
      <c r="E94" s="551"/>
      <c r="F94" s="98"/>
      <c r="G94" s="93" t="s">
        <v>315</v>
      </c>
      <c r="H94" s="79"/>
      <c r="I94" s="80">
        <v>0.72</v>
      </c>
      <c r="J94" s="81">
        <v>2184</v>
      </c>
      <c r="K94" s="81">
        <f t="shared" si="20"/>
        <v>1572.48</v>
      </c>
      <c r="L94" s="550"/>
      <c r="M94" s="102"/>
    </row>
    <row r="95" spans="1:13" s="71" customFormat="1" ht="15.6" customHeight="1">
      <c r="A95" s="551"/>
      <c r="B95" s="551"/>
      <c r="C95" s="551"/>
      <c r="D95" s="551"/>
      <c r="E95" s="551"/>
      <c r="F95" s="98"/>
      <c r="G95" s="552" t="s">
        <v>184</v>
      </c>
      <c r="H95" s="552"/>
      <c r="I95" s="80">
        <v>5</v>
      </c>
      <c r="J95" s="81">
        <v>336</v>
      </c>
      <c r="K95" s="94">
        <f t="shared" si="20"/>
        <v>1680</v>
      </c>
      <c r="L95" s="550"/>
      <c r="M95" s="102"/>
    </row>
    <row r="96" spans="1:13" s="71" customFormat="1" ht="15.6" customHeight="1">
      <c r="A96" s="551"/>
      <c r="B96" s="551"/>
      <c r="C96" s="551"/>
      <c r="D96" s="551"/>
      <c r="E96" s="551"/>
      <c r="F96" s="98"/>
      <c r="G96" s="95" t="s">
        <v>185</v>
      </c>
      <c r="H96" s="79"/>
      <c r="I96" s="96">
        <v>1</v>
      </c>
      <c r="J96" s="81">
        <v>490</v>
      </c>
      <c r="K96" s="81">
        <f t="shared" si="20"/>
        <v>490</v>
      </c>
      <c r="L96" s="550"/>
      <c r="M96" s="102"/>
    </row>
    <row r="97" spans="1:14" s="71" customFormat="1" ht="15.6" customHeight="1">
      <c r="A97" s="551"/>
      <c r="B97" s="551"/>
      <c r="C97" s="551"/>
      <c r="D97" s="551"/>
      <c r="E97" s="550" t="s">
        <v>9</v>
      </c>
      <c r="F97" s="110">
        <f>SUM(F92:F96)</f>
        <v>273.39999999999998</v>
      </c>
      <c r="G97" s="550"/>
      <c r="H97" s="550"/>
      <c r="I97" s="125"/>
      <c r="J97" s="97"/>
      <c r="K97" s="111">
        <f>SUM(K92:K96)</f>
        <v>5351.04</v>
      </c>
      <c r="L97" s="111">
        <f>K97/F97</f>
        <v>19.572201901975131</v>
      </c>
      <c r="M97" s="102"/>
    </row>
    <row r="98" spans="1:14" s="71" customFormat="1" ht="15.6" customHeight="1">
      <c r="A98" s="548"/>
      <c r="B98" s="548"/>
      <c r="C98" s="548"/>
      <c r="D98" s="126" t="s">
        <v>30</v>
      </c>
      <c r="E98" s="126"/>
      <c r="F98" s="127">
        <f>F55+F61+F67+F73+F79+F85+F91+F97</f>
        <v>10529.1808</v>
      </c>
      <c r="G98" s="128"/>
      <c r="H98" s="128"/>
      <c r="I98" s="128"/>
      <c r="J98" s="128"/>
      <c r="K98" s="127">
        <f>K55+K61+K67+K73+K79+K85+K91+K97</f>
        <v>88958.322</v>
      </c>
      <c r="L98" s="129">
        <f>K98/F98</f>
        <v>8.4487410454572114</v>
      </c>
      <c r="M98" s="131"/>
    </row>
    <row r="99" spans="1:14" s="71" customFormat="1" ht="15.6" customHeight="1">
      <c r="A99" s="70" t="s">
        <v>40</v>
      </c>
      <c r="B99" s="70"/>
      <c r="C99" s="70"/>
      <c r="D99" s="70"/>
      <c r="E99" s="70"/>
      <c r="I99" s="140"/>
      <c r="K99" s="867" t="s">
        <v>1106</v>
      </c>
      <c r="L99" s="867"/>
      <c r="M99" s="867"/>
    </row>
    <row r="100" spans="1:14" s="71" customFormat="1" ht="15.6" customHeight="1">
      <c r="A100" s="550" t="s">
        <v>0</v>
      </c>
      <c r="B100" s="550" t="s">
        <v>7</v>
      </c>
      <c r="C100" s="550" t="s">
        <v>13</v>
      </c>
      <c r="D100" s="550" t="s">
        <v>14</v>
      </c>
      <c r="E100" s="550" t="s">
        <v>8</v>
      </c>
      <c r="F100" s="550" t="s">
        <v>1</v>
      </c>
      <c r="G100" s="550" t="s">
        <v>2</v>
      </c>
      <c r="H100" s="550" t="s">
        <v>15</v>
      </c>
      <c r="I100" s="141" t="s">
        <v>3</v>
      </c>
      <c r="J100" s="550" t="s">
        <v>4</v>
      </c>
      <c r="K100" s="550" t="s">
        <v>5</v>
      </c>
      <c r="L100" s="550" t="s">
        <v>12</v>
      </c>
      <c r="M100" s="550" t="s">
        <v>6</v>
      </c>
      <c r="N100" s="123"/>
    </row>
    <row r="101" spans="1:14" s="71" customFormat="1" ht="15.6" customHeight="1">
      <c r="A101" s="552">
        <v>9946</v>
      </c>
      <c r="B101" s="552" t="s">
        <v>1042</v>
      </c>
      <c r="C101" s="552" t="s">
        <v>271</v>
      </c>
      <c r="D101" s="552" t="s">
        <v>869</v>
      </c>
      <c r="E101" s="552">
        <v>148</v>
      </c>
      <c r="F101" s="87">
        <f>280*1.0936</f>
        <v>306.20799999999997</v>
      </c>
      <c r="G101" s="552" t="s">
        <v>27</v>
      </c>
      <c r="H101" s="79"/>
      <c r="I101" s="80">
        <v>32.5</v>
      </c>
      <c r="J101" s="81">
        <v>22</v>
      </c>
      <c r="K101" s="81">
        <f t="shared" ref="K101:K103" si="21">I101*J101</f>
        <v>715</v>
      </c>
      <c r="L101" s="551"/>
      <c r="M101" s="551"/>
      <c r="N101" s="546"/>
    </row>
    <row r="102" spans="1:14" s="71" customFormat="1" ht="15.6" customHeight="1">
      <c r="A102" s="551"/>
      <c r="B102" s="552"/>
      <c r="C102" s="552"/>
      <c r="D102" s="552"/>
      <c r="E102" s="552" t="s">
        <v>402</v>
      </c>
      <c r="F102" s="552"/>
      <c r="G102" s="553" t="s">
        <v>49</v>
      </c>
      <c r="H102" s="79"/>
      <c r="I102" s="80">
        <v>2.6</v>
      </c>
      <c r="J102" s="81">
        <v>34</v>
      </c>
      <c r="K102" s="81">
        <f t="shared" si="21"/>
        <v>88.4</v>
      </c>
      <c r="L102" s="551"/>
      <c r="M102" s="551"/>
      <c r="N102" s="546"/>
    </row>
    <row r="103" spans="1:14" s="71" customFormat="1" ht="15.6" customHeight="1">
      <c r="A103" s="551"/>
      <c r="B103" s="552"/>
      <c r="C103" s="552"/>
      <c r="D103" s="552"/>
      <c r="E103" s="552"/>
      <c r="F103" s="98"/>
      <c r="G103" s="552" t="s">
        <v>19</v>
      </c>
      <c r="H103" s="79"/>
      <c r="I103" s="80">
        <v>0.9</v>
      </c>
      <c r="J103" s="81">
        <v>80</v>
      </c>
      <c r="K103" s="81">
        <f t="shared" si="21"/>
        <v>72</v>
      </c>
      <c r="L103" s="551"/>
      <c r="M103" s="551"/>
      <c r="N103" s="546"/>
    </row>
    <row r="104" spans="1:14" s="123" customFormat="1" ht="15.6" customHeight="1">
      <c r="A104" s="551"/>
      <c r="B104" s="551"/>
      <c r="C104" s="551"/>
      <c r="D104" s="551"/>
      <c r="E104" s="550" t="s">
        <v>9</v>
      </c>
      <c r="F104" s="110">
        <f>SUM(F101:F103)</f>
        <v>306.20799999999997</v>
      </c>
      <c r="G104" s="550"/>
      <c r="H104" s="550"/>
      <c r="I104" s="125"/>
      <c r="J104" s="97"/>
      <c r="K104" s="111">
        <f>SUM(K101:K103)</f>
        <v>875.4</v>
      </c>
      <c r="L104" s="111">
        <f>K104/F104</f>
        <v>2.8588410492214447</v>
      </c>
      <c r="M104" s="102"/>
      <c r="N104" s="71"/>
    </row>
    <row r="105" spans="1:14" s="71" customFormat="1" ht="15.6" customHeight="1">
      <c r="A105" s="552">
        <v>9946</v>
      </c>
      <c r="B105" s="552" t="s">
        <v>1030</v>
      </c>
      <c r="C105" s="552" t="s">
        <v>121</v>
      </c>
      <c r="D105" s="552" t="s">
        <v>1093</v>
      </c>
      <c r="E105" s="552" t="s">
        <v>1094</v>
      </c>
      <c r="F105" s="90">
        <f>50*1.0936</f>
        <v>54.679999999999993</v>
      </c>
      <c r="G105" s="552" t="s">
        <v>27</v>
      </c>
      <c r="H105" s="79"/>
      <c r="I105" s="80">
        <v>25</v>
      </c>
      <c r="J105" s="81">
        <v>22</v>
      </c>
      <c r="K105" s="81">
        <f t="shared" ref="K105:K107" si="22">I105*J105</f>
        <v>550</v>
      </c>
      <c r="L105" s="551"/>
      <c r="M105" s="551"/>
      <c r="N105" s="546"/>
    </row>
    <row r="106" spans="1:14" s="71" customFormat="1" ht="15.6" customHeight="1">
      <c r="A106" s="551"/>
      <c r="B106" s="552"/>
      <c r="C106" s="552"/>
      <c r="D106" s="552"/>
      <c r="E106" s="552"/>
      <c r="F106" s="90"/>
      <c r="G106" s="553" t="s">
        <v>49</v>
      </c>
      <c r="H106" s="79"/>
      <c r="I106" s="80">
        <v>2</v>
      </c>
      <c r="J106" s="81">
        <v>34</v>
      </c>
      <c r="K106" s="81">
        <f t="shared" si="22"/>
        <v>68</v>
      </c>
      <c r="L106" s="551"/>
      <c r="M106" s="551"/>
      <c r="N106" s="546"/>
    </row>
    <row r="107" spans="1:14" s="71" customFormat="1" ht="15.6" customHeight="1">
      <c r="A107" s="551"/>
      <c r="B107" s="551"/>
      <c r="C107" s="551"/>
      <c r="D107" s="551"/>
      <c r="E107" s="551"/>
      <c r="F107" s="551"/>
      <c r="G107" s="552" t="s">
        <v>19</v>
      </c>
      <c r="H107" s="79"/>
      <c r="I107" s="80">
        <v>0.6</v>
      </c>
      <c r="J107" s="81">
        <v>80</v>
      </c>
      <c r="K107" s="81">
        <f t="shared" si="22"/>
        <v>48</v>
      </c>
      <c r="L107" s="551"/>
      <c r="M107" s="551"/>
      <c r="N107" s="546"/>
    </row>
    <row r="108" spans="1:14" s="71" customFormat="1" ht="15.6" customHeight="1">
      <c r="A108" s="551"/>
      <c r="B108" s="551"/>
      <c r="C108" s="551"/>
      <c r="D108" s="551"/>
      <c r="E108" s="550" t="s">
        <v>9</v>
      </c>
      <c r="F108" s="110">
        <f>SUM(F105:F107)</f>
        <v>54.679999999999993</v>
      </c>
      <c r="G108" s="550"/>
      <c r="H108" s="550"/>
      <c r="I108" s="125"/>
      <c r="J108" s="97"/>
      <c r="K108" s="111">
        <f>SUM(K105:K107)</f>
        <v>666</v>
      </c>
      <c r="L108" s="111">
        <f>K108/F108</f>
        <v>12.179956108266278</v>
      </c>
      <c r="M108" s="102"/>
    </row>
    <row r="109" spans="1:14" s="71" customFormat="1" ht="15.6" customHeight="1">
      <c r="A109" s="552">
        <v>9947</v>
      </c>
      <c r="B109" s="552" t="s">
        <v>1103</v>
      </c>
      <c r="C109" s="89" t="s">
        <v>513</v>
      </c>
      <c r="D109" s="89" t="s">
        <v>297</v>
      </c>
      <c r="E109" s="552" t="s">
        <v>1104</v>
      </c>
      <c r="F109" s="87">
        <f>260*1.0936</f>
        <v>284.33599999999996</v>
      </c>
      <c r="G109" s="552" t="s">
        <v>27</v>
      </c>
      <c r="H109" s="79"/>
      <c r="I109" s="80">
        <v>75</v>
      </c>
      <c r="J109" s="81">
        <v>22</v>
      </c>
      <c r="K109" s="81">
        <f t="shared" ref="K109:K111" si="23">I109*J109</f>
        <v>1650</v>
      </c>
      <c r="L109" s="551"/>
      <c r="M109" s="551"/>
      <c r="N109" s="546"/>
    </row>
    <row r="110" spans="1:14" s="71" customFormat="1" ht="15.6" customHeight="1">
      <c r="A110" s="551"/>
      <c r="B110" s="551"/>
      <c r="C110" s="551"/>
      <c r="D110" s="551"/>
      <c r="E110" s="551"/>
      <c r="F110" s="551"/>
      <c r="G110" s="553" t="s">
        <v>49</v>
      </c>
      <c r="H110" s="79"/>
      <c r="I110" s="80">
        <v>6</v>
      </c>
      <c r="J110" s="81">
        <v>34</v>
      </c>
      <c r="K110" s="81">
        <f t="shared" si="23"/>
        <v>204</v>
      </c>
      <c r="L110" s="551"/>
      <c r="M110" s="551"/>
      <c r="N110" s="546"/>
    </row>
    <row r="111" spans="1:14" s="71" customFormat="1" ht="15.6" customHeight="1">
      <c r="A111" s="551"/>
      <c r="B111" s="551"/>
      <c r="C111" s="551"/>
      <c r="D111" s="551"/>
      <c r="E111" s="551"/>
      <c r="F111" s="551"/>
      <c r="G111" s="552" t="s">
        <v>19</v>
      </c>
      <c r="H111" s="79"/>
      <c r="I111" s="80">
        <v>1.8</v>
      </c>
      <c r="J111" s="81">
        <v>80</v>
      </c>
      <c r="K111" s="81">
        <f t="shared" si="23"/>
        <v>144</v>
      </c>
      <c r="L111" s="551"/>
      <c r="M111" s="551"/>
      <c r="N111" s="546"/>
    </row>
    <row r="112" spans="1:14" s="71" customFormat="1" ht="15.6" customHeight="1">
      <c r="A112" s="551"/>
      <c r="B112" s="551"/>
      <c r="C112" s="551"/>
      <c r="D112" s="551"/>
      <c r="E112" s="550" t="s">
        <v>9</v>
      </c>
      <c r="F112" s="110">
        <f>SUM(F109:F111)</f>
        <v>284.33599999999996</v>
      </c>
      <c r="G112" s="550"/>
      <c r="H112" s="550"/>
      <c r="I112" s="125"/>
      <c r="J112" s="97"/>
      <c r="K112" s="111">
        <f>SUM(K109:K111)</f>
        <v>1998</v>
      </c>
      <c r="L112" s="111">
        <f>K112/F112</f>
        <v>7.0268977547690064</v>
      </c>
      <c r="M112" s="551"/>
      <c r="N112" s="546"/>
    </row>
    <row r="113" spans="1:14" s="71" customFormat="1" ht="15.6" customHeight="1">
      <c r="A113" s="552">
        <v>9947</v>
      </c>
      <c r="B113" s="552" t="s">
        <v>1105</v>
      </c>
      <c r="C113" s="552" t="s">
        <v>792</v>
      </c>
      <c r="D113" s="552" t="s">
        <v>999</v>
      </c>
      <c r="E113" s="552" t="s">
        <v>1048</v>
      </c>
      <c r="F113" s="90">
        <f>5000*1.0936</f>
        <v>5467.9999999999991</v>
      </c>
      <c r="G113" s="552" t="s">
        <v>27</v>
      </c>
      <c r="H113" s="79"/>
      <c r="I113" s="80">
        <v>120</v>
      </c>
      <c r="J113" s="81">
        <v>22</v>
      </c>
      <c r="K113" s="81">
        <f t="shared" ref="K113:K115" si="24">I113*J113</f>
        <v>2640</v>
      </c>
      <c r="L113" s="551"/>
      <c r="M113" s="551"/>
      <c r="N113" s="546"/>
    </row>
    <row r="114" spans="1:14" s="71" customFormat="1" ht="15.6" customHeight="1">
      <c r="A114" s="551"/>
      <c r="B114" s="551"/>
      <c r="C114" s="551"/>
      <c r="D114" s="551"/>
      <c r="E114" s="551"/>
      <c r="F114" s="551"/>
      <c r="G114" s="553" t="s">
        <v>49</v>
      </c>
      <c r="H114" s="79"/>
      <c r="I114" s="80">
        <v>16</v>
      </c>
      <c r="J114" s="81">
        <v>34</v>
      </c>
      <c r="K114" s="81">
        <f t="shared" si="24"/>
        <v>544</v>
      </c>
      <c r="L114" s="551"/>
      <c r="M114" s="551"/>
      <c r="N114" s="546"/>
    </row>
    <row r="115" spans="1:14" s="71" customFormat="1" ht="15.6" customHeight="1">
      <c r="A115" s="551"/>
      <c r="B115" s="551"/>
      <c r="C115" s="551"/>
      <c r="D115" s="551"/>
      <c r="E115" s="551"/>
      <c r="F115" s="551"/>
      <c r="G115" s="552" t="s">
        <v>19</v>
      </c>
      <c r="H115" s="79"/>
      <c r="I115" s="80">
        <v>4.8</v>
      </c>
      <c r="J115" s="81">
        <v>80</v>
      </c>
      <c r="K115" s="81">
        <f t="shared" si="24"/>
        <v>384</v>
      </c>
      <c r="L115" s="551"/>
      <c r="M115" s="551"/>
      <c r="N115" s="546"/>
    </row>
    <row r="116" spans="1:14" s="71" customFormat="1" ht="15.6" customHeight="1">
      <c r="A116" s="551"/>
      <c r="B116" s="551"/>
      <c r="C116" s="551"/>
      <c r="D116" s="551"/>
      <c r="E116" s="550" t="s">
        <v>9</v>
      </c>
      <c r="F116" s="110">
        <f>SUM(F113:F115)</f>
        <v>5467.9999999999991</v>
      </c>
      <c r="G116" s="550"/>
      <c r="H116" s="550"/>
      <c r="I116" s="125"/>
      <c r="J116" s="97"/>
      <c r="K116" s="111">
        <f>SUM(K113:K115)</f>
        <v>3568</v>
      </c>
      <c r="L116" s="111">
        <f>K116/F116</f>
        <v>0.65252377468910028</v>
      </c>
      <c r="M116" s="551"/>
      <c r="N116" s="546"/>
    </row>
    <row r="117" spans="1:14" s="71" customFormat="1" ht="15.6" customHeight="1">
      <c r="A117" s="551">
        <v>9947</v>
      </c>
      <c r="B117" s="552" t="s">
        <v>1101</v>
      </c>
      <c r="C117" s="552" t="s">
        <v>271</v>
      </c>
      <c r="D117" s="552" t="s">
        <v>869</v>
      </c>
      <c r="E117" s="552" t="s">
        <v>126</v>
      </c>
      <c r="F117" s="87">
        <f>415*1.0936</f>
        <v>453.84399999999994</v>
      </c>
      <c r="G117" s="552" t="s">
        <v>27</v>
      </c>
      <c r="H117" s="79"/>
      <c r="I117" s="80">
        <v>50</v>
      </c>
      <c r="J117" s="81">
        <v>22</v>
      </c>
      <c r="K117" s="81">
        <f t="shared" ref="K117:K119" si="25">I117*J117</f>
        <v>1100</v>
      </c>
      <c r="L117" s="551"/>
      <c r="M117" s="551"/>
      <c r="N117" s="546"/>
    </row>
    <row r="118" spans="1:14" s="71" customFormat="1" ht="15.6" customHeight="1">
      <c r="A118" s="551"/>
      <c r="B118" s="551"/>
      <c r="C118" s="551"/>
      <c r="D118" s="551"/>
      <c r="E118" s="551"/>
      <c r="F118" s="551"/>
      <c r="G118" s="553" t="s">
        <v>49</v>
      </c>
      <c r="H118" s="79"/>
      <c r="I118" s="80">
        <v>4</v>
      </c>
      <c r="J118" s="81">
        <v>34</v>
      </c>
      <c r="K118" s="81">
        <f t="shared" si="25"/>
        <v>136</v>
      </c>
      <c r="L118" s="551"/>
      <c r="M118" s="551"/>
      <c r="N118" s="546"/>
    </row>
    <row r="119" spans="1:14" s="71" customFormat="1" ht="15.6" customHeight="1">
      <c r="A119" s="551"/>
      <c r="B119" s="551"/>
      <c r="C119" s="551"/>
      <c r="D119" s="551"/>
      <c r="E119" s="551"/>
      <c r="F119" s="551"/>
      <c r="G119" s="552" t="s">
        <v>19</v>
      </c>
      <c r="H119" s="79"/>
      <c r="I119" s="80">
        <v>1.2</v>
      </c>
      <c r="J119" s="81">
        <v>80</v>
      </c>
      <c r="K119" s="81">
        <f t="shared" si="25"/>
        <v>96</v>
      </c>
      <c r="L119" s="551"/>
      <c r="M119" s="551"/>
      <c r="N119" s="546"/>
    </row>
    <row r="120" spans="1:14" s="71" customFormat="1" ht="15.6" customHeight="1">
      <c r="A120" s="551"/>
      <c r="B120" s="551"/>
      <c r="C120" s="551"/>
      <c r="D120" s="551"/>
      <c r="E120" s="550" t="s">
        <v>9</v>
      </c>
      <c r="F120" s="110">
        <f>SUM(F117:F119)</f>
        <v>453.84399999999994</v>
      </c>
      <c r="G120" s="550"/>
      <c r="H120" s="550"/>
      <c r="I120" s="125"/>
      <c r="J120" s="97"/>
      <c r="K120" s="111">
        <f>SUM(K117:K119)</f>
        <v>1332</v>
      </c>
      <c r="L120" s="111">
        <f>K120/F120</f>
        <v>2.9349291827147659</v>
      </c>
      <c r="M120" s="551"/>
      <c r="N120" s="546"/>
    </row>
    <row r="121" spans="1:14" s="71" customFormat="1" ht="15.6" customHeight="1">
      <c r="A121" s="548"/>
      <c r="B121" s="548"/>
      <c r="C121" s="548"/>
      <c r="D121" s="126" t="s">
        <v>30</v>
      </c>
      <c r="E121" s="142"/>
      <c r="F121" s="127">
        <f>F104+F108+F112+F116+F120</f>
        <v>6567.0679999999993</v>
      </c>
      <c r="G121" s="128"/>
      <c r="H121" s="128"/>
      <c r="I121" s="128"/>
      <c r="J121" s="128"/>
      <c r="K121" s="127">
        <f>K104+K108+K112+K116+K120</f>
        <v>8439.4</v>
      </c>
      <c r="L121" s="129">
        <f>K121/F121</f>
        <v>1.2851092755549358</v>
      </c>
      <c r="M121" s="131"/>
    </row>
    <row r="122" spans="1:14" s="71" customFormat="1" ht="15.6" customHeight="1">
      <c r="A122" s="106" t="s">
        <v>11</v>
      </c>
      <c r="B122" s="106"/>
      <c r="C122" s="106"/>
      <c r="D122" s="106"/>
      <c r="E122" s="106"/>
      <c r="F122" s="107"/>
      <c r="G122" s="107"/>
      <c r="H122" s="107"/>
      <c r="I122" s="107"/>
      <c r="J122" s="107"/>
      <c r="K122" s="867" t="s">
        <v>1106</v>
      </c>
      <c r="L122" s="867"/>
      <c r="M122" s="867"/>
    </row>
    <row r="123" spans="1:14" s="71" customFormat="1" ht="15.6" customHeight="1">
      <c r="A123" s="273" t="s">
        <v>0</v>
      </c>
      <c r="B123" s="273" t="s">
        <v>7</v>
      </c>
      <c r="C123" s="273" t="s">
        <v>13</v>
      </c>
      <c r="D123" s="273" t="s">
        <v>14</v>
      </c>
      <c r="E123" s="273" t="s">
        <v>8</v>
      </c>
      <c r="F123" s="273" t="s">
        <v>1</v>
      </c>
      <c r="G123" s="273" t="s">
        <v>2</v>
      </c>
      <c r="H123" s="273" t="s">
        <v>15</v>
      </c>
      <c r="I123" s="273" t="s">
        <v>3</v>
      </c>
      <c r="J123" s="273" t="s">
        <v>4</v>
      </c>
      <c r="K123" s="273" t="s">
        <v>5</v>
      </c>
      <c r="L123" s="273" t="s">
        <v>12</v>
      </c>
      <c r="M123" s="273" t="s">
        <v>6</v>
      </c>
      <c r="N123" s="123"/>
    </row>
    <row r="124" spans="1:14" s="71" customFormat="1" ht="15.6" customHeight="1">
      <c r="A124" s="552">
        <v>9958</v>
      </c>
      <c r="B124" s="552" t="s">
        <v>996</v>
      </c>
      <c r="C124" s="89" t="s">
        <v>766</v>
      </c>
      <c r="D124" s="89" t="s">
        <v>465</v>
      </c>
      <c r="E124" s="552" t="s">
        <v>310</v>
      </c>
      <c r="F124" s="99">
        <f>7000*1.0936</f>
        <v>7655.1999999999989</v>
      </c>
      <c r="G124" s="173" t="s">
        <v>298</v>
      </c>
      <c r="H124" s="79"/>
      <c r="I124" s="80">
        <v>10</v>
      </c>
      <c r="J124" s="81">
        <v>435</v>
      </c>
      <c r="K124" s="94">
        <f t="shared" ref="K124:K125" si="26">I124*J124</f>
        <v>4350</v>
      </c>
      <c r="L124" s="79"/>
      <c r="M124" s="79"/>
    </row>
    <row r="125" spans="1:14" s="71" customFormat="1" ht="15.6" customHeight="1">
      <c r="A125" s="552"/>
      <c r="B125" s="552"/>
      <c r="C125" s="552"/>
      <c r="D125" s="552"/>
      <c r="E125" s="552"/>
      <c r="F125" s="87"/>
      <c r="G125" s="553" t="s">
        <v>206</v>
      </c>
      <c r="H125" s="79"/>
      <c r="I125" s="81">
        <v>5</v>
      </c>
      <c r="J125" s="81">
        <v>375</v>
      </c>
      <c r="K125" s="81">
        <f t="shared" si="26"/>
        <v>1875</v>
      </c>
      <c r="L125" s="79"/>
      <c r="M125" s="79"/>
    </row>
    <row r="126" spans="1:14" s="71" customFormat="1" ht="15.6" customHeight="1">
      <c r="A126" s="552"/>
      <c r="B126" s="552"/>
      <c r="C126" s="552"/>
      <c r="D126" s="552"/>
      <c r="E126" s="273" t="s">
        <v>9</v>
      </c>
      <c r="F126" s="108">
        <f>SUM(F124:F125)</f>
        <v>7655.1999999999989</v>
      </c>
      <c r="G126" s="273"/>
      <c r="H126" s="273"/>
      <c r="I126" s="81"/>
      <c r="J126" s="81"/>
      <c r="K126" s="103">
        <f>SUM(K124:K125)</f>
        <v>6225</v>
      </c>
      <c r="L126" s="103">
        <f>K126/F126</f>
        <v>0.81317274532344042</v>
      </c>
      <c r="M126" s="79"/>
    </row>
    <row r="127" spans="1:14" s="71" customFormat="1" ht="15.6" customHeight="1">
      <c r="A127" s="552">
        <v>9955</v>
      </c>
      <c r="B127" s="552" t="s">
        <v>269</v>
      </c>
      <c r="C127" s="552"/>
      <c r="D127" s="552"/>
      <c r="E127" s="552"/>
      <c r="F127" s="99">
        <f>150*1.0936</f>
        <v>164.04</v>
      </c>
      <c r="G127" s="173" t="s">
        <v>298</v>
      </c>
      <c r="H127" s="79"/>
      <c r="I127" s="80">
        <v>2</v>
      </c>
      <c r="J127" s="81">
        <v>435</v>
      </c>
      <c r="K127" s="94">
        <f t="shared" ref="K127:K128" si="27">I127*J127</f>
        <v>870</v>
      </c>
      <c r="L127" s="79"/>
      <c r="M127" s="79"/>
    </row>
    <row r="128" spans="1:14" s="71" customFormat="1" ht="15.6" customHeight="1">
      <c r="A128" s="552"/>
      <c r="B128" s="552"/>
      <c r="C128" s="552"/>
      <c r="D128" s="552"/>
      <c r="E128" s="552"/>
      <c r="F128" s="90"/>
      <c r="G128" s="95" t="s">
        <v>204</v>
      </c>
      <c r="H128" s="79"/>
      <c r="I128" s="81">
        <v>1</v>
      </c>
      <c r="J128" s="81">
        <v>375</v>
      </c>
      <c r="K128" s="81">
        <f t="shared" si="27"/>
        <v>375</v>
      </c>
      <c r="L128" s="79"/>
      <c r="M128" s="79"/>
    </row>
    <row r="129" spans="1:14" s="71" customFormat="1" ht="15.6" customHeight="1">
      <c r="A129" s="552"/>
      <c r="B129" s="552"/>
      <c r="C129" s="552"/>
      <c r="D129" s="552"/>
      <c r="E129" s="552"/>
      <c r="F129" s="87"/>
      <c r="G129" s="552" t="s">
        <v>202</v>
      </c>
      <c r="H129" s="79"/>
      <c r="I129" s="81">
        <v>1</v>
      </c>
      <c r="J129" s="81">
        <v>386</v>
      </c>
      <c r="K129" s="81">
        <f t="shared" ref="K129" si="28">I129*J129</f>
        <v>386</v>
      </c>
      <c r="L129" s="79"/>
      <c r="M129" s="79"/>
    </row>
    <row r="130" spans="1:14" s="71" customFormat="1" ht="15.6" customHeight="1">
      <c r="A130" s="552"/>
      <c r="B130" s="552"/>
      <c r="C130" s="552"/>
      <c r="D130" s="552"/>
      <c r="E130" s="273" t="s">
        <v>9</v>
      </c>
      <c r="F130" s="108">
        <f>SUM(F127:F129)</f>
        <v>164.04</v>
      </c>
      <c r="G130" s="273"/>
      <c r="H130" s="273"/>
      <c r="I130" s="81"/>
      <c r="J130" s="81"/>
      <c r="K130" s="103">
        <f>SUM(K127:K129)</f>
        <v>1631</v>
      </c>
      <c r="L130" s="103">
        <f>K130/F130</f>
        <v>9.942696903194344</v>
      </c>
      <c r="M130" s="79"/>
    </row>
    <row r="131" spans="1:14" s="71" customFormat="1" ht="15.6" customHeight="1">
      <c r="A131" s="552">
        <v>9956</v>
      </c>
      <c r="B131" s="552" t="s">
        <v>269</v>
      </c>
      <c r="C131" s="552"/>
      <c r="D131" s="552"/>
      <c r="E131" s="552"/>
      <c r="F131" s="99">
        <f>500*1.0936</f>
        <v>546.79999999999995</v>
      </c>
      <c r="G131" s="173" t="s">
        <v>298</v>
      </c>
      <c r="H131" s="79"/>
      <c r="I131" s="80">
        <v>5</v>
      </c>
      <c r="J131" s="81">
        <v>435</v>
      </c>
      <c r="K131" s="94">
        <f t="shared" ref="K131" si="29">I131*J131</f>
        <v>2175</v>
      </c>
      <c r="L131" s="102"/>
      <c r="M131" s="79"/>
    </row>
    <row r="132" spans="1:14" s="71" customFormat="1" ht="15.6" customHeight="1">
      <c r="A132" s="552"/>
      <c r="B132" s="552"/>
      <c r="C132" s="552"/>
      <c r="D132" s="552"/>
      <c r="E132" s="552"/>
      <c r="F132" s="552"/>
      <c r="G132" s="553" t="s">
        <v>798</v>
      </c>
      <c r="H132" s="79"/>
      <c r="I132" s="81">
        <v>3</v>
      </c>
      <c r="J132" s="81">
        <v>248</v>
      </c>
      <c r="K132" s="81">
        <f>I132*J132</f>
        <v>744</v>
      </c>
      <c r="L132" s="102"/>
      <c r="M132" s="79"/>
    </row>
    <row r="133" spans="1:14" s="71" customFormat="1" ht="15.6" customHeight="1">
      <c r="A133" s="552"/>
      <c r="B133" s="552"/>
      <c r="C133" s="552"/>
      <c r="D133" s="552"/>
      <c r="E133" s="273" t="s">
        <v>9</v>
      </c>
      <c r="F133" s="108">
        <f>SUM(F131:F132)</f>
        <v>546.79999999999995</v>
      </c>
      <c r="G133" s="273"/>
      <c r="H133" s="273"/>
      <c r="I133" s="81"/>
      <c r="J133" s="81"/>
      <c r="K133" s="103">
        <f>SUM(K131:K132)</f>
        <v>2919</v>
      </c>
      <c r="L133" s="103">
        <f>K133/F133</f>
        <v>5.3383321141185078</v>
      </c>
      <c r="M133" s="79"/>
    </row>
    <row r="134" spans="1:14" s="71" customFormat="1" ht="15.6" customHeight="1">
      <c r="A134" s="107"/>
      <c r="B134" s="107"/>
      <c r="C134" s="107"/>
      <c r="D134" s="133" t="s">
        <v>30</v>
      </c>
      <c r="E134" s="133"/>
      <c r="F134" s="134">
        <f>F126+F130+F133</f>
        <v>8366.0399999999991</v>
      </c>
      <c r="G134" s="135"/>
      <c r="H134" s="135"/>
      <c r="I134" s="135"/>
      <c r="J134" s="135"/>
      <c r="K134" s="134">
        <f>K126+K130+K133</f>
        <v>10775</v>
      </c>
      <c r="L134" s="151">
        <f>K134/F134</f>
        <v>1.2879450731767959</v>
      </c>
      <c r="M134" s="107"/>
    </row>
    <row r="135" spans="1:14" s="71" customFormat="1" ht="15.6" customHeight="1">
      <c r="A135" s="70" t="s">
        <v>42</v>
      </c>
      <c r="B135" s="70"/>
      <c r="C135" s="70"/>
      <c r="D135" s="70"/>
      <c r="E135" s="70"/>
      <c r="K135" s="867" t="s">
        <v>1106</v>
      </c>
      <c r="L135" s="867"/>
      <c r="M135" s="867"/>
    </row>
    <row r="136" spans="1:14" s="71" customFormat="1" ht="15.6" customHeight="1">
      <c r="A136" s="550" t="s">
        <v>0</v>
      </c>
      <c r="B136" s="550" t="s">
        <v>7</v>
      </c>
      <c r="C136" s="550" t="s">
        <v>13</v>
      </c>
      <c r="D136" s="550" t="s">
        <v>14</v>
      </c>
      <c r="E136" s="550" t="s">
        <v>8</v>
      </c>
      <c r="F136" s="550" t="s">
        <v>1</v>
      </c>
      <c r="G136" s="550" t="s">
        <v>2</v>
      </c>
      <c r="H136" s="550" t="s">
        <v>15</v>
      </c>
      <c r="I136" s="550" t="s">
        <v>3</v>
      </c>
      <c r="J136" s="550" t="s">
        <v>4</v>
      </c>
      <c r="K136" s="550" t="s">
        <v>5</v>
      </c>
      <c r="L136" s="550" t="s">
        <v>12</v>
      </c>
      <c r="M136" s="550" t="s">
        <v>6</v>
      </c>
      <c r="N136" s="123"/>
    </row>
    <row r="137" spans="1:14" s="71" customFormat="1" ht="15.6" customHeight="1">
      <c r="A137" s="551">
        <v>5232</v>
      </c>
      <c r="B137" s="552" t="s">
        <v>203</v>
      </c>
      <c r="C137" s="552" t="s">
        <v>267</v>
      </c>
      <c r="D137" s="552" t="s">
        <v>273</v>
      </c>
      <c r="E137" s="552" t="s">
        <v>102</v>
      </c>
      <c r="F137" s="87"/>
      <c r="G137" s="91" t="s">
        <v>210</v>
      </c>
      <c r="H137" s="109"/>
      <c r="I137" s="80"/>
      <c r="J137" s="81">
        <v>890</v>
      </c>
      <c r="K137" s="81">
        <f t="shared" ref="K137" si="30">I137*J137</f>
        <v>0</v>
      </c>
      <c r="L137" s="102"/>
      <c r="M137" s="102"/>
    </row>
    <row r="138" spans="1:14" s="71" customFormat="1" ht="15.6" customHeight="1">
      <c r="A138" s="551"/>
      <c r="B138" s="552"/>
      <c r="C138" s="552"/>
      <c r="D138" s="552" t="s">
        <v>321</v>
      </c>
      <c r="E138" s="552" t="s">
        <v>93</v>
      </c>
      <c r="F138" s="552"/>
      <c r="G138" s="91" t="s">
        <v>209</v>
      </c>
      <c r="H138" s="79"/>
      <c r="I138" s="80"/>
      <c r="J138" s="81">
        <v>350</v>
      </c>
      <c r="K138" s="81">
        <f t="shared" ref="K138:K139" si="31">I138*J138</f>
        <v>0</v>
      </c>
      <c r="L138" s="102"/>
      <c r="M138" s="102"/>
    </row>
    <row r="139" spans="1:14" s="71" customFormat="1" ht="15.6" customHeight="1">
      <c r="A139" s="551"/>
      <c r="B139" s="551"/>
      <c r="C139" s="551"/>
      <c r="D139" s="551"/>
      <c r="E139" s="551"/>
      <c r="F139" s="98"/>
      <c r="G139" s="91" t="s">
        <v>272</v>
      </c>
      <c r="H139" s="109"/>
      <c r="I139" s="80"/>
      <c r="J139" s="81">
        <v>700</v>
      </c>
      <c r="K139" s="81">
        <f t="shared" si="31"/>
        <v>0</v>
      </c>
      <c r="L139" s="102"/>
      <c r="M139" s="102"/>
    </row>
    <row r="140" spans="1:14" s="71" customFormat="1" ht="15.6" customHeight="1">
      <c r="A140" s="551"/>
      <c r="B140" s="551"/>
      <c r="C140" s="551"/>
      <c r="D140" s="551"/>
      <c r="E140" s="551"/>
      <c r="F140" s="98"/>
      <c r="G140" s="553" t="s">
        <v>211</v>
      </c>
      <c r="H140" s="79"/>
      <c r="I140" s="80"/>
      <c r="J140" s="81">
        <v>120</v>
      </c>
      <c r="K140" s="81">
        <f>I140*J140</f>
        <v>0</v>
      </c>
      <c r="L140" s="102"/>
      <c r="M140" s="102"/>
    </row>
    <row r="141" spans="1:14" s="71" customFormat="1" ht="15.6" customHeight="1">
      <c r="A141" s="551"/>
      <c r="B141" s="551"/>
      <c r="C141" s="551"/>
      <c r="D141" s="551"/>
      <c r="E141" s="551"/>
      <c r="F141" s="98"/>
      <c r="G141" s="553" t="s">
        <v>212</v>
      </c>
      <c r="H141" s="79"/>
      <c r="I141" s="80"/>
      <c r="J141" s="81">
        <v>527</v>
      </c>
      <c r="K141" s="81">
        <f t="shared" ref="K141:K144" si="32">I141*J141</f>
        <v>0</v>
      </c>
      <c r="L141" s="102"/>
      <c r="M141" s="102"/>
    </row>
    <row r="142" spans="1:14" s="71" customFormat="1" ht="15.6" customHeight="1">
      <c r="A142" s="551"/>
      <c r="B142" s="551"/>
      <c r="C142" s="551"/>
      <c r="D142" s="551"/>
      <c r="E142" s="551"/>
      <c r="F142" s="98"/>
      <c r="G142" s="553" t="s">
        <v>213</v>
      </c>
      <c r="H142" s="79"/>
      <c r="I142" s="80"/>
      <c r="J142" s="81">
        <v>348</v>
      </c>
      <c r="K142" s="81">
        <f t="shared" si="32"/>
        <v>0</v>
      </c>
      <c r="L142" s="102"/>
      <c r="M142" s="102"/>
    </row>
    <row r="143" spans="1:14" s="71" customFormat="1" ht="15.6" customHeight="1">
      <c r="A143" s="551"/>
      <c r="B143" s="551"/>
      <c r="C143" s="551"/>
      <c r="D143" s="551"/>
      <c r="E143" s="551"/>
      <c r="F143" s="98"/>
      <c r="G143" s="553" t="s">
        <v>45</v>
      </c>
      <c r="H143" s="79"/>
      <c r="I143" s="80"/>
      <c r="J143" s="81">
        <v>45</v>
      </c>
      <c r="K143" s="81">
        <f t="shared" si="32"/>
        <v>0</v>
      </c>
      <c r="L143" s="102"/>
      <c r="M143" s="102"/>
    </row>
    <row r="144" spans="1:14" s="71" customFormat="1" ht="15.6" customHeight="1">
      <c r="A144" s="551"/>
      <c r="B144" s="551"/>
      <c r="C144" s="551"/>
      <c r="D144" s="551"/>
      <c r="E144" s="551"/>
      <c r="F144" s="98"/>
      <c r="G144" s="553" t="s">
        <v>214</v>
      </c>
      <c r="H144" s="79"/>
      <c r="I144" s="80"/>
      <c r="J144" s="81">
        <v>360</v>
      </c>
      <c r="K144" s="81">
        <f t="shared" si="32"/>
        <v>0</v>
      </c>
      <c r="L144" s="102"/>
      <c r="M144" s="102"/>
    </row>
    <row r="145" spans="1:13" s="71" customFormat="1" ht="15.6" customHeight="1">
      <c r="A145" s="551"/>
      <c r="B145" s="551"/>
      <c r="C145" s="551"/>
      <c r="D145" s="551"/>
      <c r="E145" s="550" t="s">
        <v>9</v>
      </c>
      <c r="F145" s="110">
        <f>SUM(F137:F144)</f>
        <v>0</v>
      </c>
      <c r="G145" s="550"/>
      <c r="H145" s="550"/>
      <c r="I145" s="97"/>
      <c r="J145" s="97"/>
      <c r="K145" s="111">
        <f>SUM(K137:K144)</f>
        <v>0</v>
      </c>
      <c r="L145" s="111" t="e">
        <f>K145/F145</f>
        <v>#DIV/0!</v>
      </c>
      <c r="M145" s="102"/>
    </row>
    <row r="146" spans="1:13" s="71" customFormat="1" ht="15.6" customHeight="1">
      <c r="D146" s="126" t="s">
        <v>30</v>
      </c>
      <c r="E146" s="126"/>
      <c r="F146" s="127">
        <f>F145</f>
        <v>0</v>
      </c>
      <c r="G146" s="128"/>
      <c r="H146" s="128"/>
      <c r="I146" s="128"/>
      <c r="J146" s="128"/>
      <c r="K146" s="127">
        <f>K145</f>
        <v>0</v>
      </c>
      <c r="L146" s="129" t="e">
        <f>K146/F146</f>
        <v>#DIV/0!</v>
      </c>
    </row>
    <row r="147" spans="1:13" s="71" customFormat="1" ht="15.6" customHeight="1"/>
    <row r="148" spans="1:13" s="71" customFormat="1" ht="15.6" customHeight="1"/>
    <row r="149" spans="1:13" s="71" customFormat="1" ht="15.6" customHeight="1">
      <c r="B149" s="107"/>
      <c r="C149" s="107"/>
      <c r="D149" s="133" t="s">
        <v>1009</v>
      </c>
      <c r="E149" s="405">
        <f>F98</f>
        <v>10529.1808</v>
      </c>
      <c r="F149" s="133"/>
      <c r="G149" s="134">
        <f>K20+K35+K41+K47+K98+K121+K134+K146</f>
        <v>169093.72199999998</v>
      </c>
      <c r="H149" s="135"/>
      <c r="I149" s="135"/>
      <c r="J149" s="135"/>
      <c r="K149" s="135"/>
      <c r="L149" s="134">
        <f>G149/E149</f>
        <v>16.059532570663045</v>
      </c>
    </row>
    <row r="150" spans="1:13" s="71" customFormat="1" ht="15.6" customHeight="1">
      <c r="B150" s="107"/>
      <c r="C150" s="107"/>
      <c r="D150" s="109" t="s">
        <v>855</v>
      </c>
      <c r="E150" s="406"/>
      <c r="F150" s="109"/>
      <c r="G150" s="359">
        <f>K50+K51+K52+K56+K57+K58+K62+K63+K64+K68+K69+K70+K74+K75+K76+K80+K81+K82+K86+K87+K88+K92+K93+K94</f>
        <v>74650.322</v>
      </c>
      <c r="H150" s="370"/>
      <c r="I150" s="359">
        <f>'13'!I172+'14'!G150</f>
        <v>1001053.3650000002</v>
      </c>
      <c r="J150" s="438">
        <f>G150+M163</f>
        <v>74650.322</v>
      </c>
      <c r="K150" s="360"/>
      <c r="L150" s="396"/>
    </row>
    <row r="151" spans="1:13" s="71" customFormat="1" ht="15.6" customHeight="1">
      <c r="B151" s="107"/>
      <c r="C151" s="107"/>
      <c r="D151" s="323" t="s">
        <v>854</v>
      </c>
      <c r="E151" s="361"/>
      <c r="F151" s="323"/>
      <c r="G151" s="397">
        <f>G149-G150</f>
        <v>94443.39999999998</v>
      </c>
      <c r="H151" s="398"/>
      <c r="I151" s="359">
        <f>'13'!I173+'14'!G151</f>
        <v>2337655.0609999998</v>
      </c>
      <c r="J151" s="400"/>
      <c r="K151" s="400"/>
      <c r="L151" s="401"/>
    </row>
    <row r="152" spans="1:13" s="71" customFormat="1" ht="15.6" customHeight="1">
      <c r="B152" s="107"/>
      <c r="C152" s="107"/>
      <c r="D152" s="109" t="s">
        <v>853</v>
      </c>
      <c r="E152" s="407"/>
      <c r="F152" s="109"/>
      <c r="G152" s="410">
        <f>SUM(G150:G151)</f>
        <v>169093.72199999998</v>
      </c>
      <c r="H152" s="402"/>
      <c r="I152" s="403">
        <f>'01'!G231+'02'!G278+'03'!G371+'04'!G281</f>
        <v>0</v>
      </c>
      <c r="J152" s="402"/>
      <c r="K152" s="402"/>
      <c r="L152" s="404">
        <f>G152/E149</f>
        <v>16.059532570663045</v>
      </c>
    </row>
    <row r="153" spans="1:13" s="71" customFormat="1" ht="15.6" customHeight="1">
      <c r="B153" s="107"/>
      <c r="C153" s="107"/>
      <c r="D153" s="395" t="s">
        <v>906</v>
      </c>
      <c r="E153" s="408"/>
      <c r="F153" s="109"/>
      <c r="G153" s="409">
        <f>M163</f>
        <v>0</v>
      </c>
      <c r="H153" s="392"/>
      <c r="I153" s="391"/>
      <c r="J153" s="391"/>
      <c r="K153" s="393"/>
    </row>
    <row r="154" spans="1:13" s="71" customFormat="1" ht="15.6" customHeight="1">
      <c r="B154" s="107"/>
      <c r="C154" s="107"/>
      <c r="D154" s="106"/>
      <c r="E154" s="106"/>
      <c r="F154" s="106"/>
      <c r="G154" s="106"/>
      <c r="H154" s="246"/>
      <c r="I154" s="106"/>
      <c r="J154" s="106"/>
      <c r="K154" s="106"/>
      <c r="L154" s="106"/>
    </row>
    <row r="155" spans="1:13" s="71" customFormat="1" ht="15.6" customHeight="1">
      <c r="B155" s="107"/>
      <c r="C155" s="107"/>
      <c r="D155" s="829" t="s">
        <v>852</v>
      </c>
      <c r="E155" s="829"/>
      <c r="F155" s="357">
        <f>G163+G164+G165+G166</f>
        <v>17764</v>
      </c>
      <c r="G155" s="106"/>
      <c r="H155" s="500" t="s">
        <v>908</v>
      </c>
      <c r="I155" s="830" t="s">
        <v>199</v>
      </c>
      <c r="J155" s="831"/>
      <c r="K155" s="80"/>
      <c r="L155" s="81">
        <v>530</v>
      </c>
      <c r="M155" s="81">
        <f t="shared" ref="M155:M160" si="33">K155*L155</f>
        <v>0</v>
      </c>
    </row>
    <row r="156" spans="1:13" s="71" customFormat="1" ht="15.6" customHeight="1">
      <c r="B156" s="107"/>
      <c r="C156" s="107"/>
      <c r="D156" s="829" t="s">
        <v>835</v>
      </c>
      <c r="E156" s="829"/>
      <c r="F156" s="357">
        <f>G161+G162</f>
        <v>15464</v>
      </c>
      <c r="G156" s="106"/>
      <c r="H156" s="500" t="s">
        <v>909</v>
      </c>
      <c r="I156" s="830" t="s">
        <v>196</v>
      </c>
      <c r="J156" s="831"/>
      <c r="K156" s="80"/>
      <c r="L156" s="81">
        <v>888</v>
      </c>
      <c r="M156" s="81">
        <f t="shared" si="33"/>
        <v>0</v>
      </c>
    </row>
    <row r="157" spans="1:13" s="71" customFormat="1" ht="15.6" customHeight="1">
      <c r="B157" s="107"/>
      <c r="C157" s="107"/>
      <c r="D157" s="829" t="s">
        <v>836</v>
      </c>
      <c r="E157" s="829"/>
      <c r="F157" s="357">
        <f>SUM(F155:F156)</f>
        <v>33228</v>
      </c>
      <c r="G157" s="106"/>
      <c r="H157" s="500" t="s">
        <v>910</v>
      </c>
      <c r="I157" s="830" t="s">
        <v>192</v>
      </c>
      <c r="J157" s="831"/>
      <c r="K157" s="80"/>
      <c r="L157" s="81">
        <v>1126</v>
      </c>
      <c r="M157" s="81">
        <f t="shared" si="33"/>
        <v>0</v>
      </c>
    </row>
    <row r="158" spans="1:13" s="71" customFormat="1" ht="15.6" customHeight="1">
      <c r="B158" s="107"/>
      <c r="C158" s="107"/>
      <c r="D158" s="547" t="s">
        <v>847</v>
      </c>
      <c r="E158" s="547"/>
      <c r="F158" s="357">
        <f>F155-G151</f>
        <v>-76679.39999999998</v>
      </c>
      <c r="G158" s="106"/>
      <c r="H158" s="500" t="s">
        <v>908</v>
      </c>
      <c r="I158" s="832" t="s">
        <v>460</v>
      </c>
      <c r="J158" s="833"/>
      <c r="K158" s="80"/>
      <c r="L158" s="81">
        <v>920</v>
      </c>
      <c r="M158" s="81">
        <f t="shared" si="33"/>
        <v>0</v>
      </c>
    </row>
    <row r="159" spans="1:13" s="71" customFormat="1" ht="15.6" customHeight="1">
      <c r="B159" s="107"/>
      <c r="C159" s="107"/>
      <c r="D159" s="106"/>
      <c r="E159" s="106"/>
      <c r="F159" s="106"/>
      <c r="G159" s="106"/>
      <c r="H159" s="500" t="s">
        <v>912</v>
      </c>
      <c r="I159" s="834" t="s">
        <v>315</v>
      </c>
      <c r="J159" s="835"/>
      <c r="K159" s="80"/>
      <c r="L159" s="81">
        <v>2184</v>
      </c>
      <c r="M159" s="81">
        <f t="shared" si="33"/>
        <v>0</v>
      </c>
    </row>
    <row r="160" spans="1:13" s="71" customFormat="1" ht="15.6" customHeight="1">
      <c r="B160" s="836" t="s">
        <v>833</v>
      </c>
      <c r="C160" s="837"/>
      <c r="D160" s="273" t="s">
        <v>844</v>
      </c>
      <c r="E160" s="273" t="s">
        <v>845</v>
      </c>
      <c r="F160" s="273" t="s">
        <v>846</v>
      </c>
      <c r="G160" s="273" t="s">
        <v>5</v>
      </c>
      <c r="H160" s="500" t="s">
        <v>911</v>
      </c>
      <c r="I160" s="830" t="s">
        <v>286</v>
      </c>
      <c r="J160" s="831"/>
      <c r="K160" s="80"/>
      <c r="L160" s="81">
        <v>2065</v>
      </c>
      <c r="M160" s="81">
        <f t="shared" si="33"/>
        <v>0</v>
      </c>
    </row>
    <row r="161" spans="1:13" s="71" customFormat="1" ht="15.6" customHeight="1">
      <c r="B161" s="107"/>
      <c r="C161" s="107"/>
      <c r="D161" s="273" t="s">
        <v>837</v>
      </c>
      <c r="E161" s="109">
        <v>15.5</v>
      </c>
      <c r="F161" s="122">
        <v>888</v>
      </c>
      <c r="G161" s="357">
        <f>F161*E161</f>
        <v>13764</v>
      </c>
      <c r="H161" s="500" t="s">
        <v>909</v>
      </c>
      <c r="I161" s="838"/>
      <c r="J161" s="839"/>
      <c r="K161" s="102"/>
      <c r="L161" s="102"/>
      <c r="M161" s="388"/>
    </row>
    <row r="162" spans="1:13" s="71" customFormat="1" ht="15.6" customHeight="1">
      <c r="B162" s="107"/>
      <c r="C162" s="107"/>
      <c r="D162" s="273" t="s">
        <v>1062</v>
      </c>
      <c r="E162" s="109">
        <v>34</v>
      </c>
      <c r="F162" s="122">
        <v>50</v>
      </c>
      <c r="G162" s="357">
        <f t="shared" ref="G162:G168" si="34">F162*E162</f>
        <v>1700</v>
      </c>
      <c r="H162" s="500" t="s">
        <v>911</v>
      </c>
      <c r="I162" s="847"/>
      <c r="J162" s="848"/>
      <c r="K162" s="109"/>
      <c r="L162" s="109"/>
      <c r="M162" s="102"/>
    </row>
    <row r="163" spans="1:13" s="71" customFormat="1" ht="15.6" customHeight="1">
      <c r="A163" s="546"/>
      <c r="B163" s="106"/>
      <c r="C163" s="106"/>
      <c r="D163" s="322" t="s">
        <v>843</v>
      </c>
      <c r="E163" s="317"/>
      <c r="F163" s="492">
        <f>SUM(F161:F162)</f>
        <v>938</v>
      </c>
      <c r="G163" s="440">
        <f>SUM(G161:G162)</f>
        <v>15464</v>
      </c>
      <c r="H163" s="106"/>
      <c r="I163" s="838" t="s">
        <v>906</v>
      </c>
      <c r="J163" s="839"/>
      <c r="K163" s="147">
        <f>SUM(K155:K162)</f>
        <v>0</v>
      </c>
      <c r="L163" s="102"/>
      <c r="M163" s="388">
        <f>SUM(M155:M162)</f>
        <v>0</v>
      </c>
    </row>
    <row r="164" spans="1:13" s="71" customFormat="1" ht="15.6" customHeight="1">
      <c r="B164" s="107"/>
      <c r="C164" s="107"/>
      <c r="D164" s="390" t="s">
        <v>968</v>
      </c>
      <c r="E164" s="109">
        <v>360</v>
      </c>
      <c r="F164" s="122"/>
      <c r="G164" s="357">
        <f t="shared" si="34"/>
        <v>0</v>
      </c>
      <c r="H164" s="106"/>
      <c r="I164" s="106"/>
      <c r="J164" s="106"/>
      <c r="K164" s="106"/>
      <c r="L164" s="106"/>
      <c r="M164" s="263">
        <f>G150+M163</f>
        <v>74650.322</v>
      </c>
    </row>
    <row r="165" spans="1:13" s="71" customFormat="1" ht="15.6" customHeight="1">
      <c r="B165" s="107"/>
      <c r="C165" s="107"/>
      <c r="D165" s="273" t="s">
        <v>1065</v>
      </c>
      <c r="E165" s="109">
        <v>165</v>
      </c>
      <c r="F165" s="122"/>
      <c r="G165" s="357">
        <f t="shared" si="34"/>
        <v>0</v>
      </c>
      <c r="H165" s="106"/>
      <c r="I165" s="106"/>
      <c r="J165" s="106"/>
      <c r="K165" s="106"/>
      <c r="L165" s="106"/>
    </row>
    <row r="166" spans="1:13" s="71" customFormat="1" ht="15.6" customHeight="1">
      <c r="B166" s="107"/>
      <c r="C166" s="107"/>
      <c r="D166" s="273" t="s">
        <v>907</v>
      </c>
      <c r="E166" s="389">
        <v>46</v>
      </c>
      <c r="F166" s="122">
        <f>50</f>
        <v>50</v>
      </c>
      <c r="G166" s="357">
        <f t="shared" si="34"/>
        <v>2300</v>
      </c>
      <c r="H166" s="106"/>
      <c r="I166" s="106"/>
      <c r="J166" s="106"/>
      <c r="K166" s="106"/>
      <c r="L166" s="106"/>
    </row>
    <row r="167" spans="1:13" s="71" customFormat="1" ht="15.6" customHeight="1">
      <c r="B167" s="107"/>
      <c r="C167" s="107"/>
      <c r="D167" s="273" t="s">
        <v>27</v>
      </c>
      <c r="E167" s="109">
        <v>22</v>
      </c>
      <c r="F167" s="122">
        <v>4000</v>
      </c>
      <c r="G167" s="357">
        <f t="shared" si="34"/>
        <v>88000</v>
      </c>
      <c r="H167" s="106"/>
      <c r="I167" s="106"/>
      <c r="J167" s="106"/>
      <c r="K167" s="106"/>
      <c r="L167" s="106"/>
    </row>
    <row r="168" spans="1:13" s="71" customFormat="1" ht="15.6" customHeight="1">
      <c r="B168" s="107"/>
      <c r="C168" s="107"/>
      <c r="D168" s="273" t="s">
        <v>1062</v>
      </c>
      <c r="E168" s="109">
        <v>34</v>
      </c>
      <c r="F168" s="122">
        <f>500+400</f>
        <v>900</v>
      </c>
      <c r="G168" s="357">
        <f t="shared" si="34"/>
        <v>30600</v>
      </c>
      <c r="H168" s="107"/>
      <c r="I168" s="107"/>
      <c r="J168" s="107"/>
      <c r="K168" s="107"/>
      <c r="L168" s="107"/>
    </row>
    <row r="169" spans="1:13" s="71" customFormat="1" ht="15.6" customHeight="1">
      <c r="B169" s="107"/>
      <c r="C169" s="107"/>
      <c r="D169" s="273" t="s">
        <v>997</v>
      </c>
      <c r="E169" s="317">
        <v>120</v>
      </c>
      <c r="F169" s="492">
        <v>30</v>
      </c>
      <c r="G169" s="357"/>
      <c r="H169" s="107"/>
      <c r="I169" s="107"/>
      <c r="J169" s="107"/>
      <c r="K169" s="107"/>
      <c r="L169" s="107"/>
    </row>
    <row r="170" spans="1:13" s="71" customFormat="1" ht="15.6" customHeight="1">
      <c r="B170" s="107"/>
      <c r="C170" s="107"/>
      <c r="D170" s="331" t="s">
        <v>843</v>
      </c>
      <c r="E170" s="109"/>
      <c r="F170" s="122">
        <f>SUM(F164:F169)</f>
        <v>4980</v>
      </c>
      <c r="G170" s="357">
        <f>SUM(G166:G169)</f>
        <v>120900</v>
      </c>
    </row>
    <row r="171" spans="1:13" s="71" customFormat="1" ht="15.6" customHeight="1">
      <c r="B171" s="107"/>
      <c r="C171" s="107"/>
      <c r="D171" s="322" t="s">
        <v>969</v>
      </c>
      <c r="E171" s="317"/>
      <c r="F171" s="492">
        <f>F163+F170</f>
        <v>5918</v>
      </c>
      <c r="G171" s="440">
        <f>G163+G170</f>
        <v>136364</v>
      </c>
    </row>
    <row r="172" spans="1:13" s="71" customFormat="1" ht="15.6" customHeight="1"/>
    <row r="173" spans="1:13" s="71" customFormat="1" ht="15.6" customHeight="1"/>
    <row r="174" spans="1:13" s="71" customFormat="1" ht="15.6" customHeight="1"/>
    <row r="175" spans="1:13" s="71" customFormat="1" ht="15.6" customHeight="1"/>
    <row r="176" spans="1:13" s="71" customFormat="1" ht="15.6" customHeight="1"/>
    <row r="177" spans="1:13" s="71" customFormat="1" ht="15.6" customHeight="1"/>
    <row r="178" spans="1:13" s="71" customFormat="1" ht="15.6" customHeight="1"/>
    <row r="179" spans="1:13" s="71" customFormat="1" ht="15.6" customHeight="1"/>
    <row r="180" spans="1:13" s="71" customFormat="1" ht="15.6" customHeight="1"/>
    <row r="181" spans="1:13" s="71" customFormat="1" ht="15.6" customHeight="1"/>
    <row r="182" spans="1:13" s="71" customFormat="1" ht="15.6" customHeight="1"/>
    <row r="183" spans="1:13" s="71" customFormat="1" ht="15.6" customHeight="1"/>
    <row r="184" spans="1:13" s="71" customFormat="1" ht="15.6" customHeight="1"/>
    <row r="185" spans="1:13" s="71" customFormat="1" ht="15.6" customHeight="1"/>
    <row r="186" spans="1:13" s="71" customFormat="1" ht="15.6" customHeight="1"/>
    <row r="187" spans="1:13" ht="15.6" customHeight="1"/>
    <row r="188" spans="1:13" s="64" customFormat="1" ht="15.6" customHeight="1">
      <c r="A188" s="840" t="s">
        <v>240</v>
      </c>
      <c r="B188" s="840"/>
      <c r="C188" s="840" t="s">
        <v>765</v>
      </c>
      <c r="D188" s="840"/>
      <c r="E188" s="840" t="s">
        <v>764</v>
      </c>
      <c r="F188" s="840"/>
      <c r="G188" s="380" t="s">
        <v>66</v>
      </c>
      <c r="H188" s="840" t="s">
        <v>411</v>
      </c>
      <c r="I188" s="840"/>
      <c r="J188" s="840"/>
      <c r="K188" s="840" t="s">
        <v>68</v>
      </c>
      <c r="L188" s="840"/>
      <c r="M188" s="840"/>
    </row>
  </sheetData>
  <mergeCells count="29">
    <mergeCell ref="K188:M188"/>
    <mergeCell ref="B160:C160"/>
    <mergeCell ref="I160:J160"/>
    <mergeCell ref="A188:B188"/>
    <mergeCell ref="C188:D188"/>
    <mergeCell ref="E188:F188"/>
    <mergeCell ref="H188:J188"/>
    <mergeCell ref="I161:J161"/>
    <mergeCell ref="I162:J162"/>
    <mergeCell ref="I163:J163"/>
    <mergeCell ref="D155:E155"/>
    <mergeCell ref="D156:E156"/>
    <mergeCell ref="I155:J155"/>
    <mergeCell ref="I156:J156"/>
    <mergeCell ref="D157:E157"/>
    <mergeCell ref="I157:J157"/>
    <mergeCell ref="K4:M4"/>
    <mergeCell ref="K21:M21"/>
    <mergeCell ref="A1:M1"/>
    <mergeCell ref="A2:M2"/>
    <mergeCell ref="A3:M3"/>
    <mergeCell ref="I158:J158"/>
    <mergeCell ref="I159:J159"/>
    <mergeCell ref="K135:M135"/>
    <mergeCell ref="K36:M36"/>
    <mergeCell ref="K42:M42"/>
    <mergeCell ref="K48:M48"/>
    <mergeCell ref="K99:M99"/>
    <mergeCell ref="K122:M122"/>
  </mergeCells>
  <pageMargins left="0.45" right="0.45" top="0.25" bottom="0.2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/>
  </sheetPr>
  <dimension ref="A1:N379"/>
  <sheetViews>
    <sheetView topLeftCell="A264" workbookViewId="0">
      <selection activeCell="D276" sqref="D276:D289"/>
    </sheetView>
  </sheetViews>
  <sheetFormatPr defaultRowHeight="15"/>
  <cols>
    <col min="2" max="2" width="13.42578125" bestFit="1" customWidth="1"/>
    <col min="3" max="3" width="12.5703125" bestFit="1" customWidth="1"/>
    <col min="4" max="4" width="21.140625" customWidth="1"/>
    <col min="5" max="5" width="12.7109375" bestFit="1" customWidth="1"/>
    <col min="6" max="6" width="10.5703125" bestFit="1" customWidth="1"/>
    <col min="7" max="7" width="24.42578125" bestFit="1" customWidth="1"/>
    <col min="8" max="8" width="6.5703125" bestFit="1" customWidth="1"/>
    <col min="9" max="9" width="11.5703125" bestFit="1" customWidth="1"/>
    <col min="10" max="10" width="9.5703125" bestFit="1" customWidth="1"/>
    <col min="11" max="11" width="11.5703125" bestFit="1" customWidth="1"/>
    <col min="12" max="12" width="9.42578125" customWidth="1"/>
    <col min="13" max="13" width="10.5703125" customWidth="1"/>
    <col min="14" max="14" width="11" customWidth="1"/>
  </cols>
  <sheetData>
    <row r="1" spans="1:14" ht="23.25">
      <c r="A1" s="826" t="s">
        <v>146</v>
      </c>
      <c r="B1" s="826"/>
      <c r="C1" s="826"/>
      <c r="D1" s="826"/>
      <c r="E1" s="826"/>
      <c r="F1" s="826"/>
      <c r="G1" s="826"/>
      <c r="H1" s="826"/>
      <c r="I1" s="826"/>
      <c r="J1" s="826"/>
      <c r="K1" s="826"/>
      <c r="L1" s="826"/>
      <c r="M1" s="826"/>
      <c r="N1" s="826"/>
    </row>
    <row r="2" spans="1:14">
      <c r="A2" s="827" t="s">
        <v>147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827"/>
    </row>
    <row r="3" spans="1:14" s="9" customFormat="1">
      <c r="A3" s="828" t="s">
        <v>148</v>
      </c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  <c r="M3" s="828"/>
      <c r="N3" s="828"/>
    </row>
    <row r="4" spans="1:14">
      <c r="A4" s="70" t="s">
        <v>21</v>
      </c>
      <c r="B4" s="70"/>
      <c r="C4" s="70"/>
      <c r="D4" s="70"/>
      <c r="E4" s="70"/>
      <c r="F4" s="71"/>
      <c r="G4" s="71"/>
      <c r="H4" s="71"/>
      <c r="I4" s="71"/>
      <c r="J4" s="71"/>
      <c r="K4" s="824" t="s">
        <v>403</v>
      </c>
      <c r="L4" s="824"/>
      <c r="M4" s="824"/>
      <c r="N4" s="71"/>
    </row>
    <row r="5" spans="1:14">
      <c r="A5" s="6" t="s">
        <v>0</v>
      </c>
      <c r="B5" s="6" t="s">
        <v>7</v>
      </c>
      <c r="C5" s="6" t="s">
        <v>13</v>
      </c>
      <c r="D5" s="6" t="s">
        <v>14</v>
      </c>
      <c r="E5" s="6" t="s">
        <v>8</v>
      </c>
      <c r="F5" s="6" t="s">
        <v>1</v>
      </c>
      <c r="G5" s="6" t="s">
        <v>2</v>
      </c>
      <c r="H5" s="6" t="s">
        <v>15</v>
      </c>
      <c r="I5" s="6" t="s">
        <v>3</v>
      </c>
      <c r="J5" s="6" t="s">
        <v>4</v>
      </c>
      <c r="K5" s="6" t="s">
        <v>5</v>
      </c>
      <c r="L5" s="6" t="s">
        <v>12</v>
      </c>
      <c r="M5" s="6" t="s">
        <v>6</v>
      </c>
    </row>
    <row r="6" spans="1:14">
      <c r="A6" s="120">
        <v>1</v>
      </c>
      <c r="B6" s="120" t="s">
        <v>669</v>
      </c>
      <c r="C6" s="120" t="s">
        <v>121</v>
      </c>
      <c r="D6" s="120" t="s">
        <v>290</v>
      </c>
      <c r="E6" s="3"/>
      <c r="F6" s="87"/>
      <c r="G6" s="120" t="s">
        <v>170</v>
      </c>
      <c r="H6" s="79"/>
      <c r="I6" s="80"/>
      <c r="J6" s="81">
        <v>227</v>
      </c>
      <c r="K6" s="81">
        <f t="shared" ref="K6:K7" si="0">I6*J6</f>
        <v>0</v>
      </c>
      <c r="L6" s="102"/>
      <c r="M6" s="156">
        <f>I6+I10</f>
        <v>0</v>
      </c>
      <c r="N6" s="120" t="s">
        <v>173</v>
      </c>
    </row>
    <row r="7" spans="1:14">
      <c r="A7" s="120"/>
      <c r="B7" s="3"/>
      <c r="C7" s="3"/>
      <c r="D7" s="3"/>
      <c r="E7" s="3"/>
      <c r="F7" s="4"/>
      <c r="G7" s="120" t="s">
        <v>171</v>
      </c>
      <c r="H7" s="79"/>
      <c r="I7" s="80"/>
      <c r="J7" s="81">
        <v>416</v>
      </c>
      <c r="K7" s="81">
        <f t="shared" si="0"/>
        <v>0</v>
      </c>
      <c r="L7" s="102"/>
      <c r="M7" s="156">
        <f t="shared" ref="M7:M12" si="1">I7+I11</f>
        <v>0</v>
      </c>
      <c r="N7" s="120" t="s">
        <v>174</v>
      </c>
    </row>
    <row r="8" spans="1:14">
      <c r="A8" s="120"/>
      <c r="B8" s="25"/>
      <c r="C8" s="25"/>
      <c r="D8" s="25"/>
      <c r="E8" s="3"/>
      <c r="F8" s="4"/>
      <c r="G8" s="120" t="s">
        <v>172</v>
      </c>
      <c r="H8" s="79"/>
      <c r="I8" s="80"/>
      <c r="J8" s="81">
        <v>165</v>
      </c>
      <c r="K8" s="81">
        <f>I8*J8</f>
        <v>0</v>
      </c>
      <c r="L8" s="102"/>
      <c r="M8" s="156">
        <f t="shared" si="1"/>
        <v>0</v>
      </c>
      <c r="N8" s="120" t="s">
        <v>172</v>
      </c>
    </row>
    <row r="9" spans="1:14">
      <c r="A9" s="120"/>
      <c r="B9" s="3"/>
      <c r="C9" s="3"/>
      <c r="D9" s="3"/>
      <c r="E9" s="6" t="s">
        <v>9</v>
      </c>
      <c r="F9" s="8">
        <f>SUM(F6:F8)</f>
        <v>0</v>
      </c>
      <c r="G9" s="6"/>
      <c r="H9" s="6"/>
      <c r="I9" s="17"/>
      <c r="J9" s="5"/>
      <c r="K9" s="7">
        <f>SUM(K6:K8)</f>
        <v>0</v>
      </c>
      <c r="L9" s="111" t="e">
        <f>K9/F9</f>
        <v>#DIV/0!</v>
      </c>
      <c r="M9" s="156">
        <f t="shared" si="1"/>
        <v>0</v>
      </c>
      <c r="N9" s="120" t="s">
        <v>24</v>
      </c>
    </row>
    <row r="10" spans="1:14">
      <c r="A10" s="120"/>
      <c r="B10" s="120" t="s">
        <v>719</v>
      </c>
      <c r="C10" s="120" t="s">
        <v>366</v>
      </c>
      <c r="D10" s="120" t="s">
        <v>720</v>
      </c>
      <c r="E10" s="120"/>
      <c r="F10" s="87"/>
      <c r="G10" s="120" t="s">
        <v>170</v>
      </c>
      <c r="H10" s="79"/>
      <c r="I10" s="80"/>
      <c r="J10" s="81">
        <v>227</v>
      </c>
      <c r="K10" s="81">
        <f t="shared" ref="K10:K11" si="2">I10*J10</f>
        <v>0</v>
      </c>
      <c r="L10" s="102"/>
      <c r="M10" s="156">
        <f t="shared" si="1"/>
        <v>0</v>
      </c>
      <c r="N10" s="120" t="s">
        <v>175</v>
      </c>
    </row>
    <row r="11" spans="1:14">
      <c r="A11" s="120">
        <v>3</v>
      </c>
      <c r="B11" s="120" t="s">
        <v>289</v>
      </c>
      <c r="C11" s="120" t="s">
        <v>121</v>
      </c>
      <c r="D11" s="120" t="s">
        <v>720</v>
      </c>
      <c r="E11" s="120"/>
      <c r="F11" s="87"/>
      <c r="G11" s="120" t="s">
        <v>171</v>
      </c>
      <c r="H11" s="79"/>
      <c r="I11" s="80"/>
      <c r="J11" s="81">
        <v>416</v>
      </c>
      <c r="K11" s="81">
        <f t="shared" si="2"/>
        <v>0</v>
      </c>
      <c r="L11" s="102"/>
      <c r="M11" s="156">
        <f t="shared" si="1"/>
        <v>0</v>
      </c>
      <c r="N11" s="83" t="s">
        <v>176</v>
      </c>
    </row>
    <row r="12" spans="1:14">
      <c r="A12" s="120"/>
      <c r="B12" s="120" t="s">
        <v>728</v>
      </c>
      <c r="C12" s="120" t="s">
        <v>721</v>
      </c>
      <c r="D12" s="120" t="s">
        <v>722</v>
      </c>
      <c r="E12" s="120"/>
      <c r="F12" s="87"/>
      <c r="G12" s="120" t="s">
        <v>172</v>
      </c>
      <c r="H12" s="79"/>
      <c r="I12" s="80"/>
      <c r="J12" s="81">
        <v>165</v>
      </c>
      <c r="K12" s="81">
        <f>I12*J12</f>
        <v>0</v>
      </c>
      <c r="L12" s="102"/>
      <c r="M12" s="156">
        <f t="shared" si="1"/>
        <v>0</v>
      </c>
      <c r="N12" s="84" t="s">
        <v>10</v>
      </c>
    </row>
    <row r="13" spans="1:14">
      <c r="A13" s="120"/>
      <c r="B13" s="120" t="s">
        <v>727</v>
      </c>
      <c r="C13" s="120" t="s">
        <v>121</v>
      </c>
      <c r="D13" s="120" t="s">
        <v>723</v>
      </c>
      <c r="E13" s="120"/>
      <c r="F13" s="87"/>
      <c r="G13" s="120"/>
      <c r="H13" s="79"/>
      <c r="I13" s="80"/>
      <c r="J13" s="81"/>
      <c r="K13" s="81"/>
      <c r="L13" s="102"/>
      <c r="M13" s="2"/>
    </row>
    <row r="14" spans="1:14">
      <c r="A14" s="120"/>
      <c r="B14" s="120" t="s">
        <v>726</v>
      </c>
      <c r="C14" s="120" t="s">
        <v>725</v>
      </c>
      <c r="D14" s="120" t="s">
        <v>724</v>
      </c>
      <c r="E14" s="120"/>
      <c r="F14" s="87"/>
      <c r="G14" s="25"/>
      <c r="H14" s="36"/>
      <c r="I14" s="39"/>
      <c r="J14" s="40"/>
      <c r="K14" s="40"/>
      <c r="L14" s="102"/>
      <c r="M14" s="2"/>
    </row>
    <row r="15" spans="1:14" s="71" customFormat="1">
      <c r="A15" s="85"/>
      <c r="B15" s="85"/>
      <c r="C15" s="85"/>
      <c r="D15" s="85"/>
      <c r="E15" s="274" t="s">
        <v>9</v>
      </c>
      <c r="F15" s="110">
        <f>SUM(F10:F14)</f>
        <v>0</v>
      </c>
      <c r="G15" s="274"/>
      <c r="H15" s="274"/>
      <c r="I15" s="125"/>
      <c r="J15" s="97"/>
      <c r="K15" s="111">
        <f>SUM(K10:K14)</f>
        <v>0</v>
      </c>
      <c r="L15" s="111" t="e">
        <f>K15/F15</f>
        <v>#DIV/0!</v>
      </c>
      <c r="M15" s="102"/>
    </row>
    <row r="16" spans="1:14" s="71" customFormat="1">
      <c r="D16" s="126" t="s">
        <v>30</v>
      </c>
      <c r="E16" s="126"/>
      <c r="F16" s="127">
        <f>F9+F15</f>
        <v>0</v>
      </c>
      <c r="G16" s="128"/>
      <c r="H16" s="128"/>
      <c r="I16" s="128"/>
      <c r="J16" s="128"/>
      <c r="K16" s="127">
        <f>K9+K15</f>
        <v>0</v>
      </c>
      <c r="L16" s="129" t="e">
        <f>K16/F16</f>
        <v>#DIV/0!</v>
      </c>
    </row>
    <row r="17" spans="1:13">
      <c r="D17" s="26"/>
      <c r="E17" s="26"/>
      <c r="F17" s="27"/>
      <c r="G17" s="26"/>
      <c r="H17" s="26"/>
      <c r="I17" s="26"/>
      <c r="J17" s="26"/>
      <c r="K17" s="27"/>
      <c r="L17" s="15"/>
    </row>
    <row r="18" spans="1:13">
      <c r="D18" s="26"/>
      <c r="E18" s="26"/>
      <c r="F18" s="27"/>
      <c r="G18" s="26"/>
      <c r="H18" s="26"/>
      <c r="I18" s="26"/>
      <c r="J18" s="26"/>
      <c r="K18" s="27"/>
      <c r="L18" s="15"/>
    </row>
    <row r="19" spans="1:13">
      <c r="D19" s="26"/>
      <c r="E19" s="26"/>
      <c r="F19" s="27"/>
      <c r="G19" s="26"/>
      <c r="H19" s="26"/>
      <c r="I19" s="26"/>
      <c r="J19" s="26"/>
      <c r="K19" s="27"/>
      <c r="L19" s="15"/>
    </row>
    <row r="20" spans="1:13">
      <c r="D20" s="26"/>
      <c r="E20" s="26"/>
      <c r="F20" s="27"/>
      <c r="G20" s="26"/>
      <c r="H20" s="26"/>
      <c r="I20" s="26"/>
      <c r="J20" s="26"/>
      <c r="K20" s="27"/>
      <c r="L20" s="15"/>
    </row>
    <row r="21" spans="1:13">
      <c r="D21" s="26"/>
      <c r="E21" s="26"/>
      <c r="F21" s="27"/>
      <c r="G21" s="26"/>
      <c r="H21" s="26"/>
      <c r="I21" s="26"/>
      <c r="J21" s="26"/>
      <c r="K21" s="27"/>
      <c r="L21" s="15"/>
    </row>
    <row r="22" spans="1:13">
      <c r="D22" s="26"/>
      <c r="E22" s="26"/>
      <c r="F22" s="27"/>
      <c r="G22" s="26"/>
      <c r="H22" s="26"/>
      <c r="I22" s="26"/>
      <c r="J22" s="26"/>
      <c r="K22" s="27"/>
      <c r="L22" s="15"/>
      <c r="M22" t="s">
        <v>412</v>
      </c>
    </row>
    <row r="23" spans="1:13">
      <c r="D23" s="26"/>
      <c r="E23" s="26"/>
      <c r="F23" s="27"/>
      <c r="G23" s="26"/>
      <c r="H23" s="26"/>
      <c r="I23" s="26"/>
      <c r="J23" s="26"/>
      <c r="K23" s="27"/>
      <c r="L23" s="15"/>
    </row>
    <row r="24" spans="1:13">
      <c r="D24" s="26"/>
      <c r="E24" s="26"/>
      <c r="F24" s="27"/>
      <c r="G24" s="26"/>
      <c r="H24" s="26"/>
      <c r="I24" s="26"/>
      <c r="J24" s="26"/>
      <c r="K24" s="27"/>
      <c r="L24" s="15"/>
    </row>
    <row r="25" spans="1:13">
      <c r="A25" s="1" t="s">
        <v>23</v>
      </c>
      <c r="B25" s="1"/>
      <c r="C25" s="1"/>
      <c r="D25" s="1"/>
      <c r="E25" s="1"/>
      <c r="K25" s="824" t="s">
        <v>403</v>
      </c>
      <c r="L25" s="824"/>
      <c r="M25" s="824"/>
    </row>
    <row r="26" spans="1:13">
      <c r="A26" s="6" t="s">
        <v>0</v>
      </c>
      <c r="B26" s="6" t="s">
        <v>7</v>
      </c>
      <c r="C26" s="6" t="s">
        <v>13</v>
      </c>
      <c r="D26" s="6" t="s">
        <v>14</v>
      </c>
      <c r="E26" s="6" t="s">
        <v>8</v>
      </c>
      <c r="F26" s="6" t="s">
        <v>1</v>
      </c>
      <c r="G26" s="6" t="s">
        <v>2</v>
      </c>
      <c r="H26" s="6" t="s">
        <v>15</v>
      </c>
      <c r="I26" s="6" t="s">
        <v>3</v>
      </c>
      <c r="J26" s="6" t="s">
        <v>4</v>
      </c>
      <c r="K26" s="6" t="s">
        <v>5</v>
      </c>
      <c r="L26" s="6" t="s">
        <v>12</v>
      </c>
      <c r="M26" s="6" t="s">
        <v>6</v>
      </c>
    </row>
    <row r="27" spans="1:13">
      <c r="A27" s="3">
        <v>1</v>
      </c>
      <c r="B27" s="120" t="s">
        <v>712</v>
      </c>
      <c r="C27" s="120" t="s">
        <v>233</v>
      </c>
      <c r="D27" s="120" t="s">
        <v>699</v>
      </c>
      <c r="E27" s="120"/>
      <c r="F27" s="90"/>
      <c r="G27" s="120" t="s">
        <v>24</v>
      </c>
      <c r="H27" s="79"/>
      <c r="I27" s="80"/>
      <c r="J27" s="81">
        <v>74</v>
      </c>
      <c r="K27" s="81">
        <f t="shared" ref="K27:K29" si="3">I27*J27</f>
        <v>0</v>
      </c>
      <c r="L27" s="2"/>
      <c r="M27" s="21"/>
    </row>
    <row r="28" spans="1:13">
      <c r="A28" s="3"/>
      <c r="B28" s="25"/>
      <c r="C28" s="25"/>
      <c r="D28" s="25"/>
      <c r="E28" s="3"/>
      <c r="F28" s="4"/>
      <c r="G28" s="88" t="s">
        <v>18</v>
      </c>
      <c r="H28" s="79"/>
      <c r="I28" s="80"/>
      <c r="J28" s="81">
        <v>46</v>
      </c>
      <c r="K28" s="81">
        <f t="shared" si="3"/>
        <v>0</v>
      </c>
      <c r="L28" s="2"/>
      <c r="M28" s="2"/>
    </row>
    <row r="29" spans="1:13">
      <c r="A29" s="3"/>
      <c r="B29" s="25"/>
      <c r="C29" s="25"/>
      <c r="D29" s="25"/>
      <c r="E29" s="3"/>
      <c r="F29" s="4"/>
      <c r="G29" s="120" t="s">
        <v>171</v>
      </c>
      <c r="H29" s="79"/>
      <c r="I29" s="80"/>
      <c r="J29" s="81">
        <v>416</v>
      </c>
      <c r="K29" s="81">
        <f t="shared" si="3"/>
        <v>0</v>
      </c>
      <c r="L29" s="2"/>
      <c r="M29" s="2"/>
    </row>
    <row r="30" spans="1:13">
      <c r="A30" s="3"/>
      <c r="B30" s="3"/>
      <c r="C30" s="3"/>
      <c r="D30" s="3"/>
      <c r="E30" s="3"/>
      <c r="F30" s="4"/>
      <c r="G30" s="120" t="s">
        <v>172</v>
      </c>
      <c r="H30" s="79"/>
      <c r="I30" s="80"/>
      <c r="J30" s="81">
        <v>165</v>
      </c>
      <c r="K30" s="81">
        <f>I30*J30</f>
        <v>0</v>
      </c>
      <c r="L30" s="2"/>
      <c r="M30" s="2"/>
    </row>
    <row r="31" spans="1:13">
      <c r="A31" s="3"/>
      <c r="B31" s="3"/>
      <c r="C31" s="3"/>
      <c r="D31" s="3"/>
      <c r="E31" s="3"/>
      <c r="F31" s="4"/>
      <c r="G31" s="83" t="s">
        <v>181</v>
      </c>
      <c r="H31" s="79"/>
      <c r="I31" s="80"/>
      <c r="J31" s="81">
        <v>165</v>
      </c>
      <c r="K31" s="81">
        <f t="shared" ref="K31" si="4">I31*J31</f>
        <v>0</v>
      </c>
      <c r="L31" s="2"/>
      <c r="M31" s="2"/>
    </row>
    <row r="32" spans="1:13">
      <c r="A32" s="3"/>
      <c r="B32" s="3"/>
      <c r="C32" s="3"/>
      <c r="D32" s="3"/>
      <c r="E32" s="6" t="s">
        <v>9</v>
      </c>
      <c r="F32" s="8">
        <f>SUM(F27:F31)</f>
        <v>0</v>
      </c>
      <c r="G32" s="6"/>
      <c r="H32" s="6"/>
      <c r="I32" s="17"/>
      <c r="J32" s="5"/>
      <c r="K32" s="7">
        <f>SUM(K27:K31)</f>
        <v>0</v>
      </c>
      <c r="L32" s="7" t="e">
        <f>K32/F32</f>
        <v>#DIV/0!</v>
      </c>
      <c r="M32" s="2"/>
    </row>
    <row r="33" spans="1:13">
      <c r="A33" s="3">
        <v>2</v>
      </c>
      <c r="B33" s="120" t="s">
        <v>729</v>
      </c>
      <c r="C33" s="120" t="s">
        <v>233</v>
      </c>
      <c r="D33" s="120" t="s">
        <v>340</v>
      </c>
      <c r="E33" s="120"/>
      <c r="F33" s="90"/>
      <c r="G33" s="120" t="s">
        <v>24</v>
      </c>
      <c r="H33" s="79"/>
      <c r="I33" s="80"/>
      <c r="J33" s="81">
        <v>74</v>
      </c>
      <c r="K33" s="81">
        <f t="shared" ref="K33:K35" si="5">I33*J33</f>
        <v>0</v>
      </c>
      <c r="L33" s="2"/>
      <c r="M33" s="2"/>
    </row>
    <row r="34" spans="1:13">
      <c r="A34" s="3"/>
      <c r="B34" s="3"/>
      <c r="C34" s="3"/>
      <c r="D34" s="3"/>
      <c r="E34" s="3"/>
      <c r="F34" s="4"/>
      <c r="G34" s="88" t="s">
        <v>18</v>
      </c>
      <c r="H34" s="79"/>
      <c r="I34" s="80"/>
      <c r="J34" s="81">
        <v>46</v>
      </c>
      <c r="K34" s="81">
        <f t="shared" si="5"/>
        <v>0</v>
      </c>
      <c r="L34" s="2"/>
      <c r="M34" s="2"/>
    </row>
    <row r="35" spans="1:13">
      <c r="A35" s="3"/>
      <c r="B35" s="3"/>
      <c r="C35" s="3"/>
      <c r="D35" s="3"/>
      <c r="E35" s="3"/>
      <c r="F35" s="4"/>
      <c r="G35" s="120" t="s">
        <v>171</v>
      </c>
      <c r="H35" s="79"/>
      <c r="I35" s="80"/>
      <c r="J35" s="81">
        <v>416</v>
      </c>
      <c r="K35" s="81">
        <f t="shared" si="5"/>
        <v>0</v>
      </c>
      <c r="L35" s="2"/>
      <c r="M35" s="2"/>
    </row>
    <row r="36" spans="1:13">
      <c r="A36" s="3"/>
      <c r="B36" s="3"/>
      <c r="C36" s="3"/>
      <c r="D36" s="3"/>
      <c r="E36" s="3"/>
      <c r="F36" s="4"/>
      <c r="G36" s="120" t="s">
        <v>172</v>
      </c>
      <c r="H36" s="79"/>
      <c r="I36" s="80"/>
      <c r="J36" s="81">
        <v>165</v>
      </c>
      <c r="K36" s="81">
        <f>I36*J36</f>
        <v>0</v>
      </c>
      <c r="L36" s="2"/>
      <c r="M36" s="2"/>
    </row>
    <row r="37" spans="1:13">
      <c r="A37" s="3"/>
      <c r="B37" s="3"/>
      <c r="C37" s="3"/>
      <c r="D37" s="3"/>
      <c r="E37" s="3"/>
      <c r="F37" s="4"/>
      <c r="G37" s="83" t="s">
        <v>181</v>
      </c>
      <c r="H37" s="79"/>
      <c r="I37" s="80"/>
      <c r="J37" s="81">
        <v>165</v>
      </c>
      <c r="K37" s="81">
        <f t="shared" ref="K37" si="6">I37*J37</f>
        <v>0</v>
      </c>
      <c r="L37" s="2"/>
      <c r="M37" s="2"/>
    </row>
    <row r="38" spans="1:13">
      <c r="A38" s="3"/>
      <c r="B38" s="3"/>
      <c r="C38" s="3"/>
      <c r="D38" s="3"/>
      <c r="E38" s="6" t="s">
        <v>9</v>
      </c>
      <c r="F38" s="8">
        <f>SUM(F33:F37)</f>
        <v>0</v>
      </c>
      <c r="G38" s="6"/>
      <c r="H38" s="6"/>
      <c r="I38" s="17"/>
      <c r="J38" s="5"/>
      <c r="K38" s="7">
        <f>SUM(K33:K37)</f>
        <v>0</v>
      </c>
      <c r="L38" s="7" t="e">
        <f>K38/F38</f>
        <v>#DIV/0!</v>
      </c>
      <c r="M38" s="2"/>
    </row>
    <row r="39" spans="1:13">
      <c r="A39" s="3">
        <v>3</v>
      </c>
      <c r="B39" s="120" t="s">
        <v>511</v>
      </c>
      <c r="C39" s="120" t="s">
        <v>217</v>
      </c>
      <c r="D39" s="120" t="s">
        <v>308</v>
      </c>
      <c r="E39" s="85"/>
      <c r="F39" s="90"/>
      <c r="G39" s="120" t="s">
        <v>24</v>
      </c>
      <c r="H39" s="79"/>
      <c r="I39" s="80"/>
      <c r="J39" s="81">
        <v>74</v>
      </c>
      <c r="K39" s="81">
        <f t="shared" ref="K39:K41" si="7">I39*J39</f>
        <v>0</v>
      </c>
      <c r="L39" s="2"/>
      <c r="M39" s="2"/>
    </row>
    <row r="40" spans="1:13">
      <c r="A40" s="3"/>
      <c r="B40" s="120"/>
      <c r="C40" s="120"/>
      <c r="D40" s="120"/>
      <c r="E40" s="3"/>
      <c r="F40" s="90"/>
      <c r="G40" s="88" t="s">
        <v>18</v>
      </c>
      <c r="H40" s="79"/>
      <c r="I40" s="80"/>
      <c r="J40" s="81">
        <v>46</v>
      </c>
      <c r="K40" s="81">
        <f t="shared" si="7"/>
        <v>0</v>
      </c>
      <c r="L40" s="2"/>
      <c r="M40" s="2"/>
    </row>
    <row r="41" spans="1:13">
      <c r="A41" s="3"/>
      <c r="B41" s="25"/>
      <c r="C41" s="25"/>
      <c r="D41" s="25"/>
      <c r="E41" s="3"/>
      <c r="F41" s="4"/>
      <c r="G41" s="120" t="s">
        <v>171</v>
      </c>
      <c r="H41" s="79"/>
      <c r="I41" s="80"/>
      <c r="J41" s="81">
        <v>416</v>
      </c>
      <c r="K41" s="81">
        <f t="shared" si="7"/>
        <v>0</v>
      </c>
      <c r="L41" s="2"/>
      <c r="M41" s="2"/>
    </row>
    <row r="42" spans="1:13">
      <c r="A42" s="3"/>
      <c r="B42" s="25"/>
      <c r="C42" s="25"/>
      <c r="D42" s="25"/>
      <c r="E42" s="3"/>
      <c r="F42" s="4"/>
      <c r="G42" s="120" t="s">
        <v>172</v>
      </c>
      <c r="H42" s="79"/>
      <c r="I42" s="80"/>
      <c r="J42" s="81">
        <v>165</v>
      </c>
      <c r="K42" s="81">
        <f>I42*J42</f>
        <v>0</v>
      </c>
      <c r="L42" s="2"/>
      <c r="M42" s="2"/>
    </row>
    <row r="43" spans="1:13">
      <c r="A43" s="3"/>
      <c r="B43" s="3"/>
      <c r="C43" s="3"/>
      <c r="D43" s="3"/>
      <c r="E43" s="3"/>
      <c r="F43" s="4"/>
      <c r="G43" s="83" t="s">
        <v>181</v>
      </c>
      <c r="H43" s="79"/>
      <c r="I43" s="80"/>
      <c r="J43" s="81">
        <v>165</v>
      </c>
      <c r="K43" s="81">
        <f t="shared" ref="K43" si="8">I43*J43</f>
        <v>0</v>
      </c>
      <c r="L43" s="2"/>
      <c r="M43" s="2"/>
    </row>
    <row r="44" spans="1:13">
      <c r="A44" s="3"/>
      <c r="B44" s="3"/>
      <c r="C44" s="3"/>
      <c r="D44" s="3"/>
      <c r="E44" s="6" t="s">
        <v>9</v>
      </c>
      <c r="F44" s="8">
        <f>SUM(F39:F43)</f>
        <v>0</v>
      </c>
      <c r="G44" s="6"/>
      <c r="H44" s="6"/>
      <c r="I44" s="17"/>
      <c r="J44" s="5"/>
      <c r="K44" s="7">
        <f>SUM(K39:K43)</f>
        <v>0</v>
      </c>
      <c r="L44" s="7" t="e">
        <f>K44/F44</f>
        <v>#DIV/0!</v>
      </c>
      <c r="M44" s="2"/>
    </row>
    <row r="45" spans="1:13">
      <c r="A45" s="3">
        <v>4</v>
      </c>
      <c r="B45" s="120" t="s">
        <v>277</v>
      </c>
      <c r="C45" s="120" t="s">
        <v>416</v>
      </c>
      <c r="D45" s="120" t="s">
        <v>703</v>
      </c>
      <c r="E45" s="85"/>
      <c r="F45" s="90"/>
      <c r="G45" s="120" t="s">
        <v>24</v>
      </c>
      <c r="H45" s="79"/>
      <c r="I45" s="80"/>
      <c r="J45" s="81">
        <v>74</v>
      </c>
      <c r="K45" s="81">
        <f t="shared" ref="K45:K47" si="9">I45*J45</f>
        <v>0</v>
      </c>
      <c r="L45" s="7"/>
      <c r="M45" s="2"/>
    </row>
    <row r="46" spans="1:13">
      <c r="A46" s="3"/>
      <c r="B46" s="120" t="s">
        <v>686</v>
      </c>
      <c r="C46" s="120" t="s">
        <v>687</v>
      </c>
      <c r="D46" s="120" t="s">
        <v>521</v>
      </c>
      <c r="E46" s="120"/>
      <c r="F46" s="90"/>
      <c r="G46" s="88" t="s">
        <v>18</v>
      </c>
      <c r="H46" s="79"/>
      <c r="I46" s="80"/>
      <c r="J46" s="81">
        <v>46</v>
      </c>
      <c r="K46" s="81">
        <f t="shared" si="9"/>
        <v>0</v>
      </c>
      <c r="L46" s="7"/>
      <c r="M46" s="2"/>
    </row>
    <row r="47" spans="1:13">
      <c r="A47" s="3"/>
      <c r="B47" s="3"/>
      <c r="C47" s="3"/>
      <c r="D47" s="3"/>
      <c r="E47" s="6"/>
      <c r="F47" s="8"/>
      <c r="G47" s="120" t="s">
        <v>171</v>
      </c>
      <c r="H47" s="79"/>
      <c r="I47" s="80"/>
      <c r="J47" s="81">
        <v>416</v>
      </c>
      <c r="K47" s="81">
        <f t="shared" si="9"/>
        <v>0</v>
      </c>
      <c r="L47" s="7"/>
      <c r="M47" s="2"/>
    </row>
    <row r="48" spans="1:13">
      <c r="A48" s="3"/>
      <c r="B48" s="3"/>
      <c r="C48" s="3"/>
      <c r="D48" s="3"/>
      <c r="E48" s="6"/>
      <c r="F48" s="8"/>
      <c r="G48" s="120" t="s">
        <v>172</v>
      </c>
      <c r="H48" s="79"/>
      <c r="I48" s="80"/>
      <c r="J48" s="81">
        <v>165</v>
      </c>
      <c r="K48" s="81">
        <f>I48*J48</f>
        <v>0</v>
      </c>
      <c r="L48" s="7"/>
      <c r="M48" s="2"/>
    </row>
    <row r="49" spans="1:13">
      <c r="A49" s="3"/>
      <c r="B49" s="3"/>
      <c r="C49" s="3"/>
      <c r="D49" s="3"/>
      <c r="E49" s="6"/>
      <c r="F49" s="8"/>
      <c r="G49" s="83" t="s">
        <v>181</v>
      </c>
      <c r="H49" s="79"/>
      <c r="I49" s="80"/>
      <c r="J49" s="81">
        <v>165</v>
      </c>
      <c r="K49" s="81">
        <f t="shared" ref="K49" si="10">I49*J49</f>
        <v>0</v>
      </c>
      <c r="L49" s="7"/>
      <c r="M49" s="2"/>
    </row>
    <row r="50" spans="1:13">
      <c r="A50" s="3"/>
      <c r="B50" s="3"/>
      <c r="C50" s="3"/>
      <c r="D50" s="3"/>
      <c r="E50" s="6" t="s">
        <v>9</v>
      </c>
      <c r="F50" s="8">
        <f>SUM(F45:F49)</f>
        <v>0</v>
      </c>
      <c r="G50" s="6"/>
      <c r="H50" s="6"/>
      <c r="I50" s="17"/>
      <c r="J50" s="5"/>
      <c r="K50" s="7">
        <f>SUM(K45:K49)</f>
        <v>0</v>
      </c>
      <c r="L50" s="7" t="e">
        <f>K50/F50</f>
        <v>#DIV/0!</v>
      </c>
      <c r="M50" s="2"/>
    </row>
    <row r="51" spans="1:13">
      <c r="A51" s="3">
        <v>5</v>
      </c>
      <c r="B51" s="120" t="s">
        <v>701</v>
      </c>
      <c r="C51" s="120" t="s">
        <v>704</v>
      </c>
      <c r="D51" s="120" t="s">
        <v>702</v>
      </c>
      <c r="E51" s="85"/>
      <c r="F51" s="90"/>
      <c r="G51" s="120" t="s">
        <v>24</v>
      </c>
      <c r="H51" s="79"/>
      <c r="I51" s="80"/>
      <c r="J51" s="81">
        <v>74</v>
      </c>
      <c r="K51" s="81">
        <f t="shared" ref="K51:K53" si="11">I51*J51</f>
        <v>0</v>
      </c>
      <c r="L51" s="7"/>
      <c r="M51" s="2"/>
    </row>
    <row r="52" spans="1:13">
      <c r="A52" s="3"/>
      <c r="B52" s="3"/>
      <c r="C52" s="3"/>
      <c r="D52" s="3"/>
      <c r="E52" s="6"/>
      <c r="F52" s="8"/>
      <c r="G52" s="88" t="s">
        <v>18</v>
      </c>
      <c r="H52" s="79"/>
      <c r="I52" s="80"/>
      <c r="J52" s="81">
        <v>46</v>
      </c>
      <c r="K52" s="81">
        <f t="shared" si="11"/>
        <v>0</v>
      </c>
      <c r="L52" s="7"/>
      <c r="M52" s="2"/>
    </row>
    <row r="53" spans="1:13">
      <c r="A53" s="3"/>
      <c r="B53" s="3"/>
      <c r="C53" s="3"/>
      <c r="D53" s="3"/>
      <c r="E53" s="6"/>
      <c r="F53" s="8"/>
      <c r="G53" s="120" t="s">
        <v>171</v>
      </c>
      <c r="H53" s="79"/>
      <c r="I53" s="80"/>
      <c r="J53" s="81">
        <v>416</v>
      </c>
      <c r="K53" s="81">
        <f t="shared" si="11"/>
        <v>0</v>
      </c>
      <c r="L53" s="7"/>
      <c r="M53" s="2"/>
    </row>
    <row r="54" spans="1:13">
      <c r="A54" s="3"/>
      <c r="B54" s="3"/>
      <c r="C54" s="3"/>
      <c r="D54" s="3"/>
      <c r="E54" s="6"/>
      <c r="F54" s="8"/>
      <c r="G54" s="120" t="s">
        <v>172</v>
      </c>
      <c r="H54" s="79"/>
      <c r="I54" s="80"/>
      <c r="J54" s="81">
        <v>165</v>
      </c>
      <c r="K54" s="81">
        <f>I54*J54</f>
        <v>0</v>
      </c>
      <c r="L54" s="7"/>
      <c r="M54" s="2"/>
    </row>
    <row r="55" spans="1:13">
      <c r="A55" s="3"/>
      <c r="B55" s="3"/>
      <c r="C55" s="3"/>
      <c r="D55" s="3"/>
      <c r="E55" s="6"/>
      <c r="F55" s="8"/>
      <c r="G55" s="83" t="s">
        <v>181</v>
      </c>
      <c r="H55" s="79"/>
      <c r="I55" s="80"/>
      <c r="J55" s="81">
        <v>165</v>
      </c>
      <c r="K55" s="81">
        <f t="shared" ref="K55" si="12">I55*J55</f>
        <v>0</v>
      </c>
      <c r="L55" s="7"/>
      <c r="M55" s="2"/>
    </row>
    <row r="56" spans="1:13">
      <c r="A56" s="3"/>
      <c r="B56" s="3"/>
      <c r="C56" s="3"/>
      <c r="D56" s="3"/>
      <c r="E56" s="6" t="s">
        <v>9</v>
      </c>
      <c r="F56" s="8">
        <f>SUM(F51:F55)</f>
        <v>0</v>
      </c>
      <c r="G56" s="6"/>
      <c r="H56" s="6"/>
      <c r="I56" s="17"/>
      <c r="J56" s="5"/>
      <c r="K56" s="7">
        <f>SUM(K51:K55)</f>
        <v>0</v>
      </c>
      <c r="L56" s="7" t="e">
        <f>K56/F56</f>
        <v>#DIV/0!</v>
      </c>
      <c r="M56" s="2"/>
    </row>
    <row r="57" spans="1:13">
      <c r="A57" s="16"/>
      <c r="B57" s="16"/>
      <c r="C57" s="16"/>
      <c r="D57" s="221" t="s">
        <v>30</v>
      </c>
      <c r="E57" s="221"/>
      <c r="F57" s="134">
        <f>F32+F38+F44+F50+F56</f>
        <v>0</v>
      </c>
      <c r="G57" s="195"/>
      <c r="H57" s="195"/>
      <c r="I57" s="195"/>
      <c r="J57" s="195"/>
      <c r="K57" s="134">
        <f>K32+K38+K44+K50+K56</f>
        <v>0</v>
      </c>
      <c r="L57" s="151" t="e">
        <f>K57/F57</f>
        <v>#DIV/0!</v>
      </c>
      <c r="M57" s="2"/>
    </row>
    <row r="58" spans="1:13">
      <c r="A58" s="16"/>
      <c r="B58" s="16"/>
      <c r="C58" s="16"/>
      <c r="D58" s="26"/>
      <c r="E58" s="12"/>
      <c r="F58" s="27"/>
      <c r="G58" s="26"/>
      <c r="H58" s="26"/>
      <c r="I58" s="26"/>
      <c r="J58" s="26"/>
      <c r="K58" s="27"/>
      <c r="L58" s="15"/>
      <c r="M58" s="16"/>
    </row>
    <row r="59" spans="1:13">
      <c r="A59" s="16"/>
      <c r="B59" s="16"/>
      <c r="C59" s="16"/>
      <c r="D59" s="26"/>
      <c r="E59" s="12"/>
      <c r="F59" s="27"/>
      <c r="G59" s="26"/>
      <c r="H59" s="26"/>
      <c r="I59" s="26"/>
      <c r="J59" s="26"/>
      <c r="K59" s="27"/>
      <c r="L59" s="15"/>
      <c r="M59" s="16"/>
    </row>
    <row r="60" spans="1:13">
      <c r="A60" s="16"/>
      <c r="B60" s="16"/>
      <c r="C60" s="16"/>
      <c r="D60" s="26"/>
      <c r="E60" s="12"/>
      <c r="F60" s="27"/>
      <c r="G60" s="26"/>
      <c r="H60" s="26"/>
      <c r="I60" s="26"/>
      <c r="J60" s="26"/>
      <c r="K60" s="27"/>
      <c r="L60" s="15"/>
      <c r="M60" s="16"/>
    </row>
    <row r="61" spans="1:13">
      <c r="A61" s="16"/>
      <c r="B61" s="16"/>
      <c r="C61" s="16"/>
      <c r="D61" s="26"/>
      <c r="E61" s="12"/>
      <c r="F61" s="27"/>
      <c r="G61" s="26"/>
      <c r="H61" s="26"/>
      <c r="I61" s="26"/>
      <c r="J61" s="26"/>
      <c r="K61" s="27"/>
      <c r="L61" s="15"/>
      <c r="M61" s="16"/>
    </row>
    <row r="62" spans="1:13">
      <c r="A62" s="16"/>
      <c r="B62" s="16"/>
      <c r="C62" s="16"/>
      <c r="D62" s="26"/>
      <c r="E62" s="12"/>
      <c r="F62" s="27"/>
      <c r="G62" s="26"/>
      <c r="H62" s="26"/>
      <c r="I62" s="26"/>
      <c r="J62" s="26"/>
      <c r="K62" s="27"/>
      <c r="L62" s="15"/>
      <c r="M62" s="16"/>
    </row>
    <row r="63" spans="1:13">
      <c r="A63" s="16"/>
      <c r="B63" s="16"/>
      <c r="C63" s="16"/>
      <c r="D63" s="26"/>
      <c r="E63" s="12"/>
      <c r="F63" s="27"/>
      <c r="G63" s="26"/>
      <c r="H63" s="26"/>
      <c r="I63" s="26"/>
      <c r="J63" s="26"/>
      <c r="K63" s="27"/>
      <c r="L63" s="15"/>
      <c r="M63" s="16"/>
    </row>
    <row r="64" spans="1:13">
      <c r="A64" s="16"/>
      <c r="B64" s="16"/>
      <c r="C64" s="16"/>
      <c r="D64" s="26"/>
      <c r="E64" s="12"/>
      <c r="F64" s="27"/>
      <c r="G64" s="26"/>
      <c r="H64" s="26"/>
      <c r="I64" s="26"/>
      <c r="J64" s="26"/>
      <c r="K64" s="27"/>
      <c r="L64" s="15"/>
      <c r="M64" s="16"/>
    </row>
    <row r="65" spans="1:13">
      <c r="A65" s="16"/>
      <c r="B65" s="16"/>
      <c r="C65" s="16"/>
      <c r="D65" s="26"/>
      <c r="E65" s="12"/>
      <c r="F65" s="27"/>
      <c r="G65" s="26"/>
      <c r="H65" s="26"/>
      <c r="I65" s="26"/>
      <c r="J65" s="26"/>
      <c r="K65" s="27"/>
      <c r="L65" s="15"/>
      <c r="M65" s="16"/>
    </row>
    <row r="66" spans="1:13">
      <c r="A66" s="1" t="s">
        <v>22</v>
      </c>
      <c r="B66" s="1"/>
      <c r="C66" s="1"/>
      <c r="D66" s="1"/>
      <c r="E66" s="1"/>
      <c r="K66" s="824" t="s">
        <v>403</v>
      </c>
      <c r="L66" s="824"/>
      <c r="M66" s="824"/>
    </row>
    <row r="67" spans="1:13">
      <c r="A67" s="6" t="s">
        <v>0</v>
      </c>
      <c r="B67" s="6" t="s">
        <v>7</v>
      </c>
      <c r="C67" s="6" t="s">
        <v>13</v>
      </c>
      <c r="D67" s="6" t="s">
        <v>14</v>
      </c>
      <c r="E67" s="6" t="s">
        <v>8</v>
      </c>
      <c r="F67" s="6" t="s">
        <v>1</v>
      </c>
      <c r="G67" s="6" t="s">
        <v>2</v>
      </c>
      <c r="H67" s="6" t="s">
        <v>15</v>
      </c>
      <c r="I67" s="6" t="s">
        <v>3</v>
      </c>
      <c r="J67" s="6" t="s">
        <v>4</v>
      </c>
      <c r="K67" s="6" t="s">
        <v>5</v>
      </c>
      <c r="L67" s="6" t="s">
        <v>12</v>
      </c>
      <c r="M67" s="6" t="s">
        <v>6</v>
      </c>
    </row>
    <row r="68" spans="1:13">
      <c r="A68" s="3">
        <v>1</v>
      </c>
      <c r="B68" s="120" t="s">
        <v>712</v>
      </c>
      <c r="C68" s="120" t="s">
        <v>233</v>
      </c>
      <c r="D68" s="120" t="s">
        <v>699</v>
      </c>
      <c r="E68" s="120"/>
      <c r="F68" s="90"/>
      <c r="G68" s="120" t="s">
        <v>24</v>
      </c>
      <c r="H68" s="79"/>
      <c r="I68" s="80"/>
      <c r="J68" s="81">
        <v>74</v>
      </c>
      <c r="K68" s="81">
        <f t="shared" ref="K68:K69" si="13">I68*J68</f>
        <v>0</v>
      </c>
      <c r="L68" s="102"/>
      <c r="M68" s="21"/>
    </row>
    <row r="69" spans="1:13">
      <c r="A69" s="3"/>
      <c r="B69" s="25"/>
      <c r="C69" s="25"/>
      <c r="D69" s="25"/>
      <c r="E69" s="3"/>
      <c r="F69" s="4"/>
      <c r="G69" s="84" t="s">
        <v>10</v>
      </c>
      <c r="H69" s="79"/>
      <c r="I69" s="80"/>
      <c r="J69" s="81">
        <v>120</v>
      </c>
      <c r="K69" s="81">
        <f t="shared" si="13"/>
        <v>0</v>
      </c>
      <c r="L69" s="102"/>
      <c r="M69" s="2"/>
    </row>
    <row r="70" spans="1:13">
      <c r="A70" s="3"/>
      <c r="B70" s="25"/>
      <c r="C70" s="25"/>
      <c r="D70" s="25"/>
      <c r="E70" s="6" t="s">
        <v>9</v>
      </c>
      <c r="F70" s="8">
        <f>SUM(F68:F69)</f>
        <v>0</v>
      </c>
      <c r="G70" s="6"/>
      <c r="H70" s="6"/>
      <c r="I70" s="17"/>
      <c r="J70" s="5"/>
      <c r="K70" s="7">
        <f>SUM(K68:K69)</f>
        <v>0</v>
      </c>
      <c r="L70" s="111" t="e">
        <f>K70/F70</f>
        <v>#DIV/0!</v>
      </c>
      <c r="M70" s="2"/>
    </row>
    <row r="71" spans="1:13">
      <c r="A71" s="3">
        <v>2</v>
      </c>
      <c r="B71" s="120" t="s">
        <v>686</v>
      </c>
      <c r="C71" s="120" t="s">
        <v>687</v>
      </c>
      <c r="D71" s="120" t="s">
        <v>521</v>
      </c>
      <c r="E71" s="120"/>
      <c r="F71" s="90"/>
      <c r="G71" s="120" t="s">
        <v>24</v>
      </c>
      <c r="H71" s="79"/>
      <c r="I71" s="80"/>
      <c r="J71" s="81">
        <v>74</v>
      </c>
      <c r="K71" s="81">
        <f t="shared" ref="K71:K72" si="14">I71*J71</f>
        <v>0</v>
      </c>
      <c r="L71" s="102"/>
      <c r="M71" s="2"/>
    </row>
    <row r="72" spans="1:13">
      <c r="A72" s="3"/>
      <c r="B72" s="120"/>
      <c r="C72" s="120"/>
      <c r="D72" s="120"/>
      <c r="E72" s="120"/>
      <c r="F72" s="90"/>
      <c r="G72" s="84" t="s">
        <v>10</v>
      </c>
      <c r="H72" s="79"/>
      <c r="I72" s="80"/>
      <c r="J72" s="81">
        <v>120</v>
      </c>
      <c r="K72" s="81">
        <f t="shared" si="14"/>
        <v>0</v>
      </c>
      <c r="L72" s="102"/>
      <c r="M72" s="2"/>
    </row>
    <row r="73" spans="1:13">
      <c r="A73" s="3"/>
      <c r="B73" s="25"/>
      <c r="C73" s="25"/>
      <c r="D73" s="25"/>
      <c r="E73" s="6" t="s">
        <v>9</v>
      </c>
      <c r="F73" s="8">
        <f>SUM(F71:F72)</f>
        <v>0</v>
      </c>
      <c r="G73" s="6"/>
      <c r="H73" s="6"/>
      <c r="I73" s="17"/>
      <c r="J73" s="5"/>
      <c r="K73" s="7">
        <f>SUM(K71:K72)</f>
        <v>0</v>
      </c>
      <c r="L73" s="111" t="e">
        <f>K73/F73</f>
        <v>#DIV/0!</v>
      </c>
      <c r="M73" s="2"/>
    </row>
    <row r="74" spans="1:13">
      <c r="A74" s="3">
        <v>3</v>
      </c>
      <c r="B74" s="120" t="s">
        <v>358</v>
      </c>
      <c r="C74" s="120" t="s">
        <v>217</v>
      </c>
      <c r="D74" s="120" t="s">
        <v>690</v>
      </c>
      <c r="E74" s="85"/>
      <c r="F74" s="90"/>
      <c r="G74" s="120" t="s">
        <v>24</v>
      </c>
      <c r="H74" s="79"/>
      <c r="I74" s="80"/>
      <c r="J74" s="81">
        <v>74</v>
      </c>
      <c r="K74" s="81">
        <f t="shared" ref="K74:K75" si="15">I74*J74</f>
        <v>0</v>
      </c>
      <c r="L74" s="102"/>
      <c r="M74" s="2"/>
    </row>
    <row r="75" spans="1:13">
      <c r="A75" s="3"/>
      <c r="B75" s="25"/>
      <c r="C75" s="25"/>
      <c r="D75" s="25"/>
      <c r="E75" s="3"/>
      <c r="F75" s="4"/>
      <c r="G75" s="84" t="s">
        <v>10</v>
      </c>
      <c r="H75" s="79"/>
      <c r="I75" s="80"/>
      <c r="J75" s="81">
        <v>120</v>
      </c>
      <c r="K75" s="81">
        <f t="shared" si="15"/>
        <v>0</v>
      </c>
      <c r="L75" s="102"/>
      <c r="M75" s="2"/>
    </row>
    <row r="76" spans="1:13">
      <c r="A76" s="3"/>
      <c r="B76" s="3"/>
      <c r="C76" s="3"/>
      <c r="D76" s="3"/>
      <c r="E76" s="6" t="s">
        <v>9</v>
      </c>
      <c r="F76" s="8">
        <f>SUM(F74:F75)</f>
        <v>0</v>
      </c>
      <c r="G76" s="6"/>
      <c r="H76" s="6"/>
      <c r="I76" s="17"/>
      <c r="J76" s="5"/>
      <c r="K76" s="7">
        <f>SUM(K74:K75)</f>
        <v>0</v>
      </c>
      <c r="L76" s="111" t="e">
        <f>K76/F76</f>
        <v>#DIV/0!</v>
      </c>
      <c r="M76" s="2"/>
    </row>
    <row r="77" spans="1:13">
      <c r="A77" s="22">
        <v>4</v>
      </c>
      <c r="B77" s="120" t="s">
        <v>685</v>
      </c>
      <c r="C77" s="120" t="s">
        <v>217</v>
      </c>
      <c r="D77" s="120" t="s">
        <v>124</v>
      </c>
      <c r="E77" s="273"/>
      <c r="F77" s="87"/>
      <c r="G77" s="120" t="s">
        <v>24</v>
      </c>
      <c r="H77" s="79"/>
      <c r="I77" s="80"/>
      <c r="J77" s="81">
        <v>74</v>
      </c>
      <c r="K77" s="81">
        <f t="shared" ref="K77:K78" si="16">I77*J77</f>
        <v>0</v>
      </c>
      <c r="L77" s="102"/>
      <c r="M77" s="2"/>
    </row>
    <row r="78" spans="1:13">
      <c r="A78" s="3"/>
      <c r="B78" s="3"/>
      <c r="C78" s="3"/>
      <c r="D78" s="3"/>
      <c r="E78" s="3"/>
      <c r="F78" s="4"/>
      <c r="G78" s="84" t="s">
        <v>10</v>
      </c>
      <c r="H78" s="79"/>
      <c r="I78" s="80"/>
      <c r="J78" s="81">
        <v>120</v>
      </c>
      <c r="K78" s="81">
        <f t="shared" si="16"/>
        <v>0</v>
      </c>
      <c r="L78" s="102"/>
      <c r="M78" s="2"/>
    </row>
    <row r="79" spans="1:13">
      <c r="A79" s="3"/>
      <c r="B79" s="3"/>
      <c r="C79" s="3"/>
      <c r="D79" s="3"/>
      <c r="E79" s="6" t="s">
        <v>9</v>
      </c>
      <c r="F79" s="8">
        <f>SUM(F77:F78)</f>
        <v>0</v>
      </c>
      <c r="G79" s="6"/>
      <c r="H79" s="6"/>
      <c r="I79" s="17"/>
      <c r="J79" s="5"/>
      <c r="K79" s="7">
        <f>SUM(K77:K78)</f>
        <v>0</v>
      </c>
      <c r="L79" s="111" t="e">
        <f>K79/F79</f>
        <v>#DIV/0!</v>
      </c>
      <c r="M79" s="2"/>
    </row>
    <row r="80" spans="1:13">
      <c r="A80" s="3">
        <v>5</v>
      </c>
      <c r="B80" s="120" t="s">
        <v>669</v>
      </c>
      <c r="C80" s="120" t="s">
        <v>121</v>
      </c>
      <c r="D80" s="120" t="s">
        <v>290</v>
      </c>
      <c r="E80" s="120"/>
      <c r="F80" s="160"/>
      <c r="G80" s="120" t="s">
        <v>24</v>
      </c>
      <c r="H80" s="79"/>
      <c r="I80" s="80"/>
      <c r="J80" s="81">
        <v>74</v>
      </c>
      <c r="K80" s="81">
        <f t="shared" ref="K80:K81" si="17">I80*J80</f>
        <v>0</v>
      </c>
      <c r="L80" s="102"/>
      <c r="M80" s="2"/>
    </row>
    <row r="81" spans="1:13">
      <c r="A81" s="3"/>
      <c r="B81" s="120"/>
      <c r="C81" s="120"/>
      <c r="D81" s="120"/>
      <c r="E81" s="120"/>
      <c r="F81" s="160"/>
      <c r="G81" s="84" t="s">
        <v>10</v>
      </c>
      <c r="H81" s="79"/>
      <c r="I81" s="80"/>
      <c r="J81" s="81">
        <v>120</v>
      </c>
      <c r="K81" s="81">
        <f t="shared" si="17"/>
        <v>0</v>
      </c>
      <c r="L81" s="102"/>
      <c r="M81" s="2"/>
    </row>
    <row r="82" spans="1:13" s="71" customFormat="1">
      <c r="A82" s="85"/>
      <c r="B82" s="85"/>
      <c r="C82" s="85"/>
      <c r="D82" s="85"/>
      <c r="E82" s="274" t="s">
        <v>9</v>
      </c>
      <c r="F82" s="110">
        <f>SUM(F80:F81)</f>
        <v>0</v>
      </c>
      <c r="G82" s="274"/>
      <c r="H82" s="274"/>
      <c r="I82" s="125"/>
      <c r="J82" s="97"/>
      <c r="K82" s="111">
        <f>SUM(K80:K81)</f>
        <v>0</v>
      </c>
      <c r="L82" s="111" t="e">
        <f>K82/F82</f>
        <v>#DIV/0!</v>
      </c>
      <c r="M82" s="102"/>
    </row>
    <row r="83" spans="1:13" s="71" customFormat="1">
      <c r="D83" s="126" t="s">
        <v>30</v>
      </c>
      <c r="E83" s="126"/>
      <c r="F83" s="127">
        <f>F70+F73+F76+F79+F82</f>
        <v>0</v>
      </c>
      <c r="G83" s="128"/>
      <c r="H83" s="128"/>
      <c r="I83" s="128"/>
      <c r="J83" s="128"/>
      <c r="K83" s="127">
        <f>K70+K73+K76+K79+K82</f>
        <v>0</v>
      </c>
      <c r="L83" s="129" t="e">
        <f>K83/F83</f>
        <v>#DIV/0!</v>
      </c>
    </row>
    <row r="84" spans="1:13">
      <c r="D84" s="26"/>
      <c r="E84" s="26"/>
      <c r="F84" s="27"/>
      <c r="G84" s="26"/>
      <c r="H84" s="26"/>
      <c r="I84" s="26"/>
      <c r="J84" s="26"/>
      <c r="K84" s="27"/>
      <c r="L84" s="15"/>
    </row>
    <row r="85" spans="1:13">
      <c r="D85" s="26"/>
      <c r="E85" s="26"/>
      <c r="F85" s="27"/>
      <c r="G85" s="26"/>
      <c r="H85" s="26"/>
      <c r="I85" s="26"/>
      <c r="J85" s="26"/>
      <c r="K85" s="27"/>
      <c r="L85" s="15"/>
    </row>
    <row r="86" spans="1:13">
      <c r="D86" s="26"/>
      <c r="E86" s="26"/>
      <c r="F86" s="27"/>
      <c r="G86" s="26"/>
      <c r="H86" s="26"/>
      <c r="I86" s="26"/>
      <c r="J86" s="26"/>
      <c r="K86" s="27"/>
      <c r="L86" s="15"/>
    </row>
    <row r="87" spans="1:13">
      <c r="A87" s="1" t="s">
        <v>16</v>
      </c>
      <c r="B87" s="1"/>
      <c r="C87" s="1"/>
      <c r="D87" s="1"/>
      <c r="E87" s="1"/>
      <c r="K87" s="824" t="s">
        <v>403</v>
      </c>
      <c r="L87" s="824"/>
      <c r="M87" s="824"/>
    </row>
    <row r="88" spans="1:13" ht="15" customHeight="1">
      <c r="A88" s="6" t="s">
        <v>0</v>
      </c>
      <c r="B88" s="6" t="s">
        <v>7</v>
      </c>
      <c r="C88" s="6" t="s">
        <v>13</v>
      </c>
      <c r="D88" s="6" t="s">
        <v>14</v>
      </c>
      <c r="E88" s="6" t="s">
        <v>8</v>
      </c>
      <c r="F88" s="6" t="s">
        <v>1</v>
      </c>
      <c r="G88" s="6" t="s">
        <v>2</v>
      </c>
      <c r="H88" s="6" t="s">
        <v>15</v>
      </c>
      <c r="I88" s="6" t="s">
        <v>3</v>
      </c>
      <c r="J88" s="6" t="s">
        <v>4</v>
      </c>
      <c r="K88" s="6" t="s">
        <v>5</v>
      </c>
      <c r="L88" s="6" t="s">
        <v>12</v>
      </c>
      <c r="M88" s="6" t="s">
        <v>6</v>
      </c>
    </row>
    <row r="89" spans="1:13" ht="15" customHeight="1">
      <c r="A89" s="3"/>
      <c r="B89" s="25"/>
      <c r="C89" s="25"/>
      <c r="D89" s="25"/>
      <c r="E89" s="3"/>
      <c r="F89" s="4"/>
      <c r="G89" s="25" t="s">
        <v>75</v>
      </c>
      <c r="H89" s="25"/>
      <c r="I89" s="54"/>
      <c r="J89" s="55">
        <v>367</v>
      </c>
      <c r="K89" s="55">
        <f t="shared" ref="K89" si="18">I89*J89</f>
        <v>0</v>
      </c>
      <c r="L89" s="2"/>
      <c r="M89" s="34"/>
    </row>
    <row r="90" spans="1:13" ht="15" customHeight="1">
      <c r="A90" s="3"/>
      <c r="B90" s="3"/>
      <c r="C90" s="3"/>
      <c r="D90" s="3"/>
      <c r="E90" s="3"/>
      <c r="F90" s="4"/>
      <c r="G90" s="25" t="s">
        <v>20</v>
      </c>
      <c r="H90" s="36"/>
      <c r="I90" s="39"/>
      <c r="J90" s="40">
        <v>315</v>
      </c>
      <c r="K90" s="40">
        <f t="shared" ref="K90" si="19">I90*J90</f>
        <v>0</v>
      </c>
      <c r="L90" s="2"/>
      <c r="M90" s="2"/>
    </row>
    <row r="91" spans="1:13" ht="15" customHeight="1">
      <c r="A91" s="3"/>
      <c r="B91" s="3"/>
      <c r="C91" s="3"/>
      <c r="D91" s="3"/>
      <c r="E91" s="6" t="s">
        <v>9</v>
      </c>
      <c r="F91" s="8">
        <f>SUM(F90:F90)</f>
        <v>0</v>
      </c>
      <c r="G91" s="6"/>
      <c r="H91" s="6"/>
      <c r="I91" s="17"/>
      <c r="J91" s="5"/>
      <c r="K91" s="7">
        <f>SUM(K90:K90)</f>
        <v>0</v>
      </c>
      <c r="L91" s="7" t="e">
        <f>K91/F91</f>
        <v>#DIV/0!</v>
      </c>
      <c r="M91" s="2"/>
    </row>
    <row r="92" spans="1:13" ht="15" customHeight="1">
      <c r="A92" s="11"/>
      <c r="B92" s="11"/>
      <c r="C92" s="11"/>
      <c r="D92" s="23" t="s">
        <v>30</v>
      </c>
      <c r="E92" s="23"/>
      <c r="F92" s="50">
        <f>F91</f>
        <v>0</v>
      </c>
      <c r="G92" s="51"/>
      <c r="H92" s="51"/>
      <c r="I92" s="51"/>
      <c r="J92" s="51"/>
      <c r="K92" s="50">
        <f>K91</f>
        <v>0</v>
      </c>
      <c r="L92" s="52" t="e">
        <f>K92/F92</f>
        <v>#DIV/0!</v>
      </c>
      <c r="M92" s="16"/>
    </row>
    <row r="93" spans="1:13" ht="15" customHeight="1">
      <c r="A93" s="11"/>
      <c r="B93" s="11"/>
      <c r="C93" s="11"/>
      <c r="D93" s="11"/>
      <c r="E93" s="12"/>
      <c r="F93" s="13"/>
      <c r="G93" s="12"/>
      <c r="H93" s="12"/>
      <c r="I93" s="18"/>
      <c r="J93" s="14"/>
      <c r="K93" s="15"/>
      <c r="L93" s="15"/>
      <c r="M93" s="16"/>
    </row>
    <row r="94" spans="1:13" ht="15" customHeight="1">
      <c r="A94" s="11"/>
      <c r="B94" s="11"/>
      <c r="C94" s="11"/>
      <c r="D94" s="11"/>
      <c r="E94" s="12"/>
      <c r="F94" s="13"/>
      <c r="G94" s="12"/>
      <c r="H94" s="12"/>
      <c r="I94" s="18"/>
      <c r="J94" s="14"/>
      <c r="K94" s="15"/>
      <c r="L94" s="15"/>
      <c r="M94" s="16"/>
    </row>
    <row r="95" spans="1:13" ht="15" customHeight="1">
      <c r="A95" s="11"/>
      <c r="B95" s="11"/>
      <c r="C95" s="11"/>
      <c r="D95" s="11"/>
      <c r="E95" s="12"/>
      <c r="F95" s="13"/>
      <c r="G95" s="12"/>
      <c r="H95" s="12"/>
      <c r="I95" s="18"/>
      <c r="J95" s="14"/>
      <c r="K95" s="15"/>
      <c r="L95" s="15"/>
      <c r="M95" s="16"/>
    </row>
    <row r="96" spans="1:13" ht="12.95" customHeight="1">
      <c r="A96" s="11"/>
      <c r="B96" s="11"/>
      <c r="C96" s="11"/>
      <c r="D96" s="11"/>
      <c r="E96" s="12"/>
      <c r="F96" s="13"/>
      <c r="G96" s="12"/>
      <c r="H96" s="12"/>
      <c r="I96" s="18"/>
      <c r="J96" s="14"/>
      <c r="K96" s="15"/>
      <c r="L96" s="15"/>
      <c r="M96" s="16"/>
    </row>
    <row r="97" spans="1:14" ht="12.95" customHeight="1">
      <c r="A97" s="11"/>
      <c r="B97" s="11"/>
      <c r="C97" s="11"/>
      <c r="D97" s="11"/>
      <c r="E97" s="12"/>
      <c r="F97" s="13"/>
      <c r="G97" s="12"/>
      <c r="H97" s="12"/>
      <c r="I97" s="18"/>
      <c r="J97" s="14"/>
      <c r="K97" s="15"/>
      <c r="L97" s="15"/>
      <c r="M97" s="16"/>
    </row>
    <row r="98" spans="1:14" ht="12.95" customHeight="1">
      <c r="A98" s="11"/>
      <c r="B98" s="11"/>
      <c r="C98" s="11"/>
      <c r="D98" s="11"/>
      <c r="E98" s="12"/>
      <c r="F98" s="13"/>
      <c r="G98" s="12"/>
      <c r="H98" s="12"/>
      <c r="I98" s="18"/>
      <c r="J98" s="14"/>
      <c r="K98" s="15"/>
      <c r="L98" s="15"/>
      <c r="M98" s="16"/>
    </row>
    <row r="99" spans="1:14" ht="12.95" customHeight="1">
      <c r="A99" s="11"/>
      <c r="B99" s="11"/>
      <c r="C99" s="11"/>
      <c r="D99" s="11"/>
      <c r="E99" s="12"/>
      <c r="F99" s="13"/>
      <c r="G99" s="12"/>
      <c r="H99" s="12"/>
      <c r="I99" s="18"/>
      <c r="J99" s="14"/>
      <c r="K99" s="15"/>
      <c r="L99" s="15"/>
      <c r="M99" s="16"/>
    </row>
    <row r="100" spans="1:14" ht="12.95" customHeight="1">
      <c r="A100" s="11"/>
      <c r="B100" s="11"/>
      <c r="C100" s="11"/>
      <c r="D100" s="11"/>
      <c r="E100" s="12"/>
      <c r="F100" s="13"/>
      <c r="G100" s="12"/>
      <c r="H100" s="12"/>
      <c r="I100" s="18"/>
      <c r="J100" s="14"/>
      <c r="K100" s="15"/>
      <c r="L100" s="15"/>
      <c r="M100" s="16"/>
    </row>
    <row r="101" spans="1:14" ht="15" customHeight="1">
      <c r="A101" s="11"/>
      <c r="B101" s="11"/>
      <c r="C101" s="11"/>
      <c r="D101" s="11"/>
      <c r="E101" s="12"/>
      <c r="F101" s="13"/>
      <c r="G101" s="12"/>
      <c r="H101" s="12"/>
      <c r="I101" s="18"/>
      <c r="J101" s="14"/>
      <c r="K101" s="15"/>
      <c r="L101" s="15"/>
      <c r="M101" s="16"/>
    </row>
    <row r="102" spans="1:14" ht="15" customHeight="1">
      <c r="A102" s="1" t="s">
        <v>72</v>
      </c>
      <c r="B102" s="1"/>
      <c r="C102" s="1"/>
      <c r="D102" s="1"/>
      <c r="E102" s="1"/>
      <c r="I102" s="19"/>
      <c r="K102" s="824" t="s">
        <v>403</v>
      </c>
      <c r="L102" s="824"/>
      <c r="M102" s="824"/>
    </row>
    <row r="103" spans="1:14" ht="15" customHeight="1">
      <c r="A103" s="6" t="s">
        <v>0</v>
      </c>
      <c r="B103" s="6" t="s">
        <v>7</v>
      </c>
      <c r="C103" s="6" t="s">
        <v>13</v>
      </c>
      <c r="D103" s="6" t="s">
        <v>14</v>
      </c>
      <c r="E103" s="6" t="s">
        <v>8</v>
      </c>
      <c r="F103" s="6" t="s">
        <v>1</v>
      </c>
      <c r="G103" s="6" t="s">
        <v>2</v>
      </c>
      <c r="H103" s="6" t="s">
        <v>15</v>
      </c>
      <c r="I103" s="20" t="s">
        <v>3</v>
      </c>
      <c r="J103" s="6" t="s">
        <v>4</v>
      </c>
      <c r="K103" s="6" t="s">
        <v>5</v>
      </c>
      <c r="L103" s="6" t="s">
        <v>12</v>
      </c>
      <c r="M103" s="6" t="s">
        <v>6</v>
      </c>
      <c r="N103" s="10"/>
    </row>
    <row r="104" spans="1:14" ht="15" customHeight="1">
      <c r="A104" s="120">
        <v>6056</v>
      </c>
      <c r="B104" s="120" t="s">
        <v>669</v>
      </c>
      <c r="C104" s="120" t="s">
        <v>121</v>
      </c>
      <c r="D104" s="120" t="s">
        <v>290</v>
      </c>
      <c r="E104" s="120" t="s">
        <v>670</v>
      </c>
      <c r="F104" s="87"/>
      <c r="G104" s="93" t="s">
        <v>190</v>
      </c>
      <c r="H104" s="79"/>
      <c r="I104" s="80"/>
      <c r="J104" s="81">
        <v>890</v>
      </c>
      <c r="K104" s="97">
        <f t="shared" ref="K104:K108" si="20">I104*J104</f>
        <v>0</v>
      </c>
      <c r="L104" s="2"/>
      <c r="M104" s="2"/>
    </row>
    <row r="105" spans="1:14" ht="15" customHeight="1">
      <c r="A105" s="3"/>
      <c r="B105" s="3"/>
      <c r="C105" s="3"/>
      <c r="D105" s="3"/>
      <c r="E105" s="120"/>
      <c r="F105" s="4"/>
      <c r="G105" s="91" t="s">
        <v>192</v>
      </c>
      <c r="H105" s="79"/>
      <c r="I105" s="80"/>
      <c r="J105" s="81">
        <v>1742</v>
      </c>
      <c r="K105" s="81">
        <f t="shared" si="20"/>
        <v>0</v>
      </c>
      <c r="L105" s="2"/>
      <c r="M105" s="2"/>
    </row>
    <row r="106" spans="1:14" ht="15" customHeight="1">
      <c r="A106" s="3"/>
      <c r="B106" s="3"/>
      <c r="C106" s="3"/>
      <c r="D106" s="3"/>
      <c r="E106" s="3"/>
      <c r="F106" s="4"/>
      <c r="G106" s="91" t="s">
        <v>193</v>
      </c>
      <c r="H106" s="36"/>
      <c r="I106" s="39"/>
      <c r="J106" s="40">
        <v>1545</v>
      </c>
      <c r="K106" s="81">
        <f t="shared" si="20"/>
        <v>0</v>
      </c>
      <c r="L106" s="2"/>
      <c r="M106" s="2"/>
    </row>
    <row r="107" spans="1:14" ht="15" customHeight="1">
      <c r="A107" s="3"/>
      <c r="B107" s="3"/>
      <c r="C107" s="3"/>
      <c r="D107" s="3"/>
      <c r="E107" s="3"/>
      <c r="F107" s="4"/>
      <c r="G107" s="91" t="s">
        <v>279</v>
      </c>
      <c r="H107" s="79"/>
      <c r="I107" s="80"/>
      <c r="J107" s="81">
        <v>876</v>
      </c>
      <c r="K107" s="81">
        <f t="shared" si="20"/>
        <v>0</v>
      </c>
      <c r="L107" s="2"/>
      <c r="M107" s="2"/>
    </row>
    <row r="108" spans="1:14" ht="15" customHeight="1">
      <c r="A108" s="3"/>
      <c r="B108" s="3"/>
      <c r="C108" s="3"/>
      <c r="D108" s="3"/>
      <c r="E108" s="3"/>
      <c r="F108" s="4"/>
      <c r="G108" s="91" t="s">
        <v>329</v>
      </c>
      <c r="H108" s="36"/>
      <c r="I108" s="39"/>
      <c r="J108" s="40">
        <v>1787</v>
      </c>
      <c r="K108" s="81">
        <f t="shared" si="20"/>
        <v>0</v>
      </c>
      <c r="L108" s="2"/>
      <c r="M108" s="2"/>
    </row>
    <row r="109" spans="1:14" ht="15" customHeight="1">
      <c r="A109" s="3"/>
      <c r="B109" s="3"/>
      <c r="C109" s="3"/>
      <c r="D109" s="3"/>
      <c r="E109" s="3"/>
      <c r="F109" s="4"/>
      <c r="G109" s="120" t="s">
        <v>184</v>
      </c>
      <c r="H109" s="79"/>
      <c r="I109" s="80"/>
      <c r="J109" s="81">
        <v>396</v>
      </c>
      <c r="K109" s="81">
        <f t="shared" ref="K109:K112" si="21">I109*J109</f>
        <v>0</v>
      </c>
      <c r="L109" s="2"/>
      <c r="M109" s="2"/>
    </row>
    <row r="110" spans="1:14" ht="15" customHeight="1">
      <c r="A110" s="3"/>
      <c r="B110" s="3"/>
      <c r="C110" s="3"/>
      <c r="D110" s="3"/>
      <c r="E110" s="3"/>
      <c r="F110" s="4"/>
      <c r="G110" s="95" t="s">
        <v>185</v>
      </c>
      <c r="H110" s="79"/>
      <c r="I110" s="96"/>
      <c r="J110" s="81">
        <v>623</v>
      </c>
      <c r="K110" s="81">
        <f t="shared" si="21"/>
        <v>0</v>
      </c>
      <c r="L110" s="2"/>
      <c r="M110" s="2"/>
    </row>
    <row r="111" spans="1:14" ht="15" customHeight="1">
      <c r="A111" s="3"/>
      <c r="B111" s="3"/>
      <c r="C111" s="3"/>
      <c r="D111" s="3"/>
      <c r="E111" s="3"/>
      <c r="F111" s="4"/>
      <c r="G111" s="120" t="s">
        <v>28</v>
      </c>
      <c r="H111" s="79"/>
      <c r="I111" s="80"/>
      <c r="J111" s="81">
        <v>17</v>
      </c>
      <c r="K111" s="81">
        <f t="shared" si="21"/>
        <v>0</v>
      </c>
      <c r="L111" s="2"/>
      <c r="M111" s="2"/>
    </row>
    <row r="112" spans="1:14" ht="15" customHeight="1">
      <c r="A112" s="3"/>
      <c r="B112" s="3"/>
      <c r="C112" s="3"/>
      <c r="D112" s="3"/>
      <c r="E112" s="3"/>
      <c r="F112" s="4"/>
      <c r="G112" s="120" t="s">
        <v>17</v>
      </c>
      <c r="H112" s="79"/>
      <c r="I112" s="80"/>
      <c r="J112" s="81">
        <v>34</v>
      </c>
      <c r="K112" s="81">
        <f t="shared" si="21"/>
        <v>0</v>
      </c>
      <c r="L112" s="2"/>
      <c r="M112" s="2"/>
    </row>
    <row r="113" spans="1:13" s="107" customFormat="1" ht="15" customHeight="1">
      <c r="A113" s="120"/>
      <c r="B113" s="120"/>
      <c r="C113" s="120"/>
      <c r="D113" s="120"/>
      <c r="E113" s="273" t="s">
        <v>9</v>
      </c>
      <c r="F113" s="108">
        <f>SUM(F104:F112)</f>
        <v>0</v>
      </c>
      <c r="G113" s="273"/>
      <c r="H113" s="273"/>
      <c r="I113" s="80"/>
      <c r="J113" s="81"/>
      <c r="K113" s="103">
        <f>SUM(K104:K112)</f>
        <v>0</v>
      </c>
      <c r="L113" s="103" t="e">
        <f>K113/F113</f>
        <v>#DIV/0!</v>
      </c>
      <c r="M113" s="79"/>
    </row>
    <row r="114" spans="1:13" ht="15" customHeight="1">
      <c r="A114" s="120">
        <v>6053</v>
      </c>
      <c r="B114" s="120" t="s">
        <v>686</v>
      </c>
      <c r="C114" s="120" t="s">
        <v>564</v>
      </c>
      <c r="D114" s="120" t="s">
        <v>255</v>
      </c>
      <c r="E114" s="120" t="s">
        <v>483</v>
      </c>
      <c r="F114" s="87"/>
      <c r="G114" s="83" t="s">
        <v>405</v>
      </c>
      <c r="H114" s="79"/>
      <c r="I114" s="80"/>
      <c r="J114" s="81">
        <v>2125</v>
      </c>
      <c r="K114" s="81">
        <f t="shared" ref="K114:K120" si="22">I114*J114</f>
        <v>0</v>
      </c>
      <c r="L114" s="102"/>
      <c r="M114" s="2"/>
    </row>
    <row r="115" spans="1:13" ht="15" customHeight="1">
      <c r="A115" s="3"/>
      <c r="B115" s="120"/>
      <c r="C115" s="120"/>
      <c r="D115" s="120"/>
      <c r="E115" s="120"/>
      <c r="F115" s="4"/>
      <c r="G115" s="83" t="s">
        <v>183</v>
      </c>
      <c r="H115" s="79"/>
      <c r="I115" s="80"/>
      <c r="J115" s="81">
        <v>1950</v>
      </c>
      <c r="K115" s="81">
        <f t="shared" si="22"/>
        <v>0</v>
      </c>
      <c r="L115" s="102"/>
      <c r="M115" s="2"/>
    </row>
    <row r="116" spans="1:13" ht="15" customHeight="1">
      <c r="A116" s="3"/>
      <c r="B116" s="3"/>
      <c r="C116" s="3"/>
      <c r="D116" s="3"/>
      <c r="E116" s="120"/>
      <c r="F116" s="4"/>
      <c r="G116" s="83" t="s">
        <v>198</v>
      </c>
      <c r="H116" s="120"/>
      <c r="I116" s="96"/>
      <c r="J116" s="81">
        <v>2852</v>
      </c>
      <c r="K116" s="94">
        <f t="shared" si="22"/>
        <v>0</v>
      </c>
      <c r="L116" s="102"/>
      <c r="M116" s="2"/>
    </row>
    <row r="117" spans="1:13" ht="15" customHeight="1">
      <c r="A117" s="3"/>
      <c r="B117" s="3"/>
      <c r="C117" s="3"/>
      <c r="D117" s="3"/>
      <c r="E117" s="120"/>
      <c r="F117" s="4"/>
      <c r="G117" s="120" t="s">
        <v>184</v>
      </c>
      <c r="H117" s="79"/>
      <c r="I117" s="80"/>
      <c r="J117" s="81">
        <v>396</v>
      </c>
      <c r="K117" s="81">
        <f t="shared" si="22"/>
        <v>0</v>
      </c>
      <c r="L117" s="102"/>
      <c r="M117" s="2"/>
    </row>
    <row r="118" spans="1:13" ht="15" customHeight="1">
      <c r="A118" s="3"/>
      <c r="B118" s="3"/>
      <c r="C118" s="3"/>
      <c r="D118" s="3"/>
      <c r="E118" s="120"/>
      <c r="F118" s="4"/>
      <c r="G118" s="95" t="s">
        <v>185</v>
      </c>
      <c r="H118" s="79"/>
      <c r="I118" s="96"/>
      <c r="J118" s="81">
        <v>623</v>
      </c>
      <c r="K118" s="81">
        <f t="shared" si="22"/>
        <v>0</v>
      </c>
      <c r="L118" s="102"/>
      <c r="M118" s="2"/>
    </row>
    <row r="119" spans="1:13" ht="15" customHeight="1">
      <c r="A119" s="3"/>
      <c r="B119" s="3"/>
      <c r="C119" s="3"/>
      <c r="D119" s="3"/>
      <c r="E119" s="120"/>
      <c r="F119" s="4"/>
      <c r="G119" s="120" t="s">
        <v>28</v>
      </c>
      <c r="H119" s="79"/>
      <c r="I119" s="80"/>
      <c r="J119" s="81">
        <v>17</v>
      </c>
      <c r="K119" s="81">
        <f t="shared" si="22"/>
        <v>0</v>
      </c>
      <c r="L119" s="102"/>
      <c r="M119" s="2"/>
    </row>
    <row r="120" spans="1:13" ht="15" customHeight="1">
      <c r="A120" s="3"/>
      <c r="B120" s="3"/>
      <c r="C120" s="3"/>
      <c r="D120" s="3"/>
      <c r="E120" s="120"/>
      <c r="F120" s="4"/>
      <c r="G120" s="120" t="s">
        <v>17</v>
      </c>
      <c r="H120" s="79"/>
      <c r="I120" s="80"/>
      <c r="J120" s="81">
        <v>34</v>
      </c>
      <c r="K120" s="81">
        <f t="shared" si="22"/>
        <v>0</v>
      </c>
      <c r="L120" s="102"/>
      <c r="M120" s="2"/>
    </row>
    <row r="121" spans="1:13" s="71" customFormat="1" ht="15" customHeight="1">
      <c r="A121" s="85"/>
      <c r="B121" s="85"/>
      <c r="C121" s="85"/>
      <c r="D121" s="85"/>
      <c r="E121" s="274" t="s">
        <v>9</v>
      </c>
      <c r="F121" s="110">
        <f>SUM(F114:F120)</f>
        <v>0</v>
      </c>
      <c r="G121" s="274"/>
      <c r="H121" s="274"/>
      <c r="I121" s="125"/>
      <c r="J121" s="97"/>
      <c r="K121" s="111">
        <f>SUM(K114:K120)</f>
        <v>0</v>
      </c>
      <c r="L121" s="111" t="e">
        <f>K121/F121</f>
        <v>#DIV/0!</v>
      </c>
      <c r="M121" s="102"/>
    </row>
    <row r="122" spans="1:13" ht="15" customHeight="1">
      <c r="A122" s="120">
        <v>5144</v>
      </c>
      <c r="B122" s="120" t="s">
        <v>406</v>
      </c>
      <c r="C122" s="120" t="s">
        <v>121</v>
      </c>
      <c r="D122" s="120" t="s">
        <v>263</v>
      </c>
      <c r="E122" s="120" t="s">
        <v>323</v>
      </c>
      <c r="F122" s="90"/>
      <c r="G122" s="93" t="s">
        <v>190</v>
      </c>
      <c r="H122" s="79"/>
      <c r="I122" s="80"/>
      <c r="J122" s="81">
        <v>890</v>
      </c>
      <c r="K122" s="81">
        <f t="shared" ref="K122:K126" si="23">I122*J122</f>
        <v>0</v>
      </c>
      <c r="L122" s="102"/>
      <c r="M122" s="2"/>
    </row>
    <row r="123" spans="1:13" ht="15" customHeight="1">
      <c r="A123" s="3"/>
      <c r="B123" s="3"/>
      <c r="C123" s="3"/>
      <c r="D123" s="3"/>
      <c r="E123" s="120"/>
      <c r="F123" s="4"/>
      <c r="G123" s="91" t="s">
        <v>283</v>
      </c>
      <c r="H123" s="79"/>
      <c r="I123" s="80"/>
      <c r="J123" s="81">
        <v>1290</v>
      </c>
      <c r="K123" s="81">
        <f t="shared" si="23"/>
        <v>0</v>
      </c>
      <c r="L123" s="102"/>
      <c r="M123" s="2"/>
    </row>
    <row r="124" spans="1:13" ht="15" customHeight="1">
      <c r="A124" s="3"/>
      <c r="B124" s="3"/>
      <c r="C124" s="3"/>
      <c r="D124" s="3"/>
      <c r="E124" s="120"/>
      <c r="F124" s="4"/>
      <c r="G124" s="91" t="s">
        <v>193</v>
      </c>
      <c r="H124" s="79"/>
      <c r="I124" s="80"/>
      <c r="J124" s="81">
        <v>1545</v>
      </c>
      <c r="K124" s="81">
        <f t="shared" si="23"/>
        <v>0</v>
      </c>
      <c r="L124" s="102"/>
      <c r="M124" s="2"/>
    </row>
    <row r="125" spans="1:13" ht="15" customHeight="1">
      <c r="A125" s="3"/>
      <c r="B125" s="3"/>
      <c r="C125" s="3"/>
      <c r="D125" s="3"/>
      <c r="E125" s="120"/>
      <c r="F125" s="4"/>
      <c r="G125" s="120" t="s">
        <v>184</v>
      </c>
      <c r="H125" s="79"/>
      <c r="I125" s="80"/>
      <c r="J125" s="81">
        <v>396</v>
      </c>
      <c r="K125" s="81">
        <f t="shared" si="23"/>
        <v>0</v>
      </c>
      <c r="L125" s="102"/>
      <c r="M125" s="2"/>
    </row>
    <row r="126" spans="1:13" ht="15.75" customHeight="1">
      <c r="A126" s="3"/>
      <c r="B126" s="3"/>
      <c r="C126" s="3"/>
      <c r="D126" s="3"/>
      <c r="E126" s="120"/>
      <c r="F126" s="4"/>
      <c r="G126" s="95" t="s">
        <v>185</v>
      </c>
      <c r="H126" s="79"/>
      <c r="I126" s="80"/>
      <c r="J126" s="81">
        <v>623</v>
      </c>
      <c r="K126" s="81">
        <f t="shared" si="23"/>
        <v>0</v>
      </c>
      <c r="L126" s="102"/>
      <c r="M126" s="2"/>
    </row>
    <row r="127" spans="1:13" s="71" customFormat="1" ht="15" customHeight="1">
      <c r="A127" s="85"/>
      <c r="B127" s="85"/>
      <c r="C127" s="85"/>
      <c r="D127" s="85"/>
      <c r="E127" s="274" t="s">
        <v>9</v>
      </c>
      <c r="F127" s="110">
        <f>SUM(F122:F126)</f>
        <v>0</v>
      </c>
      <c r="G127" s="274"/>
      <c r="H127" s="274"/>
      <c r="I127" s="125"/>
      <c r="J127" s="97"/>
      <c r="K127" s="111">
        <f>SUM(K122:K126)</f>
        <v>0</v>
      </c>
      <c r="L127" s="111" t="e">
        <f>K127/F127</f>
        <v>#DIV/0!</v>
      </c>
      <c r="M127" s="102"/>
    </row>
    <row r="128" spans="1:13" ht="15" customHeight="1">
      <c r="A128" s="120">
        <v>6068</v>
      </c>
      <c r="B128" s="120" t="s">
        <v>712</v>
      </c>
      <c r="C128" s="120" t="s">
        <v>233</v>
      </c>
      <c r="D128" s="120" t="s">
        <v>340</v>
      </c>
      <c r="E128" s="120" t="s">
        <v>713</v>
      </c>
      <c r="F128" s="87"/>
      <c r="G128" s="93" t="s">
        <v>258</v>
      </c>
      <c r="H128" s="79"/>
      <c r="I128" s="80"/>
      <c r="J128" s="81">
        <v>3562</v>
      </c>
      <c r="K128" s="81">
        <f t="shared" ref="K128:K134" si="24">I128*J128</f>
        <v>0</v>
      </c>
      <c r="L128" s="2"/>
      <c r="M128" s="2"/>
    </row>
    <row r="129" spans="1:13" ht="15" customHeight="1">
      <c r="A129" s="120"/>
      <c r="B129" s="120"/>
      <c r="C129" s="120"/>
      <c r="D129" s="120"/>
      <c r="E129" s="120"/>
      <c r="F129" s="87"/>
      <c r="G129" s="91" t="s">
        <v>279</v>
      </c>
      <c r="H129" s="79"/>
      <c r="I129" s="80"/>
      <c r="J129" s="81">
        <v>876</v>
      </c>
      <c r="K129" s="81">
        <f t="shared" si="24"/>
        <v>0</v>
      </c>
      <c r="L129" s="2"/>
      <c r="M129" s="2"/>
    </row>
    <row r="130" spans="1:13" ht="15" customHeight="1">
      <c r="A130" s="120"/>
      <c r="B130" s="120"/>
      <c r="C130" s="120"/>
      <c r="D130" s="120"/>
      <c r="E130" s="120"/>
      <c r="F130" s="87"/>
      <c r="G130" s="91" t="s">
        <v>194</v>
      </c>
      <c r="H130" s="79"/>
      <c r="I130" s="80"/>
      <c r="J130" s="81">
        <v>1267</v>
      </c>
      <c r="K130" s="81">
        <f t="shared" si="24"/>
        <v>0</v>
      </c>
      <c r="L130" s="2"/>
      <c r="M130" s="2"/>
    </row>
    <row r="131" spans="1:13" ht="15" customHeight="1">
      <c r="A131" s="3"/>
      <c r="B131" s="3"/>
      <c r="C131" s="3"/>
      <c r="D131" s="3"/>
      <c r="E131" s="120"/>
      <c r="F131" s="4"/>
      <c r="G131" s="93" t="s">
        <v>259</v>
      </c>
      <c r="H131" s="79"/>
      <c r="I131" s="80"/>
      <c r="J131" s="81">
        <v>3520</v>
      </c>
      <c r="K131" s="81">
        <f t="shared" si="24"/>
        <v>0</v>
      </c>
      <c r="L131" s="2"/>
      <c r="M131" s="2"/>
    </row>
    <row r="132" spans="1:13" ht="15" customHeight="1">
      <c r="A132" s="3"/>
      <c r="B132" s="3"/>
      <c r="C132" s="3"/>
      <c r="D132" s="3"/>
      <c r="E132" s="120"/>
      <c r="F132" s="4"/>
      <c r="G132" s="91" t="s">
        <v>260</v>
      </c>
      <c r="H132" s="79"/>
      <c r="I132" s="80"/>
      <c r="J132" s="81">
        <v>4545</v>
      </c>
      <c r="K132" s="81">
        <f t="shared" si="24"/>
        <v>0</v>
      </c>
      <c r="L132" s="2"/>
      <c r="M132" s="2"/>
    </row>
    <row r="133" spans="1:13" ht="15" customHeight="1">
      <c r="A133" s="3"/>
      <c r="B133" s="3"/>
      <c r="C133" s="3"/>
      <c r="D133" s="3"/>
      <c r="E133" s="120"/>
      <c r="F133" s="4"/>
      <c r="G133" s="120" t="s">
        <v>184</v>
      </c>
      <c r="H133" s="79"/>
      <c r="I133" s="80"/>
      <c r="J133" s="81">
        <v>396</v>
      </c>
      <c r="K133" s="81">
        <f t="shared" si="24"/>
        <v>0</v>
      </c>
      <c r="L133" s="2"/>
      <c r="M133" s="2"/>
    </row>
    <row r="134" spans="1:13" ht="15" customHeight="1">
      <c r="A134" s="3"/>
      <c r="B134" s="3"/>
      <c r="C134" s="3"/>
      <c r="D134" s="3"/>
      <c r="E134" s="120"/>
      <c r="F134" s="4"/>
      <c r="G134" s="95" t="s">
        <v>185</v>
      </c>
      <c r="H134" s="79"/>
      <c r="I134" s="96"/>
      <c r="J134" s="81">
        <v>623</v>
      </c>
      <c r="K134" s="81">
        <f t="shared" si="24"/>
        <v>0</v>
      </c>
      <c r="L134" s="2"/>
      <c r="M134" s="2"/>
    </row>
    <row r="135" spans="1:13" s="71" customFormat="1" ht="15" customHeight="1">
      <c r="A135" s="85"/>
      <c r="B135" s="85"/>
      <c r="C135" s="85"/>
      <c r="D135" s="85"/>
      <c r="E135" s="274" t="s">
        <v>9</v>
      </c>
      <c r="F135" s="110">
        <f>SUM(F128:F134)</f>
        <v>0</v>
      </c>
      <c r="G135" s="274"/>
      <c r="H135" s="274"/>
      <c r="I135" s="125"/>
      <c r="J135" s="97"/>
      <c r="K135" s="111">
        <f>SUM(K128:K134)</f>
        <v>0</v>
      </c>
      <c r="L135" s="111" t="e">
        <f>K135/F135</f>
        <v>#DIV/0!</v>
      </c>
      <c r="M135" s="102"/>
    </row>
    <row r="136" spans="1:13" ht="15" customHeight="1">
      <c r="A136" s="120">
        <v>5143</v>
      </c>
      <c r="B136" s="120" t="s">
        <v>714</v>
      </c>
      <c r="C136" s="120" t="s">
        <v>580</v>
      </c>
      <c r="D136" s="120" t="s">
        <v>274</v>
      </c>
      <c r="E136" s="120" t="s">
        <v>102</v>
      </c>
      <c r="F136" s="87"/>
      <c r="G136" s="93" t="s">
        <v>190</v>
      </c>
      <c r="H136" s="79"/>
      <c r="I136" s="80"/>
      <c r="J136" s="81">
        <v>890</v>
      </c>
      <c r="K136" s="97">
        <f t="shared" ref="K136:K138" si="25">I136*J136</f>
        <v>0</v>
      </c>
      <c r="L136" s="2"/>
      <c r="M136" s="2"/>
    </row>
    <row r="137" spans="1:13" ht="15" customHeight="1">
      <c r="A137" s="3"/>
      <c r="B137" s="3"/>
      <c r="C137" s="3"/>
      <c r="D137" s="3"/>
      <c r="E137" s="120"/>
      <c r="F137" s="4"/>
      <c r="G137" s="91" t="s">
        <v>192</v>
      </c>
      <c r="H137" s="79"/>
      <c r="I137" s="80"/>
      <c r="J137" s="81">
        <v>1742</v>
      </c>
      <c r="K137" s="81">
        <f t="shared" si="25"/>
        <v>0</v>
      </c>
      <c r="L137" s="2"/>
      <c r="M137" s="2"/>
    </row>
    <row r="138" spans="1:13" ht="15" customHeight="1">
      <c r="A138" s="3"/>
      <c r="B138" s="3"/>
      <c r="C138" s="3"/>
      <c r="D138" s="3"/>
      <c r="E138" s="120"/>
      <c r="F138" s="4"/>
      <c r="G138" s="91" t="s">
        <v>193</v>
      </c>
      <c r="H138" s="36"/>
      <c r="I138" s="39"/>
      <c r="J138" s="40">
        <v>1545</v>
      </c>
      <c r="K138" s="81">
        <f t="shared" si="25"/>
        <v>0</v>
      </c>
      <c r="L138" s="2"/>
      <c r="M138" s="2"/>
    </row>
    <row r="139" spans="1:13" ht="15" customHeight="1">
      <c r="A139" s="3"/>
      <c r="B139" s="25"/>
      <c r="C139" s="25"/>
      <c r="D139" s="25"/>
      <c r="E139" s="3"/>
      <c r="F139" s="4"/>
      <c r="G139" s="120" t="s">
        <v>184</v>
      </c>
      <c r="H139" s="79"/>
      <c r="I139" s="80"/>
      <c r="J139" s="81">
        <v>396</v>
      </c>
      <c r="K139" s="81">
        <f t="shared" ref="K139:K140" si="26">I139*J139</f>
        <v>0</v>
      </c>
      <c r="L139" s="2"/>
      <c r="M139" s="2"/>
    </row>
    <row r="140" spans="1:13" ht="15" customHeight="1">
      <c r="A140" s="3"/>
      <c r="B140" s="3"/>
      <c r="C140" s="3"/>
      <c r="D140" s="3"/>
      <c r="E140" s="3"/>
      <c r="F140" s="4"/>
      <c r="G140" s="95" t="s">
        <v>185</v>
      </c>
      <c r="H140" s="79"/>
      <c r="I140" s="80"/>
      <c r="J140" s="81">
        <v>623</v>
      </c>
      <c r="K140" s="81">
        <f t="shared" si="26"/>
        <v>0</v>
      </c>
      <c r="L140" s="2"/>
      <c r="M140" s="2"/>
    </row>
    <row r="141" spans="1:13" s="71" customFormat="1" ht="15" customHeight="1">
      <c r="A141" s="85"/>
      <c r="B141" s="85"/>
      <c r="C141" s="85"/>
      <c r="D141" s="85"/>
      <c r="E141" s="274" t="s">
        <v>9</v>
      </c>
      <c r="F141" s="110">
        <f>SUM(F136:F140)</f>
        <v>0</v>
      </c>
      <c r="G141" s="274"/>
      <c r="H141" s="274"/>
      <c r="I141" s="125"/>
      <c r="J141" s="97"/>
      <c r="K141" s="111">
        <f>SUM(K136:K140)</f>
        <v>0</v>
      </c>
      <c r="L141" s="111" t="e">
        <f>K141/F141</f>
        <v>#DIV/0!</v>
      </c>
      <c r="M141" s="102"/>
    </row>
    <row r="142" spans="1:13" ht="15" customHeight="1">
      <c r="A142" s="120">
        <v>6051</v>
      </c>
      <c r="B142" s="120" t="s">
        <v>715</v>
      </c>
      <c r="C142" s="120" t="s">
        <v>121</v>
      </c>
      <c r="D142" s="120" t="s">
        <v>297</v>
      </c>
      <c r="E142" s="120" t="s">
        <v>716</v>
      </c>
      <c r="F142" s="87"/>
      <c r="G142" s="93" t="s">
        <v>190</v>
      </c>
      <c r="H142" s="79"/>
      <c r="I142" s="80"/>
      <c r="J142" s="81">
        <v>890</v>
      </c>
      <c r="K142" s="97">
        <f t="shared" ref="K142:K146" si="27">I142*J142</f>
        <v>0</v>
      </c>
      <c r="L142" s="2"/>
      <c r="M142" s="2"/>
    </row>
    <row r="143" spans="1:13" ht="15" customHeight="1">
      <c r="A143" s="3"/>
      <c r="B143" s="3"/>
      <c r="C143" s="3"/>
      <c r="D143" s="3"/>
      <c r="E143" s="3"/>
      <c r="F143" s="4"/>
      <c r="G143" s="91" t="s">
        <v>288</v>
      </c>
      <c r="H143" s="79"/>
      <c r="I143" s="80"/>
      <c r="J143" s="81">
        <v>1742</v>
      </c>
      <c r="K143" s="81">
        <f t="shared" si="27"/>
        <v>0</v>
      </c>
      <c r="L143" s="2"/>
      <c r="M143" s="2"/>
    </row>
    <row r="144" spans="1:13" ht="15" customHeight="1">
      <c r="A144" s="3"/>
      <c r="B144" s="3"/>
      <c r="C144" s="3"/>
      <c r="D144" s="3"/>
      <c r="E144" s="3"/>
      <c r="F144" s="4"/>
      <c r="G144" s="93" t="s">
        <v>509</v>
      </c>
      <c r="H144" s="79"/>
      <c r="I144" s="80"/>
      <c r="J144" s="81">
        <v>3708</v>
      </c>
      <c r="K144" s="81">
        <f t="shared" si="27"/>
        <v>0</v>
      </c>
      <c r="L144" s="2"/>
      <c r="M144" s="2"/>
    </row>
    <row r="145" spans="1:13" ht="15" customHeight="1">
      <c r="A145" s="3"/>
      <c r="B145" s="3"/>
      <c r="C145" s="3"/>
      <c r="D145" s="3"/>
      <c r="E145" s="3"/>
      <c r="F145" s="4"/>
      <c r="G145" s="120" t="s">
        <v>184</v>
      </c>
      <c r="H145" s="79"/>
      <c r="I145" s="80"/>
      <c r="J145" s="81">
        <v>396</v>
      </c>
      <c r="K145" s="81">
        <f t="shared" si="27"/>
        <v>0</v>
      </c>
      <c r="L145" s="2"/>
      <c r="M145" s="2"/>
    </row>
    <row r="146" spans="1:13" ht="15" customHeight="1">
      <c r="A146" s="3"/>
      <c r="B146" s="3"/>
      <c r="C146" s="3"/>
      <c r="D146" s="3"/>
      <c r="E146" s="3"/>
      <c r="F146" s="4"/>
      <c r="G146" s="95" t="s">
        <v>185</v>
      </c>
      <c r="H146" s="79"/>
      <c r="I146" s="80"/>
      <c r="J146" s="81">
        <v>623</v>
      </c>
      <c r="K146" s="81">
        <f t="shared" si="27"/>
        <v>0</v>
      </c>
      <c r="L146" s="2"/>
      <c r="M146" s="2"/>
    </row>
    <row r="147" spans="1:13" s="71" customFormat="1" ht="15" customHeight="1">
      <c r="A147" s="85"/>
      <c r="B147" s="85"/>
      <c r="C147" s="85"/>
      <c r="D147" s="85"/>
      <c r="E147" s="274" t="s">
        <v>9</v>
      </c>
      <c r="F147" s="110">
        <f>SUM(F142:F146)</f>
        <v>0</v>
      </c>
      <c r="G147" s="274"/>
      <c r="H147" s="274"/>
      <c r="I147" s="125"/>
      <c r="J147" s="97"/>
      <c r="K147" s="111">
        <f>SUM(K142:K146)</f>
        <v>0</v>
      </c>
      <c r="L147" s="111" t="e">
        <f>K147/F147</f>
        <v>#DIV/0!</v>
      </c>
      <c r="M147" s="102"/>
    </row>
    <row r="148" spans="1:13" ht="15" customHeight="1">
      <c r="A148" s="120">
        <v>5145</v>
      </c>
      <c r="B148" s="120" t="s">
        <v>371</v>
      </c>
      <c r="C148" s="3" t="s">
        <v>280</v>
      </c>
      <c r="D148" s="3" t="s">
        <v>717</v>
      </c>
      <c r="E148" s="120" t="s">
        <v>127</v>
      </c>
      <c r="F148" s="87"/>
      <c r="G148" s="93" t="s">
        <v>190</v>
      </c>
      <c r="H148" s="79"/>
      <c r="I148" s="80"/>
      <c r="J148" s="81">
        <v>890</v>
      </c>
      <c r="K148" s="97">
        <f t="shared" ref="K148" si="28">I148*J148</f>
        <v>0</v>
      </c>
      <c r="L148" s="2"/>
      <c r="M148" s="2"/>
    </row>
    <row r="149" spans="1:13" ht="15" customHeight="1">
      <c r="A149" s="3"/>
      <c r="B149" s="3"/>
      <c r="C149" s="3"/>
      <c r="D149" s="3"/>
      <c r="E149" s="3"/>
      <c r="F149" s="4"/>
      <c r="G149" s="83" t="s">
        <v>183</v>
      </c>
      <c r="H149" s="79"/>
      <c r="I149" s="80"/>
      <c r="J149" s="81">
        <v>1950</v>
      </c>
      <c r="K149" s="81">
        <f t="shared" ref="K149:K154" si="29">I149*J149</f>
        <v>0</v>
      </c>
      <c r="L149" s="2"/>
      <c r="M149" s="2"/>
    </row>
    <row r="150" spans="1:13" ht="15" customHeight="1">
      <c r="A150" s="3"/>
      <c r="B150" s="3"/>
      <c r="C150" s="3"/>
      <c r="D150" s="3"/>
      <c r="E150" s="3"/>
      <c r="F150" s="4"/>
      <c r="G150" s="91" t="s">
        <v>194</v>
      </c>
      <c r="H150" s="79"/>
      <c r="I150" s="80"/>
      <c r="J150" s="81">
        <v>1267</v>
      </c>
      <c r="K150" s="81">
        <f t="shared" si="29"/>
        <v>0</v>
      </c>
      <c r="L150" s="102"/>
      <c r="M150" s="2"/>
    </row>
    <row r="151" spans="1:13" ht="15" customHeight="1">
      <c r="A151" s="3"/>
      <c r="B151" s="3"/>
      <c r="C151" s="3"/>
      <c r="D151" s="3"/>
      <c r="E151" s="3"/>
      <c r="F151" s="4"/>
      <c r="G151" s="120" t="s">
        <v>184</v>
      </c>
      <c r="H151" s="79"/>
      <c r="I151" s="80"/>
      <c r="J151" s="81">
        <v>396</v>
      </c>
      <c r="K151" s="81">
        <f t="shared" si="29"/>
        <v>0</v>
      </c>
      <c r="L151" s="2"/>
      <c r="M151" s="2"/>
    </row>
    <row r="152" spans="1:13" ht="15" customHeight="1">
      <c r="A152" s="3"/>
      <c r="B152" s="3"/>
      <c r="C152" s="3"/>
      <c r="D152" s="3"/>
      <c r="E152" s="3"/>
      <c r="F152" s="4"/>
      <c r="G152" s="95" t="s">
        <v>185</v>
      </c>
      <c r="H152" s="79"/>
      <c r="I152" s="96"/>
      <c r="J152" s="81">
        <v>623</v>
      </c>
      <c r="K152" s="81">
        <f t="shared" si="29"/>
        <v>0</v>
      </c>
      <c r="L152" s="2"/>
      <c r="M152" s="2"/>
    </row>
    <row r="153" spans="1:13" ht="15" customHeight="1">
      <c r="A153" s="3"/>
      <c r="B153" s="3"/>
      <c r="C153" s="3"/>
      <c r="D153" s="3"/>
      <c r="E153" s="3"/>
      <c r="F153" s="4"/>
      <c r="G153" s="120" t="s">
        <v>28</v>
      </c>
      <c r="H153" s="79"/>
      <c r="I153" s="80"/>
      <c r="J153" s="81">
        <v>17</v>
      </c>
      <c r="K153" s="81">
        <f t="shared" si="29"/>
        <v>0</v>
      </c>
      <c r="L153" s="2"/>
      <c r="M153" s="2"/>
    </row>
    <row r="154" spans="1:13" ht="15" customHeight="1">
      <c r="A154" s="3"/>
      <c r="B154" s="3"/>
      <c r="C154" s="3"/>
      <c r="D154" s="3"/>
      <c r="E154" s="3"/>
      <c r="F154" s="4"/>
      <c r="G154" s="120" t="s">
        <v>17</v>
      </c>
      <c r="H154" s="79"/>
      <c r="I154" s="80"/>
      <c r="J154" s="81">
        <v>34</v>
      </c>
      <c r="K154" s="81">
        <f t="shared" si="29"/>
        <v>0</v>
      </c>
      <c r="L154" s="2"/>
      <c r="M154" s="2"/>
    </row>
    <row r="155" spans="1:13" s="71" customFormat="1" ht="15" customHeight="1">
      <c r="A155" s="85"/>
      <c r="B155" s="85"/>
      <c r="C155" s="85"/>
      <c r="D155" s="85"/>
      <c r="E155" s="274" t="s">
        <v>9</v>
      </c>
      <c r="F155" s="110">
        <f>SUM(F148:F154)</f>
        <v>0</v>
      </c>
      <c r="G155" s="274"/>
      <c r="H155" s="274"/>
      <c r="I155" s="125"/>
      <c r="J155" s="97"/>
      <c r="K155" s="111">
        <f>SUM(K148:K154)</f>
        <v>0</v>
      </c>
      <c r="L155" s="111" t="e">
        <f>K155/F155</f>
        <v>#DIV/0!</v>
      </c>
      <c r="M155" s="102"/>
    </row>
    <row r="156" spans="1:13" ht="15" customHeight="1">
      <c r="A156" s="120">
        <v>5146</v>
      </c>
      <c r="B156" s="120" t="s">
        <v>718</v>
      </c>
      <c r="C156" s="120" t="s">
        <v>233</v>
      </c>
      <c r="D156" s="120" t="s">
        <v>648</v>
      </c>
      <c r="E156" s="120" t="s">
        <v>127</v>
      </c>
      <c r="F156" s="87"/>
      <c r="G156" s="83" t="s">
        <v>405</v>
      </c>
      <c r="H156" s="79"/>
      <c r="I156" s="80"/>
      <c r="J156" s="81">
        <v>2125</v>
      </c>
      <c r="K156" s="81">
        <f t="shared" ref="K156:K160" si="30">I156*J156</f>
        <v>0</v>
      </c>
      <c r="L156" s="102"/>
      <c r="M156" s="2"/>
    </row>
    <row r="157" spans="1:13" ht="15" customHeight="1">
      <c r="A157" s="3"/>
      <c r="B157" s="3"/>
      <c r="C157" s="3"/>
      <c r="D157" s="3"/>
      <c r="E157" s="3"/>
      <c r="F157" s="4"/>
      <c r="G157" s="83" t="s">
        <v>183</v>
      </c>
      <c r="H157" s="79"/>
      <c r="I157" s="80"/>
      <c r="J157" s="81">
        <v>1950</v>
      </c>
      <c r="K157" s="81">
        <f t="shared" si="30"/>
        <v>0</v>
      </c>
      <c r="L157" s="102"/>
      <c r="M157" s="2"/>
    </row>
    <row r="158" spans="1:13" ht="15" customHeight="1">
      <c r="A158" s="3"/>
      <c r="B158" s="3"/>
      <c r="C158" s="3"/>
      <c r="D158" s="3"/>
      <c r="E158" s="3"/>
      <c r="F158" s="4"/>
      <c r="G158" s="83" t="s">
        <v>198</v>
      </c>
      <c r="H158" s="120"/>
      <c r="I158" s="96"/>
      <c r="J158" s="81">
        <v>2852</v>
      </c>
      <c r="K158" s="94">
        <f t="shared" si="30"/>
        <v>0</v>
      </c>
      <c r="L158" s="102"/>
      <c r="M158" s="2"/>
    </row>
    <row r="159" spans="1:13" ht="15" customHeight="1">
      <c r="A159" s="3"/>
      <c r="B159" s="3"/>
      <c r="C159" s="3"/>
      <c r="D159" s="3"/>
      <c r="E159" s="3"/>
      <c r="F159" s="4"/>
      <c r="G159" s="120" t="s">
        <v>184</v>
      </c>
      <c r="H159" s="79"/>
      <c r="I159" s="80"/>
      <c r="J159" s="81">
        <v>396</v>
      </c>
      <c r="K159" s="81">
        <f t="shared" si="30"/>
        <v>0</v>
      </c>
      <c r="L159" s="102"/>
      <c r="M159" s="2"/>
    </row>
    <row r="160" spans="1:13" ht="15" customHeight="1">
      <c r="A160" s="3"/>
      <c r="B160" s="3"/>
      <c r="C160" s="3"/>
      <c r="D160" s="3"/>
      <c r="E160" s="3"/>
      <c r="F160" s="4"/>
      <c r="G160" s="95" t="s">
        <v>185</v>
      </c>
      <c r="H160" s="79"/>
      <c r="I160" s="96"/>
      <c r="J160" s="81">
        <v>623</v>
      </c>
      <c r="K160" s="81">
        <f t="shared" si="30"/>
        <v>0</v>
      </c>
      <c r="L160" s="102"/>
      <c r="M160" s="2"/>
    </row>
    <row r="161" spans="1:14" s="71" customFormat="1" ht="15" customHeight="1">
      <c r="A161" s="85"/>
      <c r="B161" s="85"/>
      <c r="C161" s="85"/>
      <c r="D161" s="85"/>
      <c r="E161" s="274" t="s">
        <v>9</v>
      </c>
      <c r="F161" s="110">
        <f>SUM(F156:F160)</f>
        <v>0</v>
      </c>
      <c r="G161" s="274"/>
      <c r="H161" s="274"/>
      <c r="I161" s="125"/>
      <c r="J161" s="97"/>
      <c r="K161" s="111">
        <f>SUM(K156:K160)</f>
        <v>0</v>
      </c>
      <c r="L161" s="111" t="e">
        <f>K161/F161</f>
        <v>#DIV/0!</v>
      </c>
      <c r="M161" s="102"/>
    </row>
    <row r="162" spans="1:14" s="71" customFormat="1" ht="15" customHeight="1">
      <c r="A162" s="272"/>
      <c r="B162" s="272"/>
      <c r="C162" s="272"/>
      <c r="D162" s="126" t="s">
        <v>30</v>
      </c>
      <c r="E162" s="126"/>
      <c r="F162" s="127">
        <f>F113+F121+F127+F135+F141+F147+F155+F161</f>
        <v>0</v>
      </c>
      <c r="G162" s="128"/>
      <c r="H162" s="128"/>
      <c r="I162" s="128"/>
      <c r="J162" s="128"/>
      <c r="K162" s="127">
        <f>K113+K121+K127+K135+K141+K147+K155+K161</f>
        <v>0</v>
      </c>
      <c r="L162" s="129" t="e">
        <f>K162/F162</f>
        <v>#DIV/0!</v>
      </c>
      <c r="M162" s="131"/>
    </row>
    <row r="163" spans="1:14" ht="15" customHeight="1">
      <c r="A163" s="11"/>
      <c r="B163" s="11"/>
      <c r="C163" s="11"/>
      <c r="D163" s="26"/>
      <c r="E163" s="26"/>
      <c r="F163" s="27"/>
      <c r="G163" s="26"/>
      <c r="H163" s="26"/>
      <c r="I163" s="26"/>
      <c r="J163" s="26"/>
      <c r="K163" s="27"/>
      <c r="L163" s="15"/>
      <c r="M163" s="16"/>
    </row>
    <row r="164" spans="1:14" ht="15" customHeight="1">
      <c r="A164" s="11"/>
      <c r="B164" s="11"/>
      <c r="C164" s="11"/>
      <c r="D164" s="26"/>
      <c r="E164" s="26"/>
      <c r="F164" s="27"/>
      <c r="G164" s="26"/>
      <c r="H164" s="26"/>
      <c r="I164" s="26"/>
      <c r="J164" s="26"/>
      <c r="K164" s="27"/>
      <c r="L164" s="15"/>
      <c r="M164" s="16"/>
    </row>
    <row r="165" spans="1:14" ht="15" customHeight="1">
      <c r="A165" s="11"/>
      <c r="B165" s="11"/>
      <c r="C165" s="11"/>
      <c r="D165" s="26"/>
      <c r="E165" s="26"/>
      <c r="F165" s="27"/>
      <c r="G165" s="26"/>
      <c r="H165" s="26"/>
      <c r="I165" s="26"/>
      <c r="J165" s="26"/>
      <c r="K165" s="27"/>
      <c r="L165" s="15"/>
      <c r="M165" s="16"/>
    </row>
    <row r="166" spans="1:14" ht="15" customHeight="1">
      <c r="A166" s="11"/>
      <c r="B166" s="11"/>
      <c r="C166" s="11"/>
      <c r="D166" s="26"/>
      <c r="E166" s="26"/>
      <c r="F166" s="27"/>
      <c r="G166" s="26"/>
      <c r="H166" s="26"/>
      <c r="I166" s="26"/>
      <c r="J166" s="26"/>
      <c r="K166" s="27"/>
      <c r="L166" s="15"/>
      <c r="M166" s="16"/>
    </row>
    <row r="167" spans="1:14" ht="15" customHeight="1">
      <c r="A167" s="11"/>
      <c r="B167" s="11"/>
      <c r="C167" s="11"/>
      <c r="D167" s="26"/>
      <c r="E167" s="26"/>
      <c r="F167" s="27"/>
      <c r="G167" s="26"/>
      <c r="H167" s="26"/>
      <c r="I167" s="26"/>
      <c r="J167" s="26"/>
      <c r="K167" s="27"/>
      <c r="L167" s="15"/>
      <c r="M167" s="16"/>
    </row>
    <row r="168" spans="1:14" ht="15" customHeight="1">
      <c r="A168" s="1" t="s">
        <v>40</v>
      </c>
      <c r="B168" s="1"/>
      <c r="C168" s="1"/>
      <c r="D168" s="1"/>
      <c r="E168" s="1"/>
      <c r="I168" s="19"/>
      <c r="K168" s="824" t="s">
        <v>403</v>
      </c>
      <c r="L168" s="824"/>
      <c r="M168" s="824"/>
    </row>
    <row r="169" spans="1:14" ht="15" customHeight="1">
      <c r="A169" s="6" t="s">
        <v>0</v>
      </c>
      <c r="B169" s="6" t="s">
        <v>7</v>
      </c>
      <c r="C169" s="6" t="s">
        <v>13</v>
      </c>
      <c r="D169" s="6" t="s">
        <v>14</v>
      </c>
      <c r="E169" s="6" t="s">
        <v>8</v>
      </c>
      <c r="F169" s="6" t="s">
        <v>1</v>
      </c>
      <c r="G169" s="6" t="s">
        <v>2</v>
      </c>
      <c r="H169" s="6" t="s">
        <v>15</v>
      </c>
      <c r="I169" s="20" t="s">
        <v>3</v>
      </c>
      <c r="J169" s="6" t="s">
        <v>4</v>
      </c>
      <c r="K169" s="6" t="s">
        <v>5</v>
      </c>
      <c r="L169" s="6" t="s">
        <v>12</v>
      </c>
      <c r="M169" s="6" t="s">
        <v>6</v>
      </c>
      <c r="N169" s="10"/>
    </row>
    <row r="170" spans="1:14" ht="15" customHeight="1">
      <c r="A170" s="120">
        <v>6050</v>
      </c>
      <c r="B170" s="120" t="s">
        <v>669</v>
      </c>
      <c r="C170" s="120" t="s">
        <v>121</v>
      </c>
      <c r="D170" s="120" t="s">
        <v>290</v>
      </c>
      <c r="E170" s="120" t="s">
        <v>670</v>
      </c>
      <c r="F170" s="87"/>
      <c r="G170" s="120" t="s">
        <v>27</v>
      </c>
      <c r="H170" s="79"/>
      <c r="I170" s="80"/>
      <c r="J170" s="81">
        <v>22</v>
      </c>
      <c r="K170" s="81">
        <f t="shared" ref="K170:K172" si="31">I170*J170</f>
        <v>0</v>
      </c>
      <c r="L170" s="22"/>
      <c r="M170" s="22"/>
      <c r="N170" s="67"/>
    </row>
    <row r="171" spans="1:14" ht="15" customHeight="1">
      <c r="A171" s="22"/>
      <c r="B171" s="120"/>
      <c r="C171" s="120"/>
      <c r="D171" s="120" t="s">
        <v>230</v>
      </c>
      <c r="E171" s="120"/>
      <c r="F171" s="120"/>
      <c r="G171" s="83" t="s">
        <v>49</v>
      </c>
      <c r="H171" s="79"/>
      <c r="I171" s="80"/>
      <c r="J171" s="81">
        <v>34</v>
      </c>
      <c r="K171" s="81">
        <f t="shared" si="31"/>
        <v>0</v>
      </c>
      <c r="L171" s="22"/>
      <c r="M171" s="22"/>
      <c r="N171" s="67"/>
    </row>
    <row r="172" spans="1:14" ht="15" customHeight="1">
      <c r="A172" s="22"/>
      <c r="B172" s="3"/>
      <c r="C172" s="3"/>
      <c r="D172" s="3"/>
      <c r="E172" s="3"/>
      <c r="F172" s="22"/>
      <c r="G172" s="120" t="s">
        <v>19</v>
      </c>
      <c r="H172" s="79"/>
      <c r="I172" s="80"/>
      <c r="J172" s="81">
        <v>80</v>
      </c>
      <c r="K172" s="81">
        <f t="shared" si="31"/>
        <v>0</v>
      </c>
      <c r="L172" s="22"/>
      <c r="M172" s="22"/>
      <c r="N172" s="67"/>
    </row>
    <row r="173" spans="1:14" ht="15" customHeight="1">
      <c r="A173" s="3"/>
      <c r="B173" s="3"/>
      <c r="C173" s="3"/>
      <c r="D173" s="3"/>
      <c r="E173" s="6" t="s">
        <v>9</v>
      </c>
      <c r="F173" s="8">
        <f>SUM(F170:F172)</f>
        <v>0</v>
      </c>
      <c r="G173" s="6"/>
      <c r="H173" s="6"/>
      <c r="I173" s="17"/>
      <c r="J173" s="5"/>
      <c r="K173" s="7">
        <f>SUM(K170:K172)</f>
        <v>0</v>
      </c>
      <c r="L173" s="7" t="e">
        <f>K173/F173</f>
        <v>#DIV/0!</v>
      </c>
      <c r="M173" s="2"/>
    </row>
    <row r="174" spans="1:14" ht="15" customHeight="1">
      <c r="A174" s="22">
        <v>5062</v>
      </c>
      <c r="B174" s="120" t="s">
        <v>695</v>
      </c>
      <c r="C174" s="120" t="s">
        <v>697</v>
      </c>
      <c r="D174" s="120" t="s">
        <v>696</v>
      </c>
      <c r="E174" s="120" t="s">
        <v>409</v>
      </c>
      <c r="F174" s="87"/>
      <c r="G174" s="120" t="s">
        <v>27</v>
      </c>
      <c r="H174" s="79"/>
      <c r="I174" s="80"/>
      <c r="J174" s="81">
        <v>22</v>
      </c>
      <c r="K174" s="81">
        <f t="shared" ref="K174:K176" si="32">I174*J174</f>
        <v>0</v>
      </c>
      <c r="L174" s="22"/>
      <c r="M174" s="22"/>
      <c r="N174" s="67"/>
    </row>
    <row r="175" spans="1:14" ht="15" customHeight="1">
      <c r="A175" s="22"/>
      <c r="B175" s="3"/>
      <c r="C175" s="3"/>
      <c r="D175" s="3"/>
      <c r="E175" s="3"/>
      <c r="F175" s="22"/>
      <c r="G175" s="83" t="s">
        <v>49</v>
      </c>
      <c r="H175" s="79"/>
      <c r="I175" s="80"/>
      <c r="J175" s="81">
        <v>34</v>
      </c>
      <c r="K175" s="81">
        <f t="shared" si="32"/>
        <v>0</v>
      </c>
      <c r="L175" s="22"/>
      <c r="M175" s="22"/>
      <c r="N175" s="67"/>
    </row>
    <row r="176" spans="1:14" ht="15" customHeight="1">
      <c r="A176" s="22"/>
      <c r="B176" s="3"/>
      <c r="C176" s="3"/>
      <c r="D176" s="3"/>
      <c r="E176" s="3"/>
      <c r="F176" s="22"/>
      <c r="G176" s="120" t="s">
        <v>19</v>
      </c>
      <c r="H176" s="79"/>
      <c r="I176" s="80"/>
      <c r="J176" s="81">
        <v>80</v>
      </c>
      <c r="K176" s="81">
        <f t="shared" si="32"/>
        <v>0</v>
      </c>
      <c r="L176" s="22"/>
      <c r="M176" s="22"/>
      <c r="N176" s="67"/>
    </row>
    <row r="177" spans="1:14" ht="15" customHeight="1">
      <c r="A177" s="3"/>
      <c r="B177" s="3"/>
      <c r="C177" s="3"/>
      <c r="D177" s="3"/>
      <c r="E177" s="6" t="s">
        <v>9</v>
      </c>
      <c r="F177" s="8">
        <f>SUM(F174:F176)</f>
        <v>0</v>
      </c>
      <c r="G177" s="6"/>
      <c r="H177" s="6"/>
      <c r="I177" s="17"/>
      <c r="J177" s="5"/>
      <c r="K177" s="7">
        <f>SUM(K174:K176)</f>
        <v>0</v>
      </c>
      <c r="L177" s="7" t="e">
        <f>K177/F177</f>
        <v>#DIV/0!</v>
      </c>
      <c r="M177" s="2"/>
    </row>
    <row r="178" spans="1:14" ht="15" customHeight="1">
      <c r="A178" s="11"/>
      <c r="B178" s="11"/>
      <c r="C178" s="11"/>
      <c r="D178" s="23" t="s">
        <v>30</v>
      </c>
      <c r="E178" s="24"/>
      <c r="F178" s="50">
        <f>F173+F177</f>
        <v>0</v>
      </c>
      <c r="G178" s="51"/>
      <c r="H178" s="51"/>
      <c r="I178" s="51"/>
      <c r="J178" s="51"/>
      <c r="K178" s="50">
        <f>K173+K177</f>
        <v>0</v>
      </c>
      <c r="L178" s="52" t="e">
        <f>K178/F178</f>
        <v>#DIV/0!</v>
      </c>
      <c r="M178" s="16"/>
    </row>
    <row r="179" spans="1:14" ht="15" customHeight="1">
      <c r="A179" s="11"/>
      <c r="B179" s="11"/>
      <c r="C179" s="11"/>
      <c r="D179" s="26"/>
      <c r="E179" s="26"/>
      <c r="F179" s="27"/>
      <c r="G179" s="26"/>
      <c r="H179" s="26"/>
      <c r="I179" s="26"/>
      <c r="J179" s="26"/>
      <c r="K179" s="27"/>
      <c r="L179" s="15"/>
      <c r="M179" s="16"/>
    </row>
    <row r="180" spans="1:14" ht="15" customHeight="1">
      <c r="A180" s="11"/>
      <c r="B180" s="11"/>
      <c r="C180" s="11"/>
      <c r="D180" s="26"/>
      <c r="E180" s="26"/>
      <c r="F180" s="27"/>
      <c r="G180" s="26"/>
      <c r="H180" s="26"/>
      <c r="I180" s="26"/>
      <c r="J180" s="26"/>
      <c r="K180" s="27"/>
      <c r="L180" s="15"/>
      <c r="M180" s="16"/>
    </row>
    <row r="181" spans="1:14" ht="15" customHeight="1">
      <c r="A181" s="11"/>
      <c r="B181" s="11"/>
      <c r="C181" s="11"/>
      <c r="D181" s="26"/>
      <c r="E181" s="26"/>
      <c r="F181" s="27"/>
      <c r="G181" s="26"/>
      <c r="H181" s="26"/>
      <c r="I181" s="26"/>
      <c r="J181" s="26"/>
      <c r="K181" s="27"/>
      <c r="L181" s="15"/>
      <c r="M181" s="16"/>
    </row>
    <row r="182" spans="1:14" ht="15" customHeight="1">
      <c r="A182" s="11"/>
      <c r="B182" s="11"/>
      <c r="C182" s="11"/>
      <c r="D182" s="26"/>
      <c r="E182" s="26"/>
      <c r="F182" s="27"/>
      <c r="G182" s="26"/>
      <c r="H182" s="26"/>
      <c r="I182" s="26"/>
      <c r="J182" s="26"/>
      <c r="K182" s="27"/>
      <c r="L182" s="15"/>
      <c r="M182" s="16"/>
    </row>
    <row r="183" spans="1:14" ht="15" customHeight="1">
      <c r="A183" s="11"/>
      <c r="B183" s="11"/>
      <c r="C183" s="11"/>
      <c r="D183" s="26"/>
      <c r="E183" s="26"/>
      <c r="F183" s="27"/>
      <c r="G183" s="26"/>
      <c r="H183" s="26"/>
      <c r="I183" s="26"/>
      <c r="J183" s="26"/>
      <c r="K183" s="27"/>
      <c r="L183" s="15"/>
      <c r="M183" s="16"/>
    </row>
    <row r="184" spans="1:14" ht="15" customHeight="1">
      <c r="A184" s="11"/>
      <c r="B184" s="11"/>
      <c r="C184" s="11"/>
      <c r="D184" s="26"/>
      <c r="E184" s="26"/>
      <c r="F184" s="27"/>
      <c r="G184" s="26"/>
      <c r="H184" s="26"/>
      <c r="I184" s="26"/>
      <c r="J184" s="26"/>
      <c r="K184" s="27"/>
      <c r="L184" s="15"/>
      <c r="M184" s="16"/>
    </row>
    <row r="185" spans="1:14" s="64" customFormat="1" ht="15" customHeight="1">
      <c r="A185" s="11"/>
      <c r="B185" s="11"/>
      <c r="C185" s="11"/>
      <c r="D185" s="26"/>
      <c r="E185" s="26"/>
      <c r="F185" s="27"/>
      <c r="G185" s="26"/>
      <c r="H185" s="26"/>
      <c r="I185" s="26"/>
      <c r="J185" s="26"/>
      <c r="K185" s="27"/>
      <c r="L185" s="15"/>
      <c r="M185" s="16"/>
      <c r="N185"/>
    </row>
    <row r="186" spans="1:14" s="10" customFormat="1" ht="15" customHeight="1">
      <c r="A186" s="11"/>
      <c r="B186" s="11"/>
      <c r="C186" s="11"/>
      <c r="D186" s="26"/>
      <c r="E186" s="26"/>
      <c r="F186" s="27"/>
      <c r="G186" s="26"/>
      <c r="H186" s="26"/>
      <c r="I186" s="26"/>
      <c r="J186" s="26"/>
      <c r="K186" s="27"/>
      <c r="L186" s="15"/>
      <c r="M186" s="16"/>
      <c r="N186"/>
    </row>
    <row r="187" spans="1:14" s="64" customFormat="1" ht="15" customHeight="1">
      <c r="A187" s="11"/>
      <c r="B187" s="11"/>
      <c r="C187" s="11"/>
      <c r="D187" s="26"/>
      <c r="E187" s="26"/>
      <c r="F187" s="27"/>
      <c r="G187" s="26"/>
      <c r="H187" s="26"/>
      <c r="I187" s="26"/>
      <c r="J187" s="26"/>
      <c r="K187" s="27"/>
      <c r="L187" s="15"/>
      <c r="M187" s="16"/>
      <c r="N187"/>
    </row>
    <row r="188" spans="1:14" s="64" customFormat="1" ht="15" customHeight="1">
      <c r="A188" s="11"/>
      <c r="B188" s="11"/>
      <c r="C188" s="11"/>
      <c r="D188" s="26"/>
      <c r="E188" s="26"/>
      <c r="F188" s="27"/>
      <c r="G188" s="26"/>
      <c r="H188" s="26"/>
      <c r="I188" s="26"/>
      <c r="J188" s="26"/>
      <c r="K188" s="27"/>
      <c r="L188" s="15"/>
      <c r="M188" s="16"/>
      <c r="N188"/>
    </row>
    <row r="189" spans="1:14" s="64" customFormat="1" ht="15" customHeight="1">
      <c r="A189" s="11"/>
      <c r="B189" s="11"/>
      <c r="C189" s="11"/>
      <c r="D189" s="26"/>
      <c r="E189" s="26"/>
      <c r="F189" s="27"/>
      <c r="G189" s="26"/>
      <c r="H189" s="26"/>
      <c r="I189" s="26"/>
      <c r="J189" s="26"/>
      <c r="K189" s="27"/>
      <c r="L189" s="15"/>
      <c r="M189" s="16"/>
      <c r="N189"/>
    </row>
    <row r="190" spans="1:14" s="64" customFormat="1" ht="15" customHeight="1">
      <c r="A190" s="11"/>
      <c r="B190" s="11"/>
      <c r="C190" s="11"/>
      <c r="D190" s="26"/>
      <c r="E190" s="26"/>
      <c r="F190" s="27"/>
      <c r="G190" s="26"/>
      <c r="H190" s="26"/>
      <c r="I190" s="26"/>
      <c r="J190" s="26"/>
      <c r="K190" s="27"/>
      <c r="L190" s="15"/>
      <c r="M190" s="16"/>
      <c r="N190"/>
    </row>
    <row r="191" spans="1:14" s="64" customFormat="1" ht="15" customHeight="1">
      <c r="A191" s="11"/>
      <c r="B191"/>
      <c r="C191"/>
      <c r="D191"/>
      <c r="E191"/>
      <c r="F191"/>
      <c r="G191"/>
      <c r="H191"/>
      <c r="I191"/>
      <c r="J191"/>
      <c r="K191"/>
      <c r="L191"/>
      <c r="M191" s="16"/>
      <c r="N191"/>
    </row>
    <row r="192" spans="1:14" s="64" customFormat="1" ht="15" customHeight="1">
      <c r="A192" s="11"/>
      <c r="B192" s="11"/>
      <c r="C192" s="11"/>
      <c r="D192" s="26"/>
      <c r="E192" s="26"/>
      <c r="F192" s="27"/>
      <c r="G192" s="26"/>
      <c r="H192" s="26"/>
      <c r="I192" s="26"/>
      <c r="J192" s="26"/>
      <c r="K192" s="27"/>
      <c r="L192" s="15"/>
      <c r="M192" s="16"/>
      <c r="N192"/>
    </row>
    <row r="193" spans="1:14" s="64" customFormat="1" ht="15" customHeight="1">
      <c r="A193" s="11"/>
      <c r="B193" s="11"/>
      <c r="C193" s="11"/>
      <c r="D193" s="26"/>
      <c r="E193" s="26"/>
      <c r="F193" s="27"/>
      <c r="G193" s="26"/>
      <c r="H193" s="26"/>
      <c r="I193" s="26"/>
      <c r="J193" s="26"/>
      <c r="K193" s="27"/>
      <c r="L193" s="15"/>
      <c r="M193" s="16"/>
      <c r="N193"/>
    </row>
    <row r="194" spans="1:14" s="64" customFormat="1" ht="15" customHeight="1">
      <c r="A194" s="11"/>
      <c r="B194" s="11"/>
      <c r="C194" s="11"/>
      <c r="D194" s="26"/>
      <c r="E194" s="26"/>
      <c r="F194" s="27"/>
      <c r="G194" s="26"/>
      <c r="H194" s="26"/>
      <c r="I194" s="26"/>
      <c r="J194" s="26"/>
      <c r="K194" s="27"/>
      <c r="L194" s="15"/>
      <c r="M194" s="16"/>
      <c r="N194"/>
    </row>
    <row r="195" spans="1:14" s="64" customFormat="1" ht="15" customHeight="1">
      <c r="A195" s="11"/>
      <c r="B195" s="11"/>
      <c r="C195" s="11"/>
      <c r="D195" s="26"/>
      <c r="E195" s="26"/>
      <c r="F195" s="27"/>
      <c r="G195" s="26"/>
      <c r="H195" s="26"/>
      <c r="I195" s="26"/>
      <c r="J195" s="26"/>
      <c r="K195" s="27"/>
      <c r="L195" s="15"/>
      <c r="M195" s="16"/>
      <c r="N195"/>
    </row>
    <row r="196" spans="1:14" s="64" customFormat="1" ht="15" customHeight="1">
      <c r="A196" s="11"/>
      <c r="B196" s="11"/>
      <c r="C196" s="11"/>
      <c r="D196" s="26"/>
      <c r="E196" s="26"/>
      <c r="F196" s="27"/>
      <c r="G196" s="26"/>
      <c r="H196" s="26"/>
      <c r="I196" s="26"/>
      <c r="J196" s="26"/>
      <c r="K196" s="27"/>
      <c r="L196" s="15"/>
      <c r="M196" s="16"/>
      <c r="N196"/>
    </row>
    <row r="197" spans="1:14" s="64" customFormat="1" ht="15" customHeight="1">
      <c r="A197" s="11"/>
      <c r="B197" s="11"/>
      <c r="C197" s="11"/>
      <c r="D197" s="26"/>
      <c r="E197" s="26"/>
      <c r="F197" s="27"/>
      <c r="G197" s="26"/>
      <c r="H197" s="26"/>
      <c r="I197" s="26"/>
      <c r="J197" s="26"/>
      <c r="K197" s="27"/>
      <c r="L197" s="15"/>
      <c r="M197" s="16"/>
      <c r="N197"/>
    </row>
    <row r="198" spans="1:14" s="64" customFormat="1" ht="15" customHeight="1">
      <c r="A198" s="11"/>
      <c r="B198" s="11"/>
      <c r="C198" s="11"/>
      <c r="D198" s="26"/>
      <c r="E198" s="26"/>
      <c r="F198" s="27"/>
      <c r="G198" s="26"/>
      <c r="H198" s="26"/>
      <c r="I198" s="26"/>
      <c r="J198" s="26"/>
      <c r="K198" s="27"/>
      <c r="L198" s="15"/>
      <c r="M198" s="16"/>
      <c r="N198"/>
    </row>
    <row r="199" spans="1:14" s="64" customFormat="1" ht="15" customHeight="1">
      <c r="A199" s="11"/>
      <c r="B199" s="11"/>
      <c r="C199" s="11"/>
      <c r="D199" s="26"/>
      <c r="E199" s="26"/>
      <c r="F199" s="27"/>
      <c r="G199" s="26"/>
      <c r="H199" s="26"/>
      <c r="I199" s="26"/>
      <c r="J199" s="26"/>
      <c r="K199" s="27"/>
      <c r="L199" s="15"/>
      <c r="M199" s="16"/>
      <c r="N199"/>
    </row>
    <row r="200" spans="1:14" s="64" customFormat="1" ht="15" customHeight="1">
      <c r="A200" s="11"/>
      <c r="B200" s="11"/>
      <c r="C200" s="11"/>
      <c r="D200" s="26"/>
      <c r="E200" s="26"/>
      <c r="F200" s="27"/>
      <c r="G200" s="26"/>
      <c r="H200" s="26"/>
      <c r="I200" s="26"/>
      <c r="J200" s="26"/>
      <c r="K200" s="27"/>
      <c r="L200" s="15"/>
      <c r="M200" s="16"/>
      <c r="N200"/>
    </row>
    <row r="201" spans="1:14" s="64" customFormat="1" ht="15" customHeight="1">
      <c r="A201" s="11"/>
      <c r="B201" s="49" t="s">
        <v>63</v>
      </c>
      <c r="C201" s="49"/>
      <c r="D201" s="49" t="s">
        <v>64</v>
      </c>
      <c r="E201" s="825" t="s">
        <v>65</v>
      </c>
      <c r="F201" s="825"/>
      <c r="G201" s="69" t="s">
        <v>66</v>
      </c>
      <c r="H201" s="49"/>
      <c r="I201" s="69" t="s">
        <v>67</v>
      </c>
      <c r="J201" s="49"/>
      <c r="K201" s="825" t="s">
        <v>68</v>
      </c>
      <c r="L201" s="825"/>
      <c r="M201" s="16"/>
      <c r="N201"/>
    </row>
    <row r="202" spans="1:14" s="64" customFormat="1" ht="15" customHeight="1">
      <c r="A202" s="11"/>
      <c r="B202" s="49"/>
      <c r="C202" s="49"/>
      <c r="D202" s="49"/>
      <c r="E202" s="69"/>
      <c r="F202" s="69"/>
      <c r="G202" s="69"/>
      <c r="H202" s="49"/>
      <c r="I202" s="69"/>
      <c r="J202" s="49"/>
      <c r="K202" s="69"/>
      <c r="L202" s="69"/>
      <c r="M202" s="16"/>
      <c r="N202"/>
    </row>
    <row r="203" spans="1:14" s="64" customFormat="1" ht="15" customHeight="1">
      <c r="A203" s="11"/>
      <c r="B203" s="49"/>
      <c r="C203" s="49"/>
      <c r="D203" s="49"/>
      <c r="E203" s="69"/>
      <c r="F203" s="69"/>
      <c r="G203" s="69"/>
      <c r="H203" s="49"/>
      <c r="I203" s="69"/>
      <c r="J203" s="49"/>
      <c r="K203" s="69"/>
      <c r="L203" s="69"/>
      <c r="M203" s="16"/>
      <c r="N203"/>
    </row>
    <row r="204" spans="1:14" s="64" customFormat="1" ht="15" customHeight="1">
      <c r="A204" s="11"/>
      <c r="B204" s="49"/>
      <c r="C204" s="49"/>
      <c r="D204" s="49"/>
      <c r="E204" s="69"/>
      <c r="F204" s="69"/>
      <c r="G204" s="69"/>
      <c r="H204" s="49"/>
      <c r="I204" s="69"/>
      <c r="J204" s="49"/>
      <c r="K204" s="69"/>
      <c r="L204" s="69"/>
      <c r="M204" s="16"/>
      <c r="N204"/>
    </row>
    <row r="205" spans="1:14" s="64" customFormat="1" ht="15" customHeight="1">
      <c r="A205" s="11"/>
      <c r="B205" s="11"/>
      <c r="C205" s="11"/>
      <c r="D205" s="26"/>
      <c r="E205" s="26"/>
      <c r="F205" s="27"/>
      <c r="G205" s="26"/>
      <c r="H205" s="26"/>
      <c r="I205" s="26"/>
      <c r="J205" s="26"/>
      <c r="K205" s="27"/>
      <c r="L205" s="15"/>
      <c r="M205" s="16"/>
      <c r="N205"/>
    </row>
    <row r="206" spans="1:14" s="64" customFormat="1" ht="15" customHeight="1">
      <c r="A206" s="1" t="s">
        <v>11</v>
      </c>
      <c r="B206" s="1"/>
      <c r="C206" s="1"/>
      <c r="D206" s="1"/>
      <c r="E206" s="1"/>
      <c r="F206"/>
      <c r="G206"/>
      <c r="H206"/>
      <c r="I206"/>
      <c r="J206"/>
      <c r="K206" s="824" t="s">
        <v>403</v>
      </c>
      <c r="L206" s="824"/>
      <c r="M206" s="824"/>
      <c r="N206"/>
    </row>
    <row r="207" spans="1:14" s="64" customFormat="1" ht="15" customHeight="1">
      <c r="A207" s="6" t="s">
        <v>0</v>
      </c>
      <c r="B207" s="6" t="s">
        <v>7</v>
      </c>
      <c r="C207" s="6" t="s">
        <v>13</v>
      </c>
      <c r="D207" s="6" t="s">
        <v>14</v>
      </c>
      <c r="E207" s="6" t="s">
        <v>8</v>
      </c>
      <c r="F207" s="6" t="s">
        <v>1</v>
      </c>
      <c r="G207" s="6" t="s">
        <v>2</v>
      </c>
      <c r="H207" s="6" t="s">
        <v>15</v>
      </c>
      <c r="I207" s="6" t="s">
        <v>3</v>
      </c>
      <c r="J207" s="6" t="s">
        <v>4</v>
      </c>
      <c r="K207" s="6" t="s">
        <v>5</v>
      </c>
      <c r="L207" s="6" t="s">
        <v>12</v>
      </c>
      <c r="M207" s="6" t="s">
        <v>6</v>
      </c>
      <c r="N207" s="10"/>
    </row>
    <row r="208" spans="1:14" s="64" customFormat="1" ht="15" customHeight="1">
      <c r="A208" s="120">
        <v>5813</v>
      </c>
      <c r="B208" s="120" t="s">
        <v>705</v>
      </c>
      <c r="C208" s="120" t="s">
        <v>121</v>
      </c>
      <c r="D208" s="120" t="s">
        <v>74</v>
      </c>
      <c r="E208" s="120" t="s">
        <v>706</v>
      </c>
      <c r="F208" s="99"/>
      <c r="G208" s="120" t="s">
        <v>250</v>
      </c>
      <c r="H208" s="79"/>
      <c r="I208" s="80"/>
      <c r="J208" s="81">
        <v>351</v>
      </c>
      <c r="K208" s="81">
        <f t="shared" ref="K208:K210" si="33">I208*J208</f>
        <v>0</v>
      </c>
      <c r="L208" s="2"/>
      <c r="M208" s="2"/>
      <c r="N208"/>
    </row>
    <row r="209" spans="1:14" s="64" customFormat="1" ht="15" customHeight="1">
      <c r="A209" s="3"/>
      <c r="B209" s="120"/>
      <c r="C209" s="120"/>
      <c r="D209" s="120"/>
      <c r="E209" s="120"/>
      <c r="F209" s="108"/>
      <c r="G209" s="83" t="s">
        <v>206</v>
      </c>
      <c r="H209" s="79"/>
      <c r="I209" s="81"/>
      <c r="J209" s="81">
        <v>375</v>
      </c>
      <c r="K209" s="81">
        <f t="shared" si="33"/>
        <v>0</v>
      </c>
      <c r="L209" s="2"/>
      <c r="M209" s="2"/>
      <c r="N209"/>
    </row>
    <row r="210" spans="1:14" s="64" customFormat="1" ht="15" customHeight="1">
      <c r="A210" s="3"/>
      <c r="B210" s="3"/>
      <c r="C210" s="3"/>
      <c r="D210" s="3"/>
      <c r="E210" s="3"/>
      <c r="F210" s="4"/>
      <c r="G210" s="173" t="s">
        <v>298</v>
      </c>
      <c r="H210" s="79"/>
      <c r="I210" s="80"/>
      <c r="J210" s="81">
        <v>435</v>
      </c>
      <c r="K210" s="94">
        <f t="shared" si="33"/>
        <v>0</v>
      </c>
      <c r="L210" s="2"/>
      <c r="M210" s="2"/>
      <c r="N210"/>
    </row>
    <row r="211" spans="1:14" s="64" customFormat="1" ht="15" customHeight="1">
      <c r="A211" s="3"/>
      <c r="B211" s="3"/>
      <c r="C211" s="3"/>
      <c r="D211" s="3"/>
      <c r="E211" s="6" t="s">
        <v>9</v>
      </c>
      <c r="F211" s="8">
        <f>SUM(F208:F208)</f>
        <v>0</v>
      </c>
      <c r="G211" s="6"/>
      <c r="H211" s="6"/>
      <c r="I211" s="5"/>
      <c r="J211" s="5"/>
      <c r="K211" s="7">
        <f>SUM(K208:K210)</f>
        <v>0</v>
      </c>
      <c r="L211" s="7" t="e">
        <f>K211/F211</f>
        <v>#DIV/0!</v>
      </c>
      <c r="M211" s="2"/>
      <c r="N211"/>
    </row>
    <row r="212" spans="1:14" s="64" customFormat="1" ht="15" customHeight="1">
      <c r="A212" s="120">
        <v>5813</v>
      </c>
      <c r="B212" s="120" t="s">
        <v>707</v>
      </c>
      <c r="C212" s="120" t="s">
        <v>121</v>
      </c>
      <c r="D212" s="120" t="s">
        <v>74</v>
      </c>
      <c r="E212" s="120" t="s">
        <v>706</v>
      </c>
      <c r="F212" s="99"/>
      <c r="G212" s="120" t="s">
        <v>250</v>
      </c>
      <c r="H212" s="79"/>
      <c r="I212" s="80"/>
      <c r="J212" s="81">
        <v>351</v>
      </c>
      <c r="K212" s="81">
        <f t="shared" ref="K212:K214" si="34">I212*J212</f>
        <v>0</v>
      </c>
      <c r="L212" s="2"/>
      <c r="M212" s="2"/>
      <c r="N212"/>
    </row>
    <row r="213" spans="1:14" s="64" customFormat="1" ht="15" customHeight="1">
      <c r="A213" s="3"/>
      <c r="B213" s="120"/>
      <c r="C213" s="120"/>
      <c r="D213" s="120"/>
      <c r="E213" s="120"/>
      <c r="F213" s="22"/>
      <c r="G213" s="83" t="s">
        <v>206</v>
      </c>
      <c r="H213" s="79"/>
      <c r="I213" s="81"/>
      <c r="J213" s="81">
        <v>375</v>
      </c>
      <c r="K213" s="81">
        <f t="shared" si="34"/>
        <v>0</v>
      </c>
      <c r="L213" s="2"/>
      <c r="M213" s="2"/>
      <c r="N213"/>
    </row>
    <row r="214" spans="1:14" s="64" customFormat="1" ht="15" customHeight="1">
      <c r="A214" s="3"/>
      <c r="B214" s="3"/>
      <c r="C214" s="3"/>
      <c r="D214" s="3"/>
      <c r="E214" s="3"/>
      <c r="F214" s="4"/>
      <c r="G214" s="173" t="s">
        <v>298</v>
      </c>
      <c r="H214" s="79"/>
      <c r="I214" s="80"/>
      <c r="J214" s="81">
        <v>435</v>
      </c>
      <c r="K214" s="94">
        <f t="shared" si="34"/>
        <v>0</v>
      </c>
      <c r="L214" s="2"/>
      <c r="M214" s="2"/>
      <c r="N214"/>
    </row>
    <row r="215" spans="1:14" s="64" customFormat="1" ht="15" customHeight="1">
      <c r="A215" s="3"/>
      <c r="B215" s="3"/>
      <c r="C215" s="3"/>
      <c r="D215" s="3"/>
      <c r="E215" s="6" t="s">
        <v>9</v>
      </c>
      <c r="F215" s="8">
        <f>SUM(F212:F213)</f>
        <v>0</v>
      </c>
      <c r="G215" s="6"/>
      <c r="H215" s="6"/>
      <c r="I215" s="5"/>
      <c r="J215" s="5"/>
      <c r="K215" s="7">
        <f>SUM(K212:K214)</f>
        <v>0</v>
      </c>
      <c r="L215" s="7" t="e">
        <f>K215/F215</f>
        <v>#DIV/0!</v>
      </c>
      <c r="M215" s="2"/>
      <c r="N215"/>
    </row>
    <row r="216" spans="1:14" s="64" customFormat="1" ht="15" customHeight="1">
      <c r="A216" s="120">
        <v>5814</v>
      </c>
      <c r="B216" s="120" t="s">
        <v>669</v>
      </c>
      <c r="C216" s="120" t="s">
        <v>121</v>
      </c>
      <c r="D216" s="120" t="s">
        <v>290</v>
      </c>
      <c r="E216" s="120" t="s">
        <v>670</v>
      </c>
      <c r="F216" s="87"/>
      <c r="G216" s="120" t="s">
        <v>202</v>
      </c>
      <c r="H216" s="79"/>
      <c r="I216" s="188"/>
      <c r="J216" s="103">
        <v>386</v>
      </c>
      <c r="K216" s="81">
        <f t="shared" ref="K216:K218" si="35">I216*J216</f>
        <v>0</v>
      </c>
      <c r="L216" s="79"/>
      <c r="M216" s="2"/>
      <c r="N216"/>
    </row>
    <row r="217" spans="1:14" s="64" customFormat="1" ht="15" customHeight="1">
      <c r="A217" s="120"/>
      <c r="B217" s="3"/>
      <c r="C217" s="3"/>
      <c r="D217" s="3"/>
      <c r="E217" s="3"/>
      <c r="F217" s="4"/>
      <c r="G217" s="83" t="s">
        <v>512</v>
      </c>
      <c r="H217" s="79"/>
      <c r="I217" s="188"/>
      <c r="J217" s="81">
        <v>248</v>
      </c>
      <c r="K217" s="81">
        <f t="shared" si="35"/>
        <v>0</v>
      </c>
      <c r="L217" s="102"/>
      <c r="M217" s="2"/>
      <c r="N217"/>
    </row>
    <row r="218" spans="1:14" s="64" customFormat="1" ht="15" customHeight="1">
      <c r="A218" s="3"/>
      <c r="B218" s="3"/>
      <c r="C218" s="3"/>
      <c r="D218" s="3"/>
      <c r="E218" s="3"/>
      <c r="F218" s="4"/>
      <c r="G218" s="120" t="s">
        <v>250</v>
      </c>
      <c r="H218" s="79"/>
      <c r="I218" s="80"/>
      <c r="J218" s="81">
        <v>351</v>
      </c>
      <c r="K218" s="81">
        <f t="shared" si="35"/>
        <v>0</v>
      </c>
      <c r="L218" s="2"/>
      <c r="M218" s="2"/>
      <c r="N218"/>
    </row>
    <row r="219" spans="1:14" s="71" customFormat="1" ht="15" customHeight="1">
      <c r="A219" s="85"/>
      <c r="B219" s="85"/>
      <c r="C219" s="85"/>
      <c r="D219" s="85"/>
      <c r="E219" s="274" t="s">
        <v>9</v>
      </c>
      <c r="F219" s="110">
        <f>SUM(F216:F217)</f>
        <v>0</v>
      </c>
      <c r="G219" s="274"/>
      <c r="H219" s="274"/>
      <c r="I219" s="97"/>
      <c r="J219" s="97"/>
      <c r="K219" s="111">
        <f>SUM(K216:K218)</f>
        <v>0</v>
      </c>
      <c r="L219" s="111" t="e">
        <f>K219/F219</f>
        <v>#DIV/0!</v>
      </c>
      <c r="M219" s="102"/>
    </row>
    <row r="220" spans="1:14" s="71" customFormat="1" ht="15" customHeight="1">
      <c r="D220" s="126" t="s">
        <v>30</v>
      </c>
      <c r="E220" s="126"/>
      <c r="F220" s="127">
        <f>F211+F215+F219</f>
        <v>0</v>
      </c>
      <c r="G220" s="128"/>
      <c r="H220" s="128"/>
      <c r="I220" s="128"/>
      <c r="J220" s="128"/>
      <c r="K220" s="127">
        <f>K211+K215+K219</f>
        <v>0</v>
      </c>
      <c r="L220" s="129" t="e">
        <f>K220/F220</f>
        <v>#DIV/0!</v>
      </c>
    </row>
    <row r="221" spans="1:14" s="71" customFormat="1" ht="15" customHeight="1"/>
    <row r="222" spans="1:14" s="64" customFormat="1" ht="15" customHeight="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</row>
    <row r="223" spans="1:14" s="64" customFormat="1" ht="15" customHeigh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</row>
    <row r="224" spans="1:14" s="64" customFormat="1" ht="15" customHeigh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</row>
    <row r="225" spans="1:14" s="64" customFormat="1" ht="15" customHeigh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</row>
    <row r="226" spans="1:14" s="64" customFormat="1" ht="15" customHeigh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</row>
    <row r="227" spans="1:14" s="64" customFormat="1" ht="15" customHeigh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</row>
    <row r="228" spans="1:14" s="64" customFormat="1" ht="15" customHeigh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 spans="1:14" s="64" customFormat="1" ht="15" customHeigh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 spans="1:14" s="64" customFormat="1" ht="15" customHeigh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 spans="1:14" s="64" customFormat="1" ht="15" customHeigh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 s="64" customFormat="1" ht="15" customHeight="1">
      <c r="A232"/>
      <c r="B232" s="49" t="s">
        <v>63</v>
      </c>
      <c r="C232" s="49"/>
      <c r="D232" s="49" t="s">
        <v>64</v>
      </c>
      <c r="E232" s="825" t="s">
        <v>65</v>
      </c>
      <c r="F232" s="825"/>
      <c r="G232" s="69" t="s">
        <v>66</v>
      </c>
      <c r="H232" s="49"/>
      <c r="I232" s="69" t="s">
        <v>67</v>
      </c>
      <c r="J232" s="49"/>
      <c r="K232" s="825" t="s">
        <v>68</v>
      </c>
      <c r="L232" s="825"/>
      <c r="M232"/>
      <c r="N232"/>
    </row>
    <row r="233" spans="1:14" s="64" customFormat="1" ht="15" customHeight="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1:14" s="64" customFormat="1" ht="15" customHeight="1">
      <c r="A234" s="1" t="s">
        <v>42</v>
      </c>
      <c r="B234" s="1"/>
      <c r="C234" s="1"/>
      <c r="D234" s="1"/>
      <c r="E234" s="1"/>
      <c r="F234"/>
      <c r="G234"/>
      <c r="H234"/>
      <c r="I234"/>
      <c r="J234"/>
      <c r="K234" s="824" t="s">
        <v>403</v>
      </c>
      <c r="L234" s="824"/>
      <c r="M234" s="824"/>
      <c r="N234"/>
    </row>
    <row r="235" spans="1:14" s="64" customFormat="1" ht="15" customHeight="1">
      <c r="A235" s="6" t="s">
        <v>0</v>
      </c>
      <c r="B235" s="6" t="s">
        <v>7</v>
      </c>
      <c r="C235" s="6" t="s">
        <v>13</v>
      </c>
      <c r="D235" s="6" t="s">
        <v>14</v>
      </c>
      <c r="E235" s="6" t="s">
        <v>8</v>
      </c>
      <c r="F235" s="6" t="s">
        <v>1</v>
      </c>
      <c r="G235" s="6" t="s">
        <v>2</v>
      </c>
      <c r="H235" s="6" t="s">
        <v>15</v>
      </c>
      <c r="I235" s="6" t="s">
        <v>3</v>
      </c>
      <c r="J235" s="6" t="s">
        <v>4</v>
      </c>
      <c r="K235" s="6" t="s">
        <v>5</v>
      </c>
      <c r="L235" s="6" t="s">
        <v>12</v>
      </c>
      <c r="M235" s="6" t="s">
        <v>6</v>
      </c>
      <c r="N235" s="10"/>
    </row>
    <row r="236" spans="1:14" s="64" customFormat="1" ht="15" customHeight="1">
      <c r="A236" s="120">
        <v>4827</v>
      </c>
      <c r="B236" s="120" t="s">
        <v>218</v>
      </c>
      <c r="C236" s="120" t="s">
        <v>280</v>
      </c>
      <c r="D236" s="120" t="s">
        <v>708</v>
      </c>
      <c r="E236" s="120" t="s">
        <v>93</v>
      </c>
      <c r="F236" s="90"/>
      <c r="G236" s="91" t="s">
        <v>209</v>
      </c>
      <c r="H236" s="79"/>
      <c r="I236" s="80"/>
      <c r="J236" s="81">
        <v>350</v>
      </c>
      <c r="K236" s="81">
        <f t="shared" ref="K236" si="36">I236*J236</f>
        <v>0</v>
      </c>
      <c r="L236" s="2"/>
      <c r="M236" s="2"/>
      <c r="N236"/>
    </row>
    <row r="237" spans="1:14" s="64" customFormat="1" ht="15" customHeight="1">
      <c r="A237" s="3"/>
      <c r="B237" s="120"/>
      <c r="C237" s="120"/>
      <c r="D237" s="120"/>
      <c r="E237" s="120"/>
      <c r="F237" s="120"/>
      <c r="G237" s="91" t="s">
        <v>210</v>
      </c>
      <c r="H237" s="109"/>
      <c r="I237" s="80"/>
      <c r="J237" s="81">
        <v>690</v>
      </c>
      <c r="K237" s="81">
        <f t="shared" ref="K237:K238" si="37">I237*J237</f>
        <v>0</v>
      </c>
      <c r="L237" s="2"/>
      <c r="M237" s="2"/>
      <c r="N237"/>
    </row>
    <row r="238" spans="1:14" s="64" customFormat="1" ht="15" customHeight="1">
      <c r="A238" s="3"/>
      <c r="B238" s="120"/>
      <c r="C238" s="120"/>
      <c r="D238" s="120"/>
      <c r="E238" s="120"/>
      <c r="F238" s="120"/>
      <c r="G238" s="120" t="s">
        <v>80</v>
      </c>
      <c r="H238" s="79"/>
      <c r="I238" s="80"/>
      <c r="J238" s="81">
        <v>720</v>
      </c>
      <c r="K238" s="81">
        <f t="shared" si="37"/>
        <v>0</v>
      </c>
      <c r="L238" s="2"/>
      <c r="M238" s="2"/>
      <c r="N238"/>
    </row>
    <row r="239" spans="1:14" s="64" customFormat="1" ht="15" customHeight="1">
      <c r="A239" s="3"/>
      <c r="B239" s="3"/>
      <c r="C239" s="3"/>
      <c r="D239" s="3"/>
      <c r="E239" s="3"/>
      <c r="F239" s="4"/>
      <c r="G239" s="83" t="s">
        <v>211</v>
      </c>
      <c r="H239" s="79"/>
      <c r="I239" s="80"/>
      <c r="J239" s="81">
        <v>120</v>
      </c>
      <c r="K239" s="81">
        <f>I239*J239</f>
        <v>0</v>
      </c>
      <c r="L239" s="2"/>
      <c r="M239" s="2"/>
      <c r="N239"/>
    </row>
    <row r="240" spans="1:14" s="64" customFormat="1" ht="15" customHeight="1">
      <c r="A240" s="3"/>
      <c r="B240" s="3"/>
      <c r="C240" s="3"/>
      <c r="D240" s="3"/>
      <c r="E240" s="3"/>
      <c r="F240" s="4"/>
      <c r="G240" s="83" t="s">
        <v>212</v>
      </c>
      <c r="H240" s="79"/>
      <c r="I240" s="80"/>
      <c r="J240" s="81">
        <v>280</v>
      </c>
      <c r="K240" s="81">
        <f t="shared" ref="K240:K242" si="38">I240*J240</f>
        <v>0</v>
      </c>
      <c r="L240" s="2"/>
      <c r="M240" s="2"/>
      <c r="N240"/>
    </row>
    <row r="241" spans="1:14" s="64" customFormat="1" ht="15" customHeight="1">
      <c r="A241" s="3"/>
      <c r="B241" s="3"/>
      <c r="C241" s="3"/>
      <c r="D241" s="3"/>
      <c r="E241" s="6"/>
      <c r="F241" s="8"/>
      <c r="G241" s="83" t="s">
        <v>213</v>
      </c>
      <c r="H241" s="79"/>
      <c r="I241" s="80"/>
      <c r="J241" s="81">
        <v>348</v>
      </c>
      <c r="K241" s="81">
        <f t="shared" si="38"/>
        <v>0</v>
      </c>
      <c r="L241" s="2"/>
      <c r="M241" s="2"/>
      <c r="N241"/>
    </row>
    <row r="242" spans="1:14" s="64" customFormat="1" ht="15" customHeight="1">
      <c r="A242" s="3"/>
      <c r="B242" s="3"/>
      <c r="C242" s="3"/>
      <c r="D242" s="3"/>
      <c r="E242" s="3"/>
      <c r="F242" s="4"/>
      <c r="G242" s="83" t="s">
        <v>45</v>
      </c>
      <c r="H242" s="79"/>
      <c r="I242" s="80"/>
      <c r="J242" s="81">
        <v>45</v>
      </c>
      <c r="K242" s="81">
        <f t="shared" si="38"/>
        <v>0</v>
      </c>
      <c r="L242" s="2"/>
      <c r="M242" s="2"/>
      <c r="N242"/>
    </row>
    <row r="243" spans="1:14" s="64" customFormat="1" ht="15" customHeight="1">
      <c r="A243" s="3"/>
      <c r="B243" s="3"/>
      <c r="C243" s="3"/>
      <c r="D243" s="3"/>
      <c r="E243" s="6" t="s">
        <v>9</v>
      </c>
      <c r="F243" s="8">
        <f>SUM(F236:F242)</f>
        <v>0</v>
      </c>
      <c r="G243" s="6"/>
      <c r="H243" s="6"/>
      <c r="I243" s="5"/>
      <c r="J243" s="5"/>
      <c r="K243" s="7">
        <f>SUM(K236:K242)</f>
        <v>0</v>
      </c>
      <c r="L243" s="7" t="e">
        <f>K243/F243</f>
        <v>#DIV/0!</v>
      </c>
      <c r="M243" s="2"/>
      <c r="N243"/>
    </row>
    <row r="244" spans="1:14" s="64" customFormat="1" ht="15" customHeight="1">
      <c r="A244" s="120">
        <v>4828</v>
      </c>
      <c r="B244" s="120" t="s">
        <v>293</v>
      </c>
      <c r="C244" s="120" t="s">
        <v>709</v>
      </c>
      <c r="D244" s="120" t="s">
        <v>539</v>
      </c>
      <c r="E244" s="120" t="s">
        <v>93</v>
      </c>
      <c r="F244" s="90"/>
      <c r="G244" s="91" t="s">
        <v>209</v>
      </c>
      <c r="H244" s="79"/>
      <c r="I244" s="80"/>
      <c r="J244" s="81">
        <v>350</v>
      </c>
      <c r="K244" s="81">
        <f t="shared" ref="K244" si="39">I244*J244</f>
        <v>0</v>
      </c>
      <c r="L244" s="79"/>
      <c r="M244" s="2"/>
      <c r="N244"/>
    </row>
    <row r="245" spans="1:14" s="64" customFormat="1" ht="15" customHeight="1">
      <c r="A245" s="3"/>
      <c r="B245" s="120"/>
      <c r="C245" s="120"/>
      <c r="D245" s="120"/>
      <c r="E245" s="120"/>
      <c r="F245" s="87"/>
      <c r="G245" s="91" t="s">
        <v>215</v>
      </c>
      <c r="H245" s="79"/>
      <c r="I245" s="80"/>
      <c r="J245" s="81">
        <v>750</v>
      </c>
      <c r="K245" s="81">
        <f>I245*J245</f>
        <v>0</v>
      </c>
      <c r="L245" s="79"/>
      <c r="M245" s="2"/>
      <c r="N245"/>
    </row>
    <row r="246" spans="1:14" s="28" customFormat="1" ht="15" customHeight="1">
      <c r="A246" s="3"/>
      <c r="B246" s="120"/>
      <c r="C246" s="120"/>
      <c r="D246" s="120"/>
      <c r="E246" s="220"/>
      <c r="F246" s="108"/>
      <c r="G246" s="83" t="s">
        <v>211</v>
      </c>
      <c r="H246" s="79"/>
      <c r="I246" s="80"/>
      <c r="J246" s="81">
        <v>120</v>
      </c>
      <c r="K246" s="81">
        <f>I246*J246</f>
        <v>0</v>
      </c>
      <c r="L246" s="79"/>
      <c r="M246" s="2"/>
      <c r="N246"/>
    </row>
    <row r="247" spans="1:14" s="28" customFormat="1" ht="15" customHeight="1">
      <c r="A247" s="3"/>
      <c r="B247" s="120"/>
      <c r="C247" s="120"/>
      <c r="D247" s="120"/>
      <c r="E247" s="220"/>
      <c r="F247" s="108"/>
      <c r="G247" s="83" t="s">
        <v>212</v>
      </c>
      <c r="H247" s="79"/>
      <c r="I247" s="80"/>
      <c r="J247" s="81">
        <v>280</v>
      </c>
      <c r="K247" s="81">
        <f t="shared" ref="K247:K249" si="40">I247*J247</f>
        <v>0</v>
      </c>
      <c r="L247" s="79"/>
      <c r="M247" s="2"/>
      <c r="N247"/>
    </row>
    <row r="248" spans="1:14" s="28" customFormat="1" ht="15" customHeight="1">
      <c r="A248" s="3"/>
      <c r="B248" s="120"/>
      <c r="C248" s="120"/>
      <c r="D248" s="120"/>
      <c r="E248" s="220"/>
      <c r="F248" s="108"/>
      <c r="G248" s="83" t="s">
        <v>213</v>
      </c>
      <c r="H248" s="79"/>
      <c r="I248" s="80"/>
      <c r="J248" s="81">
        <v>348</v>
      </c>
      <c r="K248" s="81">
        <f t="shared" si="40"/>
        <v>0</v>
      </c>
      <c r="L248" s="79"/>
      <c r="M248" s="2"/>
      <c r="N248"/>
    </row>
    <row r="249" spans="1:14" s="28" customFormat="1" ht="15" customHeight="1">
      <c r="A249" s="3"/>
      <c r="B249" s="120"/>
      <c r="C249" s="120"/>
      <c r="D249" s="120"/>
      <c r="E249" s="220"/>
      <c r="F249" s="108"/>
      <c r="G249" s="83" t="s">
        <v>45</v>
      </c>
      <c r="H249" s="79"/>
      <c r="I249" s="80"/>
      <c r="J249" s="81">
        <v>45</v>
      </c>
      <c r="K249" s="81">
        <f t="shared" si="40"/>
        <v>0</v>
      </c>
      <c r="L249" s="79"/>
      <c r="M249" s="2"/>
      <c r="N249"/>
    </row>
    <row r="250" spans="1:14" s="28" customFormat="1" ht="15" customHeight="1">
      <c r="A250" s="3"/>
      <c r="B250" s="120"/>
      <c r="C250" s="120"/>
      <c r="D250" s="120"/>
      <c r="E250" s="220"/>
      <c r="F250" s="108"/>
      <c r="G250" s="83" t="s">
        <v>214</v>
      </c>
      <c r="H250" s="79"/>
      <c r="I250" s="80"/>
      <c r="J250" s="81">
        <v>360</v>
      </c>
      <c r="K250" s="81">
        <f t="shared" ref="K250" si="41">I250*J250</f>
        <v>0</v>
      </c>
      <c r="L250" s="79"/>
      <c r="M250" s="2"/>
      <c r="N250"/>
    </row>
    <row r="251" spans="1:14" s="28" customFormat="1" ht="15" customHeight="1">
      <c r="A251" s="3"/>
      <c r="B251" s="120"/>
      <c r="C251" s="120"/>
      <c r="D251" s="120"/>
      <c r="E251" s="6" t="s">
        <v>9</v>
      </c>
      <c r="F251" s="8">
        <f>SUM(F244:F250)</f>
        <v>0</v>
      </c>
      <c r="G251" s="6"/>
      <c r="H251" s="6"/>
      <c r="I251" s="5"/>
      <c r="J251" s="5"/>
      <c r="K251" s="7">
        <f>SUM(K244:K250)</f>
        <v>0</v>
      </c>
      <c r="L251" s="7" t="e">
        <f>K251/F251</f>
        <v>#DIV/0!</v>
      </c>
      <c r="M251" s="2"/>
      <c r="N251"/>
    </row>
    <row r="252" spans="1:14" s="28" customFormat="1" ht="15" customHeight="1">
      <c r="A252" s="120">
        <v>4830</v>
      </c>
      <c r="B252" s="120" t="s">
        <v>710</v>
      </c>
      <c r="C252" s="120" t="s">
        <v>711</v>
      </c>
      <c r="D252" s="120" t="s">
        <v>384</v>
      </c>
      <c r="E252" s="120" t="s">
        <v>93</v>
      </c>
      <c r="F252" s="90"/>
      <c r="G252" s="91" t="s">
        <v>209</v>
      </c>
      <c r="H252" s="79"/>
      <c r="I252" s="80"/>
      <c r="J252" s="81">
        <v>350</v>
      </c>
      <c r="K252" s="81">
        <f t="shared" ref="K252" si="42">I252*J252</f>
        <v>0</v>
      </c>
      <c r="L252" s="79"/>
      <c r="M252" s="2"/>
      <c r="N252"/>
    </row>
    <row r="253" spans="1:14" s="28" customFormat="1" ht="15" customHeight="1">
      <c r="A253" s="3"/>
      <c r="B253" s="120"/>
      <c r="C253" s="120"/>
      <c r="D253" s="120"/>
      <c r="E253" s="273"/>
      <c r="F253" s="108"/>
      <c r="G253" s="91" t="s">
        <v>215</v>
      </c>
      <c r="H253" s="79"/>
      <c r="I253" s="80"/>
      <c r="J253" s="81">
        <v>750</v>
      </c>
      <c r="K253" s="81">
        <f>I253*J253</f>
        <v>0</v>
      </c>
      <c r="L253" s="79"/>
      <c r="M253" s="2"/>
      <c r="N253"/>
    </row>
    <row r="254" spans="1:14" s="28" customFormat="1" ht="15" customHeight="1">
      <c r="A254" s="3"/>
      <c r="B254" s="120"/>
      <c r="C254" s="120"/>
      <c r="D254" s="120"/>
      <c r="E254" s="273"/>
      <c r="F254" s="108"/>
      <c r="G254" s="91" t="s">
        <v>221</v>
      </c>
      <c r="H254" s="112"/>
      <c r="I254" s="113"/>
      <c r="J254" s="81">
        <v>980</v>
      </c>
      <c r="K254" s="81">
        <f t="shared" ref="K254" si="43">I254*J254</f>
        <v>0</v>
      </c>
      <c r="L254" s="79"/>
      <c r="M254" s="2"/>
      <c r="N254"/>
    </row>
    <row r="255" spans="1:14" s="28" customFormat="1" ht="15" customHeight="1">
      <c r="A255" s="3"/>
      <c r="B255" s="120"/>
      <c r="C255" s="120"/>
      <c r="D255" s="120"/>
      <c r="E255" s="273"/>
      <c r="F255" s="108"/>
      <c r="G255" s="83" t="s">
        <v>211</v>
      </c>
      <c r="H255" s="79"/>
      <c r="I255" s="80"/>
      <c r="J255" s="81">
        <v>120</v>
      </c>
      <c r="K255" s="81">
        <f>I255*J255</f>
        <v>0</v>
      </c>
      <c r="L255" s="79"/>
      <c r="M255" s="2"/>
      <c r="N255"/>
    </row>
    <row r="256" spans="1:14" s="28" customFormat="1" ht="15" customHeight="1">
      <c r="A256" s="3"/>
      <c r="B256" s="120"/>
      <c r="C256" s="120"/>
      <c r="D256" s="120"/>
      <c r="E256" s="273"/>
      <c r="F256" s="108"/>
      <c r="G256" s="83" t="s">
        <v>212</v>
      </c>
      <c r="H256" s="79"/>
      <c r="I256" s="80"/>
      <c r="J256" s="81">
        <v>280</v>
      </c>
      <c r="K256" s="81">
        <f t="shared" ref="K256:K259" si="44">I256*J256</f>
        <v>0</v>
      </c>
      <c r="L256" s="79"/>
      <c r="M256" s="2"/>
      <c r="N256"/>
    </row>
    <row r="257" spans="1:14" s="28" customFormat="1" ht="15" customHeight="1">
      <c r="A257" s="3"/>
      <c r="B257" s="120"/>
      <c r="C257" s="120"/>
      <c r="D257" s="120"/>
      <c r="E257" s="273"/>
      <c r="F257" s="108"/>
      <c r="G257" s="83" t="s">
        <v>213</v>
      </c>
      <c r="H257" s="79"/>
      <c r="I257" s="80"/>
      <c r="J257" s="81">
        <v>348</v>
      </c>
      <c r="K257" s="81">
        <f t="shared" si="44"/>
        <v>0</v>
      </c>
      <c r="L257" s="79"/>
      <c r="M257" s="2"/>
      <c r="N257"/>
    </row>
    <row r="258" spans="1:14" s="28" customFormat="1" ht="15" customHeight="1">
      <c r="A258" s="3"/>
      <c r="B258" s="120"/>
      <c r="C258" s="120"/>
      <c r="D258" s="120"/>
      <c r="E258" s="273"/>
      <c r="F258" s="108"/>
      <c r="G258" s="83" t="s">
        <v>45</v>
      </c>
      <c r="H258" s="79"/>
      <c r="I258" s="80"/>
      <c r="J258" s="81">
        <v>45</v>
      </c>
      <c r="K258" s="81">
        <f t="shared" si="44"/>
        <v>0</v>
      </c>
      <c r="L258" s="79"/>
      <c r="M258" s="2"/>
      <c r="N258"/>
    </row>
    <row r="259" spans="1:14" s="28" customFormat="1" ht="15" customHeight="1">
      <c r="A259" s="3"/>
      <c r="B259" s="120"/>
      <c r="C259" s="120"/>
      <c r="D259" s="120"/>
      <c r="E259" s="273"/>
      <c r="F259" s="108"/>
      <c r="G259" s="83" t="s">
        <v>214</v>
      </c>
      <c r="H259" s="79"/>
      <c r="I259" s="80"/>
      <c r="J259" s="81">
        <v>360</v>
      </c>
      <c r="K259" s="81">
        <f t="shared" si="44"/>
        <v>0</v>
      </c>
      <c r="L259" s="79"/>
      <c r="M259" s="2"/>
      <c r="N259"/>
    </row>
    <row r="260" spans="1:14" s="28" customFormat="1" ht="15" customHeight="1">
      <c r="A260" s="3"/>
      <c r="B260" s="3"/>
      <c r="C260" s="3"/>
      <c r="D260" s="3"/>
      <c r="E260" s="6" t="s">
        <v>9</v>
      </c>
      <c r="F260" s="8">
        <f>SUM(F252:F259)</f>
        <v>0</v>
      </c>
      <c r="G260" s="6"/>
      <c r="H260" s="6"/>
      <c r="I260" s="5"/>
      <c r="J260" s="5"/>
      <c r="K260" s="7">
        <f>SUM(K252:K259)</f>
        <v>0</v>
      </c>
      <c r="L260" s="60" t="e">
        <f>K260/F260</f>
        <v>#DIV/0!</v>
      </c>
      <c r="M260" s="121"/>
      <c r="N260"/>
    </row>
    <row r="261" spans="1:14" s="28" customFormat="1" ht="15" customHeight="1">
      <c r="A261"/>
      <c r="B261"/>
      <c r="C261"/>
      <c r="D261" s="23" t="s">
        <v>30</v>
      </c>
      <c r="E261" s="23"/>
      <c r="F261" s="50">
        <f>F243+F251+F260</f>
        <v>0</v>
      </c>
      <c r="G261" s="51"/>
      <c r="H261" s="51"/>
      <c r="I261" s="51"/>
      <c r="J261" s="51"/>
      <c r="K261" s="50">
        <f>K243+K251+K260</f>
        <v>0</v>
      </c>
      <c r="L261" s="52" t="e">
        <f>K261/F261</f>
        <v>#DIV/0!</v>
      </c>
      <c r="M261"/>
      <c r="N261"/>
    </row>
    <row r="262" spans="1:14" s="71" customFormat="1" ht="15" customHeight="1"/>
    <row r="263" spans="1:14" ht="15" customHeight="1"/>
    <row r="264" spans="1:14" ht="15" customHeight="1">
      <c r="B264" s="28"/>
      <c r="C264" s="28"/>
      <c r="D264" s="133" t="s">
        <v>1009</v>
      </c>
      <c r="E264" s="405">
        <f>F185+F261</f>
        <v>0</v>
      </c>
      <c r="F264" s="133"/>
      <c r="G264" s="134">
        <f>K80+K96+K121+K126+K185+K204+K216+K261</f>
        <v>0</v>
      </c>
      <c r="H264" s="135"/>
      <c r="I264" s="135"/>
      <c r="J264" s="135"/>
      <c r="K264" s="135"/>
      <c r="L264" s="134" t="e">
        <f>G264/E264</f>
        <v>#DIV/0!</v>
      </c>
    </row>
    <row r="265" spans="1:14" ht="15" customHeight="1">
      <c r="B265" s="28"/>
      <c r="C265" s="28"/>
      <c r="D265" s="109" t="s">
        <v>855</v>
      </c>
      <c r="E265" s="406"/>
      <c r="F265" s="109"/>
      <c r="G265" s="359">
        <f>K261</f>
        <v>0</v>
      </c>
      <c r="H265" s="370"/>
      <c r="I265" s="359">
        <f>'01'!G215+'02'!G262+'03'!G355+'04'!G265</f>
        <v>0</v>
      </c>
      <c r="J265" s="416">
        <f>G265+M278</f>
        <v>0</v>
      </c>
      <c r="K265" s="360"/>
      <c r="L265" s="396"/>
    </row>
    <row r="266" spans="1:14" ht="15" customHeight="1">
      <c r="B266" s="28"/>
      <c r="C266" s="28"/>
      <c r="D266" s="323" t="s">
        <v>854</v>
      </c>
      <c r="E266" s="361"/>
      <c r="F266" s="323"/>
      <c r="G266" s="397">
        <f>G264-G265</f>
        <v>0</v>
      </c>
      <c r="H266" s="398"/>
      <c r="I266" s="399">
        <f>'01'!G216+'02'!G263+'03'!G356+'04'!G266</f>
        <v>0</v>
      </c>
      <c r="J266" s="400"/>
      <c r="K266" s="400"/>
      <c r="L266" s="401"/>
    </row>
    <row r="267" spans="1:14" ht="15" customHeight="1">
      <c r="B267" s="28"/>
      <c r="C267" s="28"/>
      <c r="D267" s="109" t="s">
        <v>853</v>
      </c>
      <c r="E267" s="407"/>
      <c r="F267" s="109"/>
      <c r="G267" s="410">
        <f>SUM(G265:G266)</f>
        <v>0</v>
      </c>
      <c r="H267" s="402"/>
      <c r="I267" s="403">
        <f>'01'!G214+'02'!G261+'03'!G354+'04'!G264</f>
        <v>0</v>
      </c>
      <c r="J267" s="402"/>
      <c r="K267" s="402"/>
      <c r="L267" s="404" t="e">
        <f>G267/E264</f>
        <v>#DIV/0!</v>
      </c>
    </row>
    <row r="268" spans="1:14" ht="15" customHeight="1">
      <c r="B268" s="28"/>
      <c r="C268" s="28"/>
      <c r="D268" s="395" t="s">
        <v>906</v>
      </c>
      <c r="E268" s="408"/>
      <c r="F268" s="109"/>
      <c r="G268" s="409">
        <f>M278</f>
        <v>0</v>
      </c>
      <c r="H268" s="392"/>
      <c r="I268" s="391"/>
      <c r="J268" s="391"/>
      <c r="K268" s="393"/>
    </row>
    <row r="269" spans="1:14" ht="15" customHeight="1">
      <c r="B269" s="28"/>
      <c r="C269" s="28"/>
      <c r="D269" s="29"/>
      <c r="E269" s="29"/>
      <c r="F269" s="29"/>
      <c r="G269" s="29"/>
      <c r="H269" s="30"/>
      <c r="I269" s="29"/>
      <c r="J269" s="29"/>
      <c r="K269" s="29"/>
      <c r="L269" s="29"/>
    </row>
    <row r="270" spans="1:14" ht="15" customHeight="1">
      <c r="B270" s="28"/>
      <c r="C270" s="28"/>
      <c r="D270" s="829" t="s">
        <v>852</v>
      </c>
      <c r="E270" s="829"/>
      <c r="F270" s="357">
        <f>G290</f>
        <v>0</v>
      </c>
      <c r="G270" s="29"/>
      <c r="H270" s="500" t="s">
        <v>908</v>
      </c>
      <c r="I270" s="830" t="s">
        <v>199</v>
      </c>
      <c r="J270" s="831"/>
      <c r="K270" s="80"/>
      <c r="L270" s="81">
        <v>530</v>
      </c>
      <c r="M270" s="81">
        <f t="shared" ref="M270:M275" si="45">K270*L270</f>
        <v>0</v>
      </c>
    </row>
    <row r="271" spans="1:14" ht="15" customHeight="1">
      <c r="B271" s="28"/>
      <c r="C271" s="28"/>
      <c r="D271" s="829" t="s">
        <v>835</v>
      </c>
      <c r="E271" s="829"/>
      <c r="F271" s="357">
        <f>G276+G277</f>
        <v>0</v>
      </c>
      <c r="G271" s="29"/>
      <c r="H271" s="500" t="s">
        <v>909</v>
      </c>
      <c r="I271" s="830" t="s">
        <v>196</v>
      </c>
      <c r="J271" s="831"/>
      <c r="K271" s="80"/>
      <c r="L271" s="81">
        <v>888</v>
      </c>
      <c r="M271" s="81">
        <f t="shared" si="45"/>
        <v>0</v>
      </c>
    </row>
    <row r="272" spans="1:14" ht="15" customHeight="1">
      <c r="B272" s="28"/>
      <c r="C272" s="28"/>
      <c r="D272" s="829" t="s">
        <v>836</v>
      </c>
      <c r="E272" s="829"/>
      <c r="F272" s="357">
        <f>SUM(F270:F271)</f>
        <v>0</v>
      </c>
      <c r="G272" s="29"/>
      <c r="H272" s="500" t="s">
        <v>910</v>
      </c>
      <c r="I272" s="830" t="s">
        <v>192</v>
      </c>
      <c r="J272" s="831"/>
      <c r="K272" s="80"/>
      <c r="L272" s="81">
        <v>1126</v>
      </c>
      <c r="M272" s="81">
        <f t="shared" si="45"/>
        <v>0</v>
      </c>
    </row>
    <row r="273" spans="1:13" ht="15" customHeight="1">
      <c r="B273" s="28"/>
      <c r="C273" s="28"/>
      <c r="D273" s="799" t="s">
        <v>847</v>
      </c>
      <c r="E273" s="799"/>
      <c r="F273" s="357">
        <f>F270-G266</f>
        <v>0</v>
      </c>
      <c r="G273" s="29"/>
      <c r="H273" s="500" t="s">
        <v>908</v>
      </c>
      <c r="I273" s="832" t="s">
        <v>460</v>
      </c>
      <c r="J273" s="833"/>
      <c r="K273" s="80"/>
      <c r="L273" s="81">
        <v>920</v>
      </c>
      <c r="M273" s="81">
        <f t="shared" si="45"/>
        <v>0</v>
      </c>
    </row>
    <row r="274" spans="1:13" ht="15" customHeight="1">
      <c r="B274" s="28"/>
      <c r="C274" s="28"/>
      <c r="D274" s="29"/>
      <c r="E274" s="29"/>
      <c r="F274" s="29"/>
      <c r="G274" s="29"/>
      <c r="H274" s="500" t="s">
        <v>912</v>
      </c>
      <c r="I274" s="834" t="s">
        <v>315</v>
      </c>
      <c r="J274" s="835"/>
      <c r="K274" s="80"/>
      <c r="L274" s="81">
        <v>2184</v>
      </c>
      <c r="M274" s="81">
        <f t="shared" si="45"/>
        <v>0</v>
      </c>
    </row>
    <row r="275" spans="1:13" ht="15" customHeight="1">
      <c r="B275" s="836" t="s">
        <v>833</v>
      </c>
      <c r="C275" s="837"/>
      <c r="D275" s="805" t="s">
        <v>844</v>
      </c>
      <c r="E275" s="805" t="s">
        <v>845</v>
      </c>
      <c r="F275" s="805" t="s">
        <v>846</v>
      </c>
      <c r="G275" s="805" t="s">
        <v>5</v>
      </c>
      <c r="H275" s="500" t="s">
        <v>911</v>
      </c>
      <c r="I275" s="830" t="s">
        <v>286</v>
      </c>
      <c r="J275" s="831"/>
      <c r="K275" s="80"/>
      <c r="L275" s="81">
        <v>2065</v>
      </c>
      <c r="M275" s="81">
        <f t="shared" si="45"/>
        <v>0</v>
      </c>
    </row>
    <row r="276" spans="1:13" ht="15" customHeight="1">
      <c r="B276" s="28"/>
      <c r="C276" s="28"/>
      <c r="D276" s="805" t="s">
        <v>837</v>
      </c>
      <c r="E276" s="109">
        <v>15.5</v>
      </c>
      <c r="F276" s="122"/>
      <c r="G276" s="357">
        <f>F276*E276</f>
        <v>0</v>
      </c>
      <c r="H276" s="500" t="s">
        <v>909</v>
      </c>
      <c r="I276" s="838"/>
      <c r="J276" s="839"/>
      <c r="K276" s="2"/>
      <c r="L276" s="2"/>
      <c r="M276" s="388"/>
    </row>
    <row r="277" spans="1:13" ht="15" customHeight="1">
      <c r="B277" s="28"/>
      <c r="C277" s="28"/>
      <c r="D277" s="805" t="s">
        <v>1062</v>
      </c>
      <c r="E277" s="109">
        <v>34</v>
      </c>
      <c r="F277" s="122"/>
      <c r="G277" s="329">
        <f t="shared" ref="G277" si="46">F277*E277</f>
        <v>0</v>
      </c>
      <c r="H277" s="500" t="s">
        <v>911</v>
      </c>
      <c r="I277" s="841"/>
      <c r="J277" s="842"/>
      <c r="K277" s="394"/>
      <c r="L277" s="394"/>
      <c r="M277" s="2"/>
    </row>
    <row r="278" spans="1:13" ht="15" customHeight="1">
      <c r="A278" s="68"/>
      <c r="B278" s="29"/>
      <c r="C278" s="29"/>
      <c r="D278" s="322" t="s">
        <v>843</v>
      </c>
      <c r="E278" s="317"/>
      <c r="F278" s="492">
        <f>SUM(F276:F277)</f>
        <v>0</v>
      </c>
      <c r="G278" s="440">
        <f>SUM(G276:G277)</f>
        <v>0</v>
      </c>
      <c r="H278" s="29"/>
      <c r="I278" s="838" t="s">
        <v>906</v>
      </c>
      <c r="J278" s="839"/>
      <c r="K278" s="147">
        <f>SUM(K270:K277)</f>
        <v>0</v>
      </c>
      <c r="L278" s="2"/>
      <c r="M278" s="388">
        <f>SUM(M270:M277)</f>
        <v>0</v>
      </c>
    </row>
    <row r="279" spans="1:13" ht="15" customHeight="1">
      <c r="B279" s="28"/>
      <c r="C279" s="28"/>
      <c r="D279" s="805" t="s">
        <v>1070</v>
      </c>
      <c r="E279" s="109">
        <v>227</v>
      </c>
      <c r="F279" s="122"/>
      <c r="G279" s="357">
        <f t="shared" ref="G279:G289" si="47">F279*E279</f>
        <v>0</v>
      </c>
      <c r="H279" s="29"/>
      <c r="I279" s="29"/>
      <c r="J279" s="29"/>
      <c r="K279" s="29"/>
      <c r="L279" s="29"/>
      <c r="M279" s="263">
        <f>G265+M278</f>
        <v>0</v>
      </c>
    </row>
    <row r="280" spans="1:13" ht="15" customHeight="1">
      <c r="B280" s="28"/>
      <c r="C280" s="28"/>
      <c r="D280" s="805" t="s">
        <v>1065</v>
      </c>
      <c r="E280" s="389">
        <v>165</v>
      </c>
      <c r="F280" s="122"/>
      <c r="G280" s="357">
        <f t="shared" si="47"/>
        <v>0</v>
      </c>
      <c r="H280" s="29"/>
      <c r="I280" s="29"/>
      <c r="J280" s="29"/>
      <c r="K280" s="29"/>
      <c r="L280" s="29"/>
    </row>
    <row r="281" spans="1:13" ht="15" customHeight="1">
      <c r="B281" s="28"/>
      <c r="C281" s="28"/>
      <c r="D281" s="807" t="s">
        <v>1066</v>
      </c>
      <c r="E281" s="389">
        <v>165</v>
      </c>
      <c r="F281" s="122"/>
      <c r="G281" s="357">
        <f t="shared" si="47"/>
        <v>0</v>
      </c>
      <c r="H281" s="29"/>
      <c r="I281" s="29"/>
      <c r="J281" s="29"/>
      <c r="K281" s="29"/>
      <c r="L281" s="29"/>
    </row>
    <row r="282" spans="1:13" ht="15" customHeight="1">
      <c r="B282" s="28"/>
      <c r="C282" s="28"/>
      <c r="D282" s="805" t="s">
        <v>1067</v>
      </c>
      <c r="E282" s="389">
        <v>416</v>
      </c>
      <c r="F282" s="122"/>
      <c r="G282" s="357">
        <f t="shared" si="47"/>
        <v>0</v>
      </c>
      <c r="H282" s="29"/>
      <c r="I282" s="29"/>
      <c r="J282" s="29"/>
      <c r="K282" s="29"/>
      <c r="L282" s="29"/>
    </row>
    <row r="283" spans="1:13" ht="15" customHeight="1">
      <c r="B283" s="28"/>
      <c r="C283" s="28"/>
      <c r="D283" s="805" t="s">
        <v>1241</v>
      </c>
      <c r="E283" s="389">
        <v>46</v>
      </c>
      <c r="F283" s="122"/>
      <c r="G283" s="357">
        <f t="shared" si="47"/>
        <v>0</v>
      </c>
      <c r="H283" s="28"/>
      <c r="I283" s="28"/>
      <c r="J283" s="28"/>
      <c r="K283" s="28"/>
      <c r="L283" s="28"/>
    </row>
    <row r="284" spans="1:13" ht="15" customHeight="1">
      <c r="B284" s="28"/>
      <c r="C284" s="28"/>
      <c r="D284" s="805" t="s">
        <v>1242</v>
      </c>
      <c r="E284" s="109">
        <v>22</v>
      </c>
      <c r="F284" s="122"/>
      <c r="G284" s="357">
        <f t="shared" si="47"/>
        <v>0</v>
      </c>
    </row>
    <row r="285" spans="1:13" ht="15" customHeight="1">
      <c r="B285" s="28"/>
      <c r="C285" s="28"/>
      <c r="D285" s="805" t="s">
        <v>1062</v>
      </c>
      <c r="E285" s="109">
        <v>34</v>
      </c>
      <c r="F285" s="122"/>
      <c r="G285" s="357">
        <f t="shared" si="47"/>
        <v>0</v>
      </c>
    </row>
    <row r="286" spans="1:13" ht="15" customHeight="1">
      <c r="B286" s="28"/>
      <c r="C286" s="28"/>
      <c r="D286" s="805" t="s">
        <v>24</v>
      </c>
      <c r="E286" s="109">
        <v>74</v>
      </c>
      <c r="F286" s="122"/>
      <c r="G286" s="357">
        <f t="shared" si="47"/>
        <v>0</v>
      </c>
    </row>
    <row r="287" spans="1:13" ht="15" customHeight="1">
      <c r="B287" s="28"/>
      <c r="C287" s="28"/>
      <c r="D287" s="534" t="s">
        <v>185</v>
      </c>
      <c r="E287" s="109">
        <v>490</v>
      </c>
      <c r="F287" s="122"/>
      <c r="G287" s="357">
        <f t="shared" si="47"/>
        <v>0</v>
      </c>
    </row>
    <row r="288" spans="1:13" ht="15" customHeight="1">
      <c r="D288" s="805" t="s">
        <v>184</v>
      </c>
      <c r="E288" s="109">
        <v>336</v>
      </c>
      <c r="F288" s="122"/>
      <c r="G288" s="357">
        <f t="shared" si="47"/>
        <v>0</v>
      </c>
    </row>
    <row r="289" spans="1:13" ht="15" customHeight="1">
      <c r="D289" s="805" t="s">
        <v>839</v>
      </c>
      <c r="E289" s="109">
        <v>120</v>
      </c>
      <c r="F289" s="122"/>
      <c r="G289" s="357">
        <f t="shared" si="47"/>
        <v>0</v>
      </c>
    </row>
    <row r="290" spans="1:13" ht="15" customHeight="1">
      <c r="D290" s="331" t="s">
        <v>843</v>
      </c>
      <c r="E290" s="109"/>
      <c r="F290" s="122">
        <f>SUM(F279:F289)</f>
        <v>0</v>
      </c>
      <c r="G290" s="357">
        <f>SUM(G279:G289)</f>
        <v>0</v>
      </c>
    </row>
    <row r="291" spans="1:13" ht="15" customHeight="1">
      <c r="D291" s="322" t="s">
        <v>969</v>
      </c>
      <c r="E291" s="317"/>
      <c r="F291" s="492">
        <f>F278+F290</f>
        <v>0</v>
      </c>
      <c r="G291" s="440">
        <f>G278+G290</f>
        <v>0</v>
      </c>
    </row>
    <row r="292" spans="1:13" ht="15" customHeight="1"/>
    <row r="293" spans="1:13" ht="15" customHeight="1"/>
    <row r="294" spans="1:13" ht="15" customHeight="1"/>
    <row r="295" spans="1:13" ht="15" customHeight="1"/>
    <row r="296" spans="1:13" ht="15" customHeight="1"/>
    <row r="297" spans="1:13" ht="15" customHeight="1"/>
    <row r="298" spans="1:13" ht="15" customHeight="1"/>
    <row r="299" spans="1:13" ht="15" customHeight="1"/>
    <row r="300" spans="1:13" ht="15" customHeight="1"/>
    <row r="301" spans="1:13" s="64" customFormat="1" ht="15" customHeight="1">
      <c r="A301" s="840" t="s">
        <v>240</v>
      </c>
      <c r="B301" s="840"/>
      <c r="C301" s="840" t="s">
        <v>765</v>
      </c>
      <c r="D301" s="840"/>
      <c r="E301" s="840" t="s">
        <v>764</v>
      </c>
      <c r="F301" s="840"/>
      <c r="G301" s="380" t="s">
        <v>66</v>
      </c>
      <c r="H301" s="840" t="s">
        <v>411</v>
      </c>
      <c r="I301" s="840"/>
      <c r="J301" s="840"/>
      <c r="K301" s="840" t="s">
        <v>68</v>
      </c>
      <c r="L301" s="840"/>
      <c r="M301" s="840"/>
    </row>
    <row r="302" spans="1:13" s="28" customFormat="1" ht="15" customHeight="1">
      <c r="A302" s="25"/>
      <c r="B302" s="25"/>
      <c r="C302" s="25"/>
      <c r="D302" s="25"/>
      <c r="E302" s="25"/>
      <c r="F302" s="38"/>
      <c r="G302" s="25" t="s">
        <v>88</v>
      </c>
      <c r="H302" s="25" t="s">
        <v>86</v>
      </c>
      <c r="I302" s="40"/>
      <c r="J302" s="40">
        <v>3500</v>
      </c>
      <c r="K302" s="40">
        <f t="shared" ref="K302" si="48">I302*J302</f>
        <v>0</v>
      </c>
      <c r="L302" s="36"/>
      <c r="M302" s="36"/>
    </row>
    <row r="303" spans="1:13" s="28" customFormat="1" ht="15" customHeight="1">
      <c r="A303" s="25"/>
      <c r="B303" s="25"/>
      <c r="C303" s="25"/>
      <c r="D303" s="25"/>
      <c r="E303" s="37" t="s">
        <v>9</v>
      </c>
      <c r="F303" s="41">
        <f>SUM(F293:F302)</f>
        <v>0</v>
      </c>
      <c r="G303" s="37"/>
      <c r="H303" s="37"/>
      <c r="I303" s="40"/>
      <c r="J303" s="40"/>
      <c r="K303" s="42">
        <f>SUM(K293:K302)</f>
        <v>0</v>
      </c>
      <c r="L303" s="63" t="e">
        <f>K303/F303</f>
        <v>#DIV/0!</v>
      </c>
      <c r="M303" s="36"/>
    </row>
    <row r="304" spans="1:13" s="28" customFormat="1" ht="15" customHeight="1">
      <c r="A304" s="25">
        <v>6436</v>
      </c>
      <c r="B304" s="25" t="s">
        <v>135</v>
      </c>
      <c r="C304" s="25" t="s">
        <v>121</v>
      </c>
      <c r="D304" s="25" t="s">
        <v>119</v>
      </c>
      <c r="E304" s="25" t="s">
        <v>93</v>
      </c>
      <c r="F304" s="38">
        <f>40*1.0936</f>
        <v>43.744</v>
      </c>
      <c r="G304" s="25" t="s">
        <v>81</v>
      </c>
      <c r="H304" s="36"/>
      <c r="I304" s="39">
        <v>1</v>
      </c>
      <c r="J304" s="40">
        <v>103</v>
      </c>
      <c r="K304" s="40">
        <f t="shared" ref="K304:K313" si="49">I304*J304</f>
        <v>103</v>
      </c>
      <c r="L304" s="36"/>
      <c r="M304" s="36"/>
    </row>
    <row r="305" spans="1:13" s="28" customFormat="1" ht="15" customHeight="1">
      <c r="A305" s="25"/>
      <c r="B305" s="25"/>
      <c r="C305" s="25"/>
      <c r="D305" s="25"/>
      <c r="E305" s="25"/>
      <c r="F305" s="38"/>
      <c r="G305" s="25" t="s">
        <v>82</v>
      </c>
      <c r="H305" s="36"/>
      <c r="I305" s="39">
        <v>0.5</v>
      </c>
      <c r="J305" s="40">
        <v>400</v>
      </c>
      <c r="K305" s="40">
        <f t="shared" si="49"/>
        <v>200</v>
      </c>
      <c r="L305" s="36"/>
      <c r="M305" s="36"/>
    </row>
    <row r="306" spans="1:13" s="28" customFormat="1" ht="15" customHeight="1">
      <c r="A306" s="25"/>
      <c r="B306" s="25"/>
      <c r="C306" s="25"/>
      <c r="D306" s="25"/>
      <c r="E306" s="25"/>
      <c r="F306" s="38"/>
      <c r="G306" s="25" t="s">
        <v>45</v>
      </c>
      <c r="H306" s="36"/>
      <c r="I306" s="39">
        <v>0.5</v>
      </c>
      <c r="J306" s="40">
        <v>56</v>
      </c>
      <c r="K306" s="57">
        <f t="shared" si="49"/>
        <v>28</v>
      </c>
      <c r="L306" s="36"/>
      <c r="M306" s="36"/>
    </row>
    <row r="307" spans="1:13" s="28" customFormat="1" ht="15" customHeight="1">
      <c r="A307" s="25"/>
      <c r="B307" s="25"/>
      <c r="C307" s="25"/>
      <c r="D307" s="25"/>
      <c r="E307" s="25"/>
      <c r="F307" s="38"/>
      <c r="G307" s="25" t="s">
        <v>28</v>
      </c>
      <c r="H307" s="36"/>
      <c r="I307" s="39">
        <v>0.5</v>
      </c>
      <c r="J307" s="40">
        <v>15.5</v>
      </c>
      <c r="K307" s="57">
        <f t="shared" si="49"/>
        <v>7.75</v>
      </c>
      <c r="L307" s="36"/>
      <c r="M307" s="36"/>
    </row>
    <row r="308" spans="1:13" s="28" customFormat="1" ht="15" customHeight="1">
      <c r="A308" s="25"/>
      <c r="B308" s="25"/>
      <c r="C308" s="25"/>
      <c r="D308" s="25"/>
      <c r="E308" s="25"/>
      <c r="F308" s="38"/>
      <c r="G308" s="25" t="s">
        <v>83</v>
      </c>
      <c r="H308" s="36"/>
      <c r="I308" s="39">
        <v>1</v>
      </c>
      <c r="J308" s="40">
        <v>320</v>
      </c>
      <c r="K308" s="57">
        <f t="shared" si="49"/>
        <v>320</v>
      </c>
      <c r="L308" s="36"/>
      <c r="M308" s="36"/>
    </row>
    <row r="309" spans="1:13" s="28" customFormat="1" ht="15" customHeight="1">
      <c r="A309" s="25"/>
      <c r="B309" s="25"/>
      <c r="C309" s="25"/>
      <c r="D309" s="25"/>
      <c r="E309" s="25"/>
      <c r="F309" s="38"/>
      <c r="G309" s="25" t="s">
        <v>84</v>
      </c>
      <c r="H309" s="36"/>
      <c r="I309" s="39">
        <v>0.5</v>
      </c>
      <c r="J309" s="40">
        <v>275</v>
      </c>
      <c r="K309" s="57">
        <f t="shared" si="49"/>
        <v>137.5</v>
      </c>
      <c r="L309" s="36"/>
      <c r="M309" s="36"/>
    </row>
    <row r="310" spans="1:13" s="28" customFormat="1" ht="15" customHeight="1">
      <c r="A310" s="25"/>
      <c r="B310" s="25"/>
      <c r="C310" s="25"/>
      <c r="D310" s="25"/>
      <c r="E310" s="25"/>
      <c r="F310" s="38"/>
      <c r="G310" s="25" t="s">
        <v>118</v>
      </c>
      <c r="H310" s="36"/>
      <c r="I310" s="39">
        <v>25</v>
      </c>
      <c r="J310" s="40">
        <v>360</v>
      </c>
      <c r="K310" s="57">
        <f t="shared" si="49"/>
        <v>9000</v>
      </c>
      <c r="L310" s="36"/>
      <c r="M310" s="36"/>
    </row>
    <row r="311" spans="1:13" s="28" customFormat="1" ht="15" customHeight="1">
      <c r="A311" s="25"/>
      <c r="B311" s="25"/>
      <c r="C311" s="25"/>
      <c r="D311" s="25"/>
      <c r="E311" s="25"/>
      <c r="F311" s="38"/>
      <c r="G311" s="25" t="s">
        <v>85</v>
      </c>
      <c r="H311" s="25" t="s">
        <v>86</v>
      </c>
      <c r="I311" s="40">
        <v>1</v>
      </c>
      <c r="J311" s="40">
        <v>7000</v>
      </c>
      <c r="K311" s="40">
        <f t="shared" si="49"/>
        <v>7000</v>
      </c>
      <c r="L311" s="36"/>
      <c r="M311" s="36"/>
    </row>
    <row r="312" spans="1:13" s="28" customFormat="1" ht="15" customHeight="1">
      <c r="A312" s="25"/>
      <c r="B312" s="25"/>
      <c r="C312" s="25"/>
      <c r="D312" s="25"/>
      <c r="E312" s="25"/>
      <c r="F312" s="38"/>
      <c r="G312" s="25" t="s">
        <v>87</v>
      </c>
      <c r="H312" s="25" t="s">
        <v>86</v>
      </c>
      <c r="I312" s="40"/>
      <c r="J312" s="40">
        <v>3500</v>
      </c>
      <c r="K312" s="40">
        <f t="shared" si="49"/>
        <v>0</v>
      </c>
      <c r="L312" s="36"/>
      <c r="M312" s="36"/>
    </row>
    <row r="313" spans="1:13" s="28" customFormat="1" ht="15" customHeight="1">
      <c r="A313" s="25"/>
      <c r="B313" s="25"/>
      <c r="C313" s="25"/>
      <c r="D313" s="25"/>
      <c r="E313" s="25"/>
      <c r="F313" s="38"/>
      <c r="G313" s="25" t="s">
        <v>88</v>
      </c>
      <c r="H313" s="25" t="s">
        <v>86</v>
      </c>
      <c r="I313" s="40"/>
      <c r="J313" s="40">
        <v>3500</v>
      </c>
      <c r="K313" s="40">
        <f t="shared" si="49"/>
        <v>0</v>
      </c>
      <c r="L313" s="36"/>
      <c r="M313" s="36"/>
    </row>
    <row r="314" spans="1:13" s="28" customFormat="1" ht="15" customHeight="1">
      <c r="A314" s="25"/>
      <c r="B314" s="25"/>
      <c r="C314" s="25"/>
      <c r="D314" s="25"/>
      <c r="E314" s="37" t="s">
        <v>9</v>
      </c>
      <c r="F314" s="41">
        <f>SUM(F304:F313)</f>
        <v>43.744</v>
      </c>
      <c r="G314" s="37"/>
      <c r="H314" s="37"/>
      <c r="I314" s="40"/>
      <c r="J314" s="40"/>
      <c r="K314" s="42">
        <f>SUM(K304:K313)</f>
        <v>16796.25</v>
      </c>
      <c r="L314" s="63">
        <f>K314/F314</f>
        <v>383.96694403803951</v>
      </c>
      <c r="M314" s="36"/>
    </row>
    <row r="315" spans="1:13" s="28" customFormat="1" ht="15" customHeight="1">
      <c r="A315" s="25">
        <v>6431</v>
      </c>
      <c r="B315" s="25" t="s">
        <v>128</v>
      </c>
      <c r="C315" s="25" t="s">
        <v>131</v>
      </c>
      <c r="D315" s="25" t="s">
        <v>122</v>
      </c>
      <c r="E315" s="25" t="s">
        <v>93</v>
      </c>
      <c r="F315" s="38">
        <f>200*1.0936</f>
        <v>218.71999999999997</v>
      </c>
      <c r="G315" s="25" t="s">
        <v>125</v>
      </c>
      <c r="H315" s="25"/>
      <c r="I315" s="54">
        <v>1.5</v>
      </c>
      <c r="J315" s="55">
        <v>238</v>
      </c>
      <c r="K315" s="40">
        <f>I315*J315</f>
        <v>357</v>
      </c>
      <c r="L315" s="36"/>
      <c r="M315" s="36"/>
    </row>
    <row r="316" spans="1:13" s="28" customFormat="1" ht="15" customHeight="1">
      <c r="A316" s="25"/>
      <c r="B316" s="25"/>
      <c r="C316" s="25"/>
      <c r="D316" s="25"/>
      <c r="E316" s="25"/>
      <c r="F316" s="38"/>
      <c r="G316" s="25" t="s">
        <v>80</v>
      </c>
      <c r="H316" s="36"/>
      <c r="I316" s="39">
        <v>0.5</v>
      </c>
      <c r="J316" s="40">
        <v>720</v>
      </c>
      <c r="K316" s="40">
        <f t="shared" ref="K316:K325" si="50">I316*J316</f>
        <v>360</v>
      </c>
      <c r="L316" s="36"/>
      <c r="M316" s="36"/>
    </row>
    <row r="317" spans="1:13" s="28" customFormat="1" ht="15" customHeight="1">
      <c r="A317" s="25"/>
      <c r="B317" s="25"/>
      <c r="C317" s="25"/>
      <c r="D317" s="25"/>
      <c r="E317" s="25"/>
      <c r="F317" s="38"/>
      <c r="G317" s="25" t="s">
        <v>81</v>
      </c>
      <c r="H317" s="36"/>
      <c r="I317" s="39">
        <v>7</v>
      </c>
      <c r="J317" s="40">
        <v>103</v>
      </c>
      <c r="K317" s="40">
        <f t="shared" si="50"/>
        <v>721</v>
      </c>
      <c r="L317" s="36"/>
      <c r="M317" s="36"/>
    </row>
    <row r="318" spans="1:13" s="28" customFormat="1" ht="15" customHeight="1">
      <c r="A318" s="25"/>
      <c r="B318" s="25"/>
      <c r="C318" s="25"/>
      <c r="D318" s="25"/>
      <c r="E318" s="25"/>
      <c r="F318" s="38"/>
      <c r="G318" s="25" t="s">
        <v>82</v>
      </c>
      <c r="H318" s="36"/>
      <c r="I318" s="39">
        <v>0.7</v>
      </c>
      <c r="J318" s="40">
        <v>400</v>
      </c>
      <c r="K318" s="40">
        <f t="shared" si="50"/>
        <v>280</v>
      </c>
      <c r="L318" s="36"/>
      <c r="M318" s="36"/>
    </row>
    <row r="319" spans="1:13" s="28" customFormat="1" ht="15" customHeight="1">
      <c r="A319" s="25"/>
      <c r="B319" s="25"/>
      <c r="C319" s="25"/>
      <c r="D319" s="25"/>
      <c r="E319" s="25"/>
      <c r="F319" s="38"/>
      <c r="G319" s="25" t="s">
        <v>45</v>
      </c>
      <c r="H319" s="36"/>
      <c r="I319" s="39">
        <v>0.5</v>
      </c>
      <c r="J319" s="40">
        <v>56</v>
      </c>
      <c r="K319" s="57">
        <f t="shared" si="50"/>
        <v>28</v>
      </c>
      <c r="L319" s="36"/>
      <c r="M319" s="36"/>
    </row>
    <row r="320" spans="1:13" s="28" customFormat="1" ht="15" customHeight="1">
      <c r="A320" s="25"/>
      <c r="B320" s="25"/>
      <c r="C320" s="25"/>
      <c r="D320" s="25"/>
      <c r="E320" s="25"/>
      <c r="F320" s="38"/>
      <c r="G320" s="25" t="s">
        <v>28</v>
      </c>
      <c r="H320" s="36"/>
      <c r="I320" s="39">
        <v>0.5</v>
      </c>
      <c r="J320" s="40">
        <v>15.5</v>
      </c>
      <c r="K320" s="57">
        <f t="shared" si="50"/>
        <v>7.75</v>
      </c>
      <c r="L320" s="36"/>
      <c r="M320" s="36"/>
    </row>
    <row r="321" spans="1:13" s="28" customFormat="1" ht="15" customHeight="1">
      <c r="A321" s="25"/>
      <c r="B321" s="25"/>
      <c r="C321" s="25"/>
      <c r="D321" s="25"/>
      <c r="E321" s="25"/>
      <c r="F321" s="38"/>
      <c r="G321" s="25" t="s">
        <v>83</v>
      </c>
      <c r="H321" s="36"/>
      <c r="I321" s="39">
        <v>1.5</v>
      </c>
      <c r="J321" s="40">
        <v>320</v>
      </c>
      <c r="K321" s="57">
        <f t="shared" si="50"/>
        <v>480</v>
      </c>
      <c r="L321" s="36"/>
      <c r="M321" s="36"/>
    </row>
    <row r="322" spans="1:13" s="28" customFormat="1" ht="15" customHeight="1">
      <c r="A322" s="25"/>
      <c r="B322" s="25"/>
      <c r="C322" s="25"/>
      <c r="D322" s="25"/>
      <c r="E322" s="25"/>
      <c r="F322" s="38"/>
      <c r="G322" s="25" t="s">
        <v>84</v>
      </c>
      <c r="H322" s="36"/>
      <c r="I322" s="39">
        <v>1</v>
      </c>
      <c r="J322" s="40">
        <v>275</v>
      </c>
      <c r="K322" s="57">
        <f t="shared" si="50"/>
        <v>275</v>
      </c>
      <c r="L322" s="36"/>
      <c r="M322" s="36"/>
    </row>
    <row r="323" spans="1:13" s="28" customFormat="1" ht="15" customHeight="1">
      <c r="A323" s="25"/>
      <c r="B323" s="25"/>
      <c r="C323" s="25"/>
      <c r="D323" s="25"/>
      <c r="E323" s="25"/>
      <c r="F323" s="38"/>
      <c r="G323" s="25" t="s">
        <v>85</v>
      </c>
      <c r="H323" s="25" t="s">
        <v>86</v>
      </c>
      <c r="I323" s="40">
        <v>1</v>
      </c>
      <c r="J323" s="40">
        <v>7000</v>
      </c>
      <c r="K323" s="40">
        <f t="shared" si="50"/>
        <v>7000</v>
      </c>
      <c r="L323" s="36"/>
      <c r="M323" s="36"/>
    </row>
    <row r="324" spans="1:13" s="28" customFormat="1" ht="15" customHeight="1">
      <c r="A324" s="25"/>
      <c r="B324" s="25"/>
      <c r="C324" s="25"/>
      <c r="D324" s="25"/>
      <c r="E324" s="25"/>
      <c r="F324" s="38"/>
      <c r="G324" s="25" t="s">
        <v>87</v>
      </c>
      <c r="H324" s="25" t="s">
        <v>86</v>
      </c>
      <c r="I324" s="40"/>
      <c r="J324" s="40">
        <v>3500</v>
      </c>
      <c r="K324" s="40">
        <f t="shared" si="50"/>
        <v>0</v>
      </c>
      <c r="L324" s="36"/>
      <c r="M324" s="36"/>
    </row>
    <row r="325" spans="1:13" s="28" customFormat="1" ht="15" customHeight="1">
      <c r="A325" s="25"/>
      <c r="B325" s="25"/>
      <c r="C325" s="25"/>
      <c r="D325" s="25"/>
      <c r="E325" s="25"/>
      <c r="F325" s="38"/>
      <c r="G325" s="25" t="s">
        <v>88</v>
      </c>
      <c r="H325" s="25" t="s">
        <v>86</v>
      </c>
      <c r="I325" s="40"/>
      <c r="J325" s="40">
        <v>3500</v>
      </c>
      <c r="K325" s="40">
        <f t="shared" si="50"/>
        <v>0</v>
      </c>
      <c r="L325" s="36"/>
      <c r="M325" s="36"/>
    </row>
    <row r="326" spans="1:13" s="28" customFormat="1" ht="15" customHeight="1">
      <c r="A326" s="25"/>
      <c r="B326" s="25"/>
      <c r="C326" s="25"/>
      <c r="D326" s="25"/>
      <c r="E326" s="37" t="s">
        <v>9</v>
      </c>
      <c r="F326" s="41">
        <f>SUM(F315:F325)</f>
        <v>218.71999999999997</v>
      </c>
      <c r="G326" s="37"/>
      <c r="H326" s="37"/>
      <c r="I326" s="40"/>
      <c r="J326" s="40"/>
      <c r="K326" s="42">
        <f>SUM(K315:K325)</f>
        <v>9508.75</v>
      </c>
      <c r="L326" s="63">
        <f>K326/F326</f>
        <v>43.474533650329192</v>
      </c>
      <c r="M326" s="36"/>
    </row>
    <row r="327" spans="1:13" s="28" customFormat="1" ht="15" customHeight="1">
      <c r="A327" s="25">
        <v>6433</v>
      </c>
      <c r="B327" s="25" t="s">
        <v>137</v>
      </c>
      <c r="C327" s="25" t="s">
        <v>138</v>
      </c>
      <c r="D327" s="25" t="s">
        <v>139</v>
      </c>
      <c r="E327" s="25" t="s">
        <v>93</v>
      </c>
      <c r="F327" s="38">
        <f>40*1.0936</f>
        <v>43.744</v>
      </c>
      <c r="G327" s="56" t="s">
        <v>90</v>
      </c>
      <c r="H327" s="25"/>
      <c r="I327" s="54">
        <v>0.05</v>
      </c>
      <c r="J327" s="55">
        <v>745</v>
      </c>
      <c r="K327" s="55">
        <f t="shared" ref="K327:K329" si="51">I327*J327</f>
        <v>37.25</v>
      </c>
      <c r="L327" s="36"/>
      <c r="M327" s="36"/>
    </row>
    <row r="328" spans="1:13" s="28" customFormat="1" ht="15" customHeight="1">
      <c r="A328" s="25"/>
      <c r="B328" s="25"/>
      <c r="C328" s="25"/>
      <c r="D328" s="25"/>
      <c r="E328" s="25"/>
      <c r="F328" s="38"/>
      <c r="G328" s="25" t="s">
        <v>91</v>
      </c>
      <c r="H328" s="36"/>
      <c r="I328" s="39">
        <v>0.30499999999999999</v>
      </c>
      <c r="J328" s="40">
        <v>220</v>
      </c>
      <c r="K328" s="40">
        <f t="shared" si="51"/>
        <v>67.099999999999994</v>
      </c>
      <c r="L328" s="36"/>
      <c r="M328" s="36"/>
    </row>
    <row r="329" spans="1:13" s="28" customFormat="1" ht="15" customHeight="1">
      <c r="A329" s="25"/>
      <c r="B329" s="25"/>
      <c r="C329" s="25"/>
      <c r="D329" s="25"/>
      <c r="E329" s="25"/>
      <c r="F329" s="38"/>
      <c r="G329" s="25" t="s">
        <v>92</v>
      </c>
      <c r="H329" s="36"/>
      <c r="I329" s="39">
        <v>0.58499999999999996</v>
      </c>
      <c r="J329" s="40">
        <v>720</v>
      </c>
      <c r="K329" s="40">
        <f t="shared" si="51"/>
        <v>421.2</v>
      </c>
      <c r="L329" s="36"/>
      <c r="M329" s="36"/>
    </row>
    <row r="330" spans="1:13" s="28" customFormat="1" ht="15" customHeight="1">
      <c r="A330" s="25"/>
      <c r="B330" s="25"/>
      <c r="C330" s="25"/>
      <c r="D330" s="25"/>
      <c r="E330" s="25"/>
      <c r="F330" s="38"/>
      <c r="G330" s="56" t="s">
        <v>59</v>
      </c>
      <c r="H330" s="36"/>
      <c r="I330" s="39">
        <v>0.05</v>
      </c>
      <c r="J330" s="40">
        <v>1080</v>
      </c>
      <c r="K330" s="40">
        <f>I330*J330</f>
        <v>54</v>
      </c>
      <c r="L330" s="36"/>
      <c r="M330" s="36"/>
    </row>
    <row r="331" spans="1:13" s="28" customFormat="1" ht="15" customHeight="1">
      <c r="A331" s="25"/>
      <c r="B331" s="25"/>
      <c r="C331" s="25"/>
      <c r="D331" s="25"/>
      <c r="E331" s="25"/>
      <c r="F331" s="38"/>
      <c r="G331" s="25" t="s">
        <v>81</v>
      </c>
      <c r="H331" s="36"/>
      <c r="I331" s="39">
        <v>14</v>
      </c>
      <c r="J331" s="40">
        <v>103</v>
      </c>
      <c r="K331" s="40">
        <f t="shared" ref="K331:K339" si="52">I331*J331</f>
        <v>1442</v>
      </c>
      <c r="L331" s="36"/>
      <c r="M331" s="36"/>
    </row>
    <row r="332" spans="1:13" s="28" customFormat="1" ht="15" customHeight="1">
      <c r="A332" s="25"/>
      <c r="B332" s="25"/>
      <c r="C332" s="25"/>
      <c r="D332" s="25"/>
      <c r="E332" s="25"/>
      <c r="F332" s="38"/>
      <c r="G332" s="25" t="s">
        <v>82</v>
      </c>
      <c r="H332" s="36"/>
      <c r="I332" s="39">
        <v>2</v>
      </c>
      <c r="J332" s="40">
        <v>400</v>
      </c>
      <c r="K332" s="40">
        <f t="shared" si="52"/>
        <v>800</v>
      </c>
      <c r="L332" s="36"/>
      <c r="M332" s="36"/>
    </row>
    <row r="333" spans="1:13" s="28" customFormat="1" ht="15" customHeight="1">
      <c r="A333" s="25"/>
      <c r="B333" s="25"/>
      <c r="C333" s="25"/>
      <c r="D333" s="25"/>
      <c r="E333" s="25"/>
      <c r="F333" s="38"/>
      <c r="G333" s="25" t="s">
        <v>45</v>
      </c>
      <c r="H333" s="36"/>
      <c r="I333" s="39">
        <v>1.5</v>
      </c>
      <c r="J333" s="40">
        <v>56</v>
      </c>
      <c r="K333" s="57">
        <f t="shared" si="52"/>
        <v>84</v>
      </c>
      <c r="L333" s="36"/>
      <c r="M333" s="36"/>
    </row>
    <row r="334" spans="1:13" s="28" customFormat="1" ht="15" customHeight="1">
      <c r="A334" s="25"/>
      <c r="B334" s="25"/>
      <c r="C334" s="25"/>
      <c r="D334" s="25"/>
      <c r="E334" s="25"/>
      <c r="F334" s="38"/>
      <c r="G334" s="25" t="s">
        <v>28</v>
      </c>
      <c r="H334" s="36"/>
      <c r="I334" s="39">
        <v>1.5</v>
      </c>
      <c r="J334" s="40">
        <v>15.5</v>
      </c>
      <c r="K334" s="57">
        <f t="shared" si="52"/>
        <v>23.25</v>
      </c>
      <c r="L334" s="36"/>
      <c r="M334" s="36"/>
    </row>
    <row r="335" spans="1:13" s="28" customFormat="1" ht="15" customHeight="1">
      <c r="A335" s="25"/>
      <c r="B335" s="25"/>
      <c r="C335" s="25"/>
      <c r="D335" s="25"/>
      <c r="E335" s="25"/>
      <c r="F335" s="38"/>
      <c r="G335" s="25" t="s">
        <v>83</v>
      </c>
      <c r="H335" s="36"/>
      <c r="I335" s="39">
        <v>3</v>
      </c>
      <c r="J335" s="40">
        <v>320</v>
      </c>
      <c r="K335" s="57">
        <f t="shared" si="52"/>
        <v>960</v>
      </c>
      <c r="L335" s="36"/>
      <c r="M335" s="36"/>
    </row>
    <row r="336" spans="1:13" s="28" customFormat="1" ht="15" customHeight="1">
      <c r="A336" s="25"/>
      <c r="B336" s="25"/>
      <c r="C336" s="25"/>
      <c r="D336" s="25"/>
      <c r="E336" s="25"/>
      <c r="F336" s="38"/>
      <c r="G336" s="25" t="s">
        <v>84</v>
      </c>
      <c r="H336" s="36"/>
      <c r="I336" s="39">
        <v>0.5</v>
      </c>
      <c r="J336" s="40">
        <v>275</v>
      </c>
      <c r="K336" s="57">
        <f t="shared" si="52"/>
        <v>137.5</v>
      </c>
      <c r="L336" s="36"/>
      <c r="M336" s="36"/>
    </row>
    <row r="337" spans="1:13" s="28" customFormat="1" ht="15" customHeight="1">
      <c r="A337" s="25"/>
      <c r="B337" s="25"/>
      <c r="C337" s="25"/>
      <c r="D337" s="25"/>
      <c r="E337" s="25"/>
      <c r="F337" s="38"/>
      <c r="G337" s="25" t="s">
        <v>85</v>
      </c>
      <c r="H337" s="25" t="s">
        <v>86</v>
      </c>
      <c r="I337" s="40"/>
      <c r="J337" s="40">
        <v>7000</v>
      </c>
      <c r="K337" s="40">
        <f t="shared" si="52"/>
        <v>0</v>
      </c>
      <c r="L337" s="36"/>
      <c r="M337" s="36"/>
    </row>
    <row r="338" spans="1:13" s="28" customFormat="1" ht="15" customHeight="1">
      <c r="A338" s="25"/>
      <c r="B338" s="25"/>
      <c r="C338" s="25"/>
      <c r="D338" s="25"/>
      <c r="E338" s="25"/>
      <c r="F338" s="38"/>
      <c r="G338" s="25" t="s">
        <v>87</v>
      </c>
      <c r="H338" s="25" t="s">
        <v>86</v>
      </c>
      <c r="I338" s="40">
        <v>3</v>
      </c>
      <c r="J338" s="40">
        <v>3500</v>
      </c>
      <c r="K338" s="40">
        <f t="shared" si="52"/>
        <v>10500</v>
      </c>
      <c r="L338" s="36"/>
      <c r="M338" s="36"/>
    </row>
    <row r="339" spans="1:13" s="28" customFormat="1" ht="15" customHeight="1">
      <c r="A339" s="25"/>
      <c r="B339" s="25"/>
      <c r="C339" s="25"/>
      <c r="D339" s="25"/>
      <c r="E339" s="25"/>
      <c r="F339" s="38"/>
      <c r="G339" s="25" t="s">
        <v>88</v>
      </c>
      <c r="H339" s="25" t="s">
        <v>86</v>
      </c>
      <c r="I339" s="40"/>
      <c r="J339" s="40">
        <v>3500</v>
      </c>
      <c r="K339" s="40">
        <f t="shared" si="52"/>
        <v>0</v>
      </c>
      <c r="L339" s="36"/>
      <c r="M339" s="36"/>
    </row>
    <row r="340" spans="1:13" s="28" customFormat="1" ht="15" customHeight="1">
      <c r="A340" s="25"/>
      <c r="B340" s="25"/>
      <c r="C340" s="25"/>
      <c r="D340" s="25"/>
      <c r="E340" s="37" t="s">
        <v>9</v>
      </c>
      <c r="F340" s="41">
        <f>SUM(F327:F339)</f>
        <v>43.744</v>
      </c>
      <c r="G340" s="37"/>
      <c r="H340" s="37"/>
      <c r="I340" s="40"/>
      <c r="J340" s="40"/>
      <c r="K340" s="42">
        <f>SUM(K327:K339)</f>
        <v>14526.3</v>
      </c>
      <c r="L340" s="63">
        <f>K340/F340</f>
        <v>332.0752560351134</v>
      </c>
      <c r="M340" s="36"/>
    </row>
    <row r="341" spans="1:13" s="28" customFormat="1" ht="15" customHeight="1">
      <c r="A341" s="25">
        <v>6434</v>
      </c>
      <c r="B341" s="25" t="s">
        <v>137</v>
      </c>
      <c r="C341" s="25" t="s">
        <v>138</v>
      </c>
      <c r="D341" s="25" t="s">
        <v>139</v>
      </c>
      <c r="E341" s="25" t="s">
        <v>93</v>
      </c>
      <c r="F341" s="38">
        <f>130*1.0936</f>
        <v>142.16799999999998</v>
      </c>
      <c r="G341" s="56" t="s">
        <v>90</v>
      </c>
      <c r="H341" s="25"/>
      <c r="I341" s="54">
        <v>0.05</v>
      </c>
      <c r="J341" s="55">
        <v>745</v>
      </c>
      <c r="K341" s="55">
        <f t="shared" ref="K341:K343" si="53">I341*J341</f>
        <v>37.25</v>
      </c>
      <c r="L341" s="36"/>
      <c r="M341" s="36"/>
    </row>
    <row r="342" spans="1:13" s="28" customFormat="1" ht="15" customHeight="1">
      <c r="A342" s="25"/>
      <c r="B342" s="25"/>
      <c r="C342" s="25"/>
      <c r="D342" s="25"/>
      <c r="E342" s="25"/>
      <c r="F342" s="38"/>
      <c r="G342" s="25" t="s">
        <v>91</v>
      </c>
      <c r="H342" s="36"/>
      <c r="I342" s="39">
        <v>0.5</v>
      </c>
      <c r="J342" s="40">
        <v>220</v>
      </c>
      <c r="K342" s="40">
        <f t="shared" si="53"/>
        <v>110</v>
      </c>
      <c r="L342" s="36"/>
      <c r="M342" s="36"/>
    </row>
    <row r="343" spans="1:13" s="28" customFormat="1" ht="15" customHeight="1">
      <c r="A343" s="25"/>
      <c r="B343" s="25"/>
      <c r="C343" s="25"/>
      <c r="D343" s="25"/>
      <c r="E343" s="25"/>
      <c r="F343" s="38"/>
      <c r="G343" s="25" t="s">
        <v>92</v>
      </c>
      <c r="H343" s="36"/>
      <c r="I343" s="39">
        <v>0.75</v>
      </c>
      <c r="J343" s="40">
        <v>720</v>
      </c>
      <c r="K343" s="40">
        <f t="shared" si="53"/>
        <v>540</v>
      </c>
      <c r="L343" s="36"/>
      <c r="M343" s="36"/>
    </row>
    <row r="344" spans="1:13" s="28" customFormat="1" ht="15" customHeight="1">
      <c r="A344" s="25"/>
      <c r="B344" s="25"/>
      <c r="C344" s="25"/>
      <c r="D344" s="25"/>
      <c r="E344" s="25"/>
      <c r="F344" s="38"/>
      <c r="G344" s="56" t="s">
        <v>59</v>
      </c>
      <c r="H344" s="36"/>
      <c r="I344" s="39"/>
      <c r="J344" s="40">
        <v>1080</v>
      </c>
      <c r="K344" s="40">
        <f>I344*J344</f>
        <v>0</v>
      </c>
      <c r="L344" s="36"/>
      <c r="M344" s="36"/>
    </row>
    <row r="345" spans="1:13" s="28" customFormat="1" ht="15" customHeight="1">
      <c r="A345" s="25"/>
      <c r="B345" s="25"/>
      <c r="C345" s="25"/>
      <c r="D345" s="25"/>
      <c r="E345" s="25"/>
      <c r="F345" s="38"/>
      <c r="G345" s="25" t="s">
        <v>81</v>
      </c>
      <c r="H345" s="36"/>
      <c r="I345" s="39">
        <v>8</v>
      </c>
      <c r="J345" s="40">
        <v>103</v>
      </c>
      <c r="K345" s="40">
        <f t="shared" ref="K345:K353" si="54">I345*J345</f>
        <v>824</v>
      </c>
      <c r="L345" s="36"/>
      <c r="M345" s="36"/>
    </row>
    <row r="346" spans="1:13" s="28" customFormat="1" ht="15" customHeight="1">
      <c r="A346" s="25"/>
      <c r="B346" s="25"/>
      <c r="C346" s="25"/>
      <c r="D346" s="25"/>
      <c r="E346" s="25"/>
      <c r="F346" s="38"/>
      <c r="G346" s="25" t="s">
        <v>82</v>
      </c>
      <c r="H346" s="36"/>
      <c r="I346" s="39">
        <v>1</v>
      </c>
      <c r="J346" s="40">
        <v>400</v>
      </c>
      <c r="K346" s="40">
        <f t="shared" si="54"/>
        <v>400</v>
      </c>
      <c r="L346" s="36"/>
      <c r="M346" s="36"/>
    </row>
    <row r="347" spans="1:13" s="28" customFormat="1" ht="15" customHeight="1">
      <c r="A347" s="25"/>
      <c r="B347" s="25"/>
      <c r="C347" s="25"/>
      <c r="D347" s="25"/>
      <c r="E347" s="25"/>
      <c r="F347" s="38"/>
      <c r="G347" s="25" t="s">
        <v>45</v>
      </c>
      <c r="H347" s="36"/>
      <c r="I347" s="39">
        <v>0.5</v>
      </c>
      <c r="J347" s="40">
        <v>56</v>
      </c>
      <c r="K347" s="57">
        <f t="shared" si="54"/>
        <v>28</v>
      </c>
      <c r="L347" s="36"/>
      <c r="M347" s="36"/>
    </row>
    <row r="348" spans="1:13" s="28" customFormat="1" ht="15" customHeight="1">
      <c r="A348" s="25"/>
      <c r="B348" s="25"/>
      <c r="C348" s="25"/>
      <c r="D348" s="25"/>
      <c r="E348" s="25"/>
      <c r="F348" s="38"/>
      <c r="G348" s="25" t="s">
        <v>28</v>
      </c>
      <c r="H348" s="36"/>
      <c r="I348" s="39">
        <v>0.5</v>
      </c>
      <c r="J348" s="40">
        <v>15.5</v>
      </c>
      <c r="K348" s="57">
        <f t="shared" si="54"/>
        <v>7.75</v>
      </c>
      <c r="L348" s="36"/>
      <c r="M348" s="36"/>
    </row>
    <row r="349" spans="1:13" s="28" customFormat="1" ht="15" customHeight="1">
      <c r="A349" s="25"/>
      <c r="B349" s="25"/>
      <c r="C349" s="25"/>
      <c r="D349" s="25"/>
      <c r="E349" s="25"/>
      <c r="F349" s="38"/>
      <c r="G349" s="25" t="s">
        <v>83</v>
      </c>
      <c r="H349" s="36"/>
      <c r="I349" s="39">
        <v>1</v>
      </c>
      <c r="J349" s="40">
        <v>320</v>
      </c>
      <c r="K349" s="57">
        <f t="shared" si="54"/>
        <v>320</v>
      </c>
      <c r="L349" s="36"/>
      <c r="M349" s="36"/>
    </row>
    <row r="350" spans="1:13" s="28" customFormat="1" ht="15" customHeight="1">
      <c r="A350" s="25"/>
      <c r="B350" s="25"/>
      <c r="C350" s="25"/>
      <c r="D350" s="25"/>
      <c r="E350" s="25"/>
      <c r="F350" s="38"/>
      <c r="G350" s="25" t="s">
        <v>84</v>
      </c>
      <c r="H350" s="36"/>
      <c r="I350" s="39">
        <v>1</v>
      </c>
      <c r="J350" s="40">
        <v>275</v>
      </c>
      <c r="K350" s="57">
        <f t="shared" si="54"/>
        <v>275</v>
      </c>
      <c r="L350" s="36"/>
      <c r="M350" s="36"/>
    </row>
    <row r="351" spans="1:13" s="28" customFormat="1" ht="15" customHeight="1">
      <c r="A351" s="25"/>
      <c r="B351" s="25"/>
      <c r="C351" s="25"/>
      <c r="D351" s="25"/>
      <c r="E351" s="25"/>
      <c r="F351" s="38"/>
      <c r="G351" s="25" t="s">
        <v>85</v>
      </c>
      <c r="H351" s="25" t="s">
        <v>86</v>
      </c>
      <c r="I351" s="40"/>
      <c r="J351" s="40">
        <v>7000</v>
      </c>
      <c r="K351" s="40">
        <f t="shared" si="54"/>
        <v>0</v>
      </c>
      <c r="L351" s="36"/>
      <c r="M351" s="36"/>
    </row>
    <row r="352" spans="1:13" s="28" customFormat="1" ht="15" customHeight="1">
      <c r="A352" s="25"/>
      <c r="B352" s="25"/>
      <c r="C352" s="25"/>
      <c r="D352" s="25"/>
      <c r="E352" s="25"/>
      <c r="F352" s="38"/>
      <c r="G352" s="25" t="s">
        <v>87</v>
      </c>
      <c r="H352" s="25" t="s">
        <v>86</v>
      </c>
      <c r="I352" s="40">
        <v>1</v>
      </c>
      <c r="J352" s="40">
        <v>3500</v>
      </c>
      <c r="K352" s="40">
        <f t="shared" si="54"/>
        <v>3500</v>
      </c>
      <c r="L352" s="36"/>
      <c r="M352" s="36"/>
    </row>
    <row r="353" spans="1:13" s="28" customFormat="1" ht="15" customHeight="1">
      <c r="A353" s="25"/>
      <c r="B353" s="25"/>
      <c r="C353" s="25"/>
      <c r="D353" s="25"/>
      <c r="E353" s="25"/>
      <c r="F353" s="38"/>
      <c r="G353" s="25" t="s">
        <v>88</v>
      </c>
      <c r="H353" s="25" t="s">
        <v>86</v>
      </c>
      <c r="I353" s="40"/>
      <c r="J353" s="40">
        <v>3500</v>
      </c>
      <c r="K353" s="40">
        <f t="shared" si="54"/>
        <v>0</v>
      </c>
      <c r="L353" s="36"/>
      <c r="M353" s="36"/>
    </row>
    <row r="354" spans="1:13" s="28" customFormat="1" ht="15" customHeight="1">
      <c r="A354" s="25"/>
      <c r="B354" s="25"/>
      <c r="C354" s="25"/>
      <c r="D354" s="25"/>
      <c r="E354" s="37" t="s">
        <v>9</v>
      </c>
      <c r="F354" s="41">
        <f>SUM(F341:F353)</f>
        <v>142.16799999999998</v>
      </c>
      <c r="G354" s="37"/>
      <c r="H354" s="37"/>
      <c r="I354" s="40"/>
      <c r="J354" s="40"/>
      <c r="K354" s="42">
        <f>SUM(K341:K353)</f>
        <v>6042</v>
      </c>
      <c r="L354" s="42">
        <f>K354/F354</f>
        <v>42.499015249563904</v>
      </c>
      <c r="M354" s="36"/>
    </row>
    <row r="355" spans="1:13" s="28" customFormat="1" ht="15" customHeight="1">
      <c r="D355" s="43" t="s">
        <v>30</v>
      </c>
      <c r="E355" s="43"/>
      <c r="F355" s="45">
        <f>F265+F276+F292+F303+F314+F326+F340+F354</f>
        <v>448.37599999999998</v>
      </c>
      <c r="G355" s="46"/>
      <c r="H355" s="46"/>
      <c r="I355" s="46"/>
      <c r="J355" s="46"/>
      <c r="K355" s="45">
        <f>K265+K276+K292+K303+K314+K326+K340+K354</f>
        <v>46873.3</v>
      </c>
      <c r="L355" s="61">
        <f>K355/F355</f>
        <v>104.54016272057382</v>
      </c>
    </row>
    <row r="356" spans="1:13" s="28" customFormat="1" ht="15" customHeight="1"/>
    <row r="357" spans="1:13" s="28" customFormat="1" ht="15" customHeight="1"/>
    <row r="358" spans="1:13" s="28" customFormat="1" ht="15" customHeight="1"/>
    <row r="359" spans="1:13" s="28" customFormat="1" ht="15" customHeight="1"/>
    <row r="360" spans="1:13" s="28" customFormat="1" ht="15" customHeight="1"/>
    <row r="361" spans="1:13" s="28" customFormat="1" ht="15" customHeight="1">
      <c r="B361" s="47" t="s">
        <v>63</v>
      </c>
      <c r="C361" s="47"/>
      <c r="D361" s="47" t="s">
        <v>64</v>
      </c>
      <c r="E361" s="843" t="s">
        <v>65</v>
      </c>
      <c r="F361" s="843"/>
      <c r="G361" s="66" t="s">
        <v>66</v>
      </c>
      <c r="H361" s="47"/>
      <c r="I361" s="66" t="s">
        <v>67</v>
      </c>
      <c r="J361" s="47"/>
      <c r="K361" s="843" t="s">
        <v>68</v>
      </c>
      <c r="L361" s="843"/>
    </row>
    <row r="362" spans="1:13" s="28" customFormat="1" ht="15" customHeight="1"/>
    <row r="363" spans="1:13" s="28" customFormat="1" ht="15" customHeight="1"/>
    <row r="364" spans="1:13" s="28" customFormat="1" ht="15" customHeight="1"/>
    <row r="365" spans="1:13" s="28" customFormat="1" ht="15" customHeight="1"/>
    <row r="366" spans="1:13" s="28" customFormat="1" ht="15" customHeight="1"/>
    <row r="367" spans="1:13" s="28" customFormat="1" ht="15" customHeight="1"/>
    <row r="368" spans="1:13" s="28" customFormat="1" ht="15" customHeight="1"/>
    <row r="369" s="28" customFormat="1" ht="15" customHeight="1"/>
    <row r="370" s="28" customFormat="1" ht="15" customHeight="1"/>
    <row r="371" s="28" customFormat="1" ht="15" customHeight="1"/>
    <row r="372" s="28" customFormat="1" ht="15" customHeight="1"/>
    <row r="373" s="28" customFormat="1" ht="15" customHeight="1"/>
    <row r="374" s="28" customFormat="1" ht="15" customHeight="1"/>
    <row r="375" s="28" customFormat="1" ht="15" customHeight="1"/>
    <row r="376" s="28" customFormat="1" ht="15" customHeight="1"/>
    <row r="377" s="28" customFormat="1" ht="15" customHeight="1"/>
    <row r="378" s="28" customFormat="1" ht="15" customHeight="1"/>
    <row r="379" s="28" customFormat="1" ht="12.95" customHeight="1"/>
  </sheetData>
  <mergeCells count="35">
    <mergeCell ref="A301:B301"/>
    <mergeCell ref="C301:D301"/>
    <mergeCell ref="E301:F301"/>
    <mergeCell ref="H301:J301"/>
    <mergeCell ref="K301:M301"/>
    <mergeCell ref="B275:C275"/>
    <mergeCell ref="I275:J275"/>
    <mergeCell ref="I276:J276"/>
    <mergeCell ref="I277:J277"/>
    <mergeCell ref="I278:J278"/>
    <mergeCell ref="E361:F361"/>
    <mergeCell ref="K361:L361"/>
    <mergeCell ref="E232:F232"/>
    <mergeCell ref="K206:M206"/>
    <mergeCell ref="K234:M234"/>
    <mergeCell ref="I270:J270"/>
    <mergeCell ref="I271:J271"/>
    <mergeCell ref="D272:E272"/>
    <mergeCell ref="I272:J272"/>
    <mergeCell ref="I273:J273"/>
    <mergeCell ref="I274:J274"/>
    <mergeCell ref="D270:E270"/>
    <mergeCell ref="D271:E271"/>
    <mergeCell ref="A1:N1"/>
    <mergeCell ref="A2:N2"/>
    <mergeCell ref="A3:N3"/>
    <mergeCell ref="K4:M4"/>
    <mergeCell ref="K25:M25"/>
    <mergeCell ref="K66:M66"/>
    <mergeCell ref="K232:L232"/>
    <mergeCell ref="E201:F201"/>
    <mergeCell ref="K201:L201"/>
    <mergeCell ref="K87:M87"/>
    <mergeCell ref="K102:M102"/>
    <mergeCell ref="K168:M168"/>
  </mergeCells>
  <pageMargins left="0.45" right="0.2" top="0.25" bottom="0.25" header="0.3" footer="0.3"/>
  <pageSetup scale="8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228"/>
  <sheetViews>
    <sheetView topLeftCell="A16" workbookViewId="0">
      <selection activeCell="G87" sqref="G87:L90"/>
    </sheetView>
  </sheetViews>
  <sheetFormatPr defaultRowHeight="15"/>
  <cols>
    <col min="2" max="2" width="13.42578125" bestFit="1" customWidth="1"/>
    <col min="3" max="3" width="12.5703125" bestFit="1" customWidth="1"/>
    <col min="4" max="4" width="21.5703125" customWidth="1"/>
    <col min="5" max="5" width="12.7109375" bestFit="1" customWidth="1"/>
    <col min="6" max="6" width="11.5703125" bestFit="1" customWidth="1"/>
    <col min="7" max="7" width="24.42578125" bestFit="1" customWidth="1"/>
    <col min="8" max="8" width="6.42578125" bestFit="1" customWidth="1"/>
    <col min="9" max="9" width="10.5703125" bestFit="1" customWidth="1"/>
    <col min="10" max="10" width="10.42578125" customWidth="1"/>
    <col min="11" max="11" width="14" customWidth="1"/>
    <col min="12" max="12" width="9.42578125" customWidth="1"/>
    <col min="13" max="13" width="9.85546875" bestFit="1" customWidth="1"/>
    <col min="14" max="14" width="10.7109375" customWidth="1"/>
  </cols>
  <sheetData>
    <row r="1" spans="1:14" s="71" customFormat="1" ht="23.25">
      <c r="A1" s="846" t="s">
        <v>146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383"/>
    </row>
    <row r="2" spans="1:14" s="71" customFormat="1" ht="15.6" customHeight="1">
      <c r="A2" s="827" t="s">
        <v>147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384"/>
    </row>
    <row r="3" spans="1:14" s="441" customFormat="1" ht="15.6" customHeight="1">
      <c r="A3" s="828" t="s">
        <v>148</v>
      </c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  <c r="M3" s="828"/>
      <c r="N3" s="385"/>
    </row>
    <row r="4" spans="1:14" s="71" customFormat="1" ht="15.6" customHeight="1">
      <c r="A4" s="70" t="s">
        <v>21</v>
      </c>
      <c r="B4" s="70"/>
      <c r="C4" s="70"/>
      <c r="D4" s="70"/>
      <c r="E4" s="70"/>
      <c r="K4" s="824" t="s">
        <v>1076</v>
      </c>
      <c r="L4" s="824"/>
      <c r="M4" s="824"/>
    </row>
    <row r="5" spans="1:14" s="71" customFormat="1" ht="15.6" customHeight="1">
      <c r="A5" s="550" t="s">
        <v>0</v>
      </c>
      <c r="B5" s="550" t="s">
        <v>7</v>
      </c>
      <c r="C5" s="550" t="s">
        <v>13</v>
      </c>
      <c r="D5" s="550" t="s">
        <v>14</v>
      </c>
      <c r="E5" s="550" t="s">
        <v>8</v>
      </c>
      <c r="F5" s="550" t="s">
        <v>1</v>
      </c>
      <c r="G5" s="550" t="s">
        <v>2</v>
      </c>
      <c r="H5" s="550" t="s">
        <v>15</v>
      </c>
      <c r="I5" s="550" t="s">
        <v>3</v>
      </c>
      <c r="J5" s="550" t="s">
        <v>4</v>
      </c>
      <c r="K5" s="550" t="s">
        <v>5</v>
      </c>
      <c r="L5" s="550" t="s">
        <v>12</v>
      </c>
      <c r="M5" s="550" t="s">
        <v>6</v>
      </c>
    </row>
    <row r="6" spans="1:14" s="71" customFormat="1" ht="15.6" customHeight="1">
      <c r="A6" s="551">
        <v>1</v>
      </c>
      <c r="B6" s="552" t="s">
        <v>1077</v>
      </c>
      <c r="C6" s="552" t="s">
        <v>1078</v>
      </c>
      <c r="D6" s="552" t="s">
        <v>1079</v>
      </c>
      <c r="E6" s="552"/>
      <c r="F6" s="87">
        <f>9558*1.0936</f>
        <v>10452.628799999999</v>
      </c>
      <c r="G6" s="552" t="s">
        <v>170</v>
      </c>
      <c r="H6" s="79"/>
      <c r="I6" s="80">
        <v>15</v>
      </c>
      <c r="J6" s="81">
        <v>227</v>
      </c>
      <c r="K6" s="81">
        <f t="shared" ref="K6:K7" si="0">I6*J6</f>
        <v>3405</v>
      </c>
      <c r="L6" s="102"/>
      <c r="M6" s="156">
        <f>I6+I11+I14</f>
        <v>41.5</v>
      </c>
      <c r="N6" s="259">
        <f>I6+I11+I14</f>
        <v>41.5</v>
      </c>
    </row>
    <row r="7" spans="1:14" s="71" customFormat="1" ht="15.6" customHeight="1">
      <c r="A7" s="551"/>
      <c r="B7" s="552"/>
      <c r="C7" s="552"/>
      <c r="D7" s="552"/>
      <c r="E7" s="552"/>
      <c r="F7" s="87"/>
      <c r="G7" s="552" t="s">
        <v>171</v>
      </c>
      <c r="H7" s="79"/>
      <c r="I7" s="80">
        <v>9</v>
      </c>
      <c r="J7" s="81">
        <v>416</v>
      </c>
      <c r="K7" s="81">
        <f t="shared" si="0"/>
        <v>3744</v>
      </c>
      <c r="L7" s="102"/>
      <c r="M7" s="156" t="e">
        <f>I7+I12+I15+#REF!+#REF!+I25+#REF!+#REF!</f>
        <v>#REF!</v>
      </c>
      <c r="N7" s="552" t="s">
        <v>174</v>
      </c>
    </row>
    <row r="8" spans="1:14" s="71" customFormat="1" ht="15.6" customHeight="1">
      <c r="A8" s="551"/>
      <c r="B8" s="552"/>
      <c r="C8" s="552"/>
      <c r="D8" s="552"/>
      <c r="E8" s="552"/>
      <c r="F8" s="87"/>
      <c r="G8" s="552" t="s">
        <v>172</v>
      </c>
      <c r="H8" s="79"/>
      <c r="I8" s="80">
        <v>12</v>
      </c>
      <c r="J8" s="81">
        <v>165</v>
      </c>
      <c r="K8" s="81">
        <f>I8*J8</f>
        <v>1980</v>
      </c>
      <c r="L8" s="102"/>
      <c r="M8" s="156" t="e">
        <f>I8+I12+I16+#REF!+#REF!+I26+#REF!+#REF!</f>
        <v>#REF!</v>
      </c>
      <c r="N8" s="552" t="s">
        <v>172</v>
      </c>
    </row>
    <row r="9" spans="1:14" s="71" customFormat="1" ht="15.6" customHeight="1">
      <c r="A9" s="551"/>
      <c r="B9" s="552"/>
      <c r="C9" s="552"/>
      <c r="D9" s="552"/>
      <c r="E9" s="550" t="s">
        <v>9</v>
      </c>
      <c r="F9" s="110">
        <f>SUM(F5:F8)</f>
        <v>10452.628799999999</v>
      </c>
      <c r="G9" s="550"/>
      <c r="H9" s="550"/>
      <c r="I9" s="125"/>
      <c r="J9" s="97"/>
      <c r="K9" s="111">
        <f>SUM(K6:K8)</f>
        <v>9129</v>
      </c>
      <c r="L9" s="111">
        <f>K9/F9</f>
        <v>0.87336881225515262</v>
      </c>
      <c r="M9" s="156" t="e">
        <f>#REF!+#REF!+I23+#REF!+#REF!+I38+I41+I44</f>
        <v>#REF!</v>
      </c>
      <c r="N9" s="552" t="s">
        <v>24</v>
      </c>
    </row>
    <row r="10" spans="1:14" s="71" customFormat="1" ht="15.6" customHeight="1">
      <c r="A10" s="551">
        <v>2</v>
      </c>
      <c r="B10" s="552" t="s">
        <v>1080</v>
      </c>
      <c r="C10" s="552" t="s">
        <v>515</v>
      </c>
      <c r="D10" s="552" t="s">
        <v>521</v>
      </c>
      <c r="E10" s="551"/>
      <c r="F10" s="90">
        <f>1550*1.0936</f>
        <v>1695.08</v>
      </c>
      <c r="G10" s="552" t="s">
        <v>170</v>
      </c>
      <c r="H10" s="79"/>
      <c r="I10" s="80">
        <v>2.5</v>
      </c>
      <c r="J10" s="81">
        <v>227</v>
      </c>
      <c r="K10" s="81">
        <f t="shared" ref="K10:K11" si="1">I10*J10</f>
        <v>567.5</v>
      </c>
      <c r="L10" s="102"/>
      <c r="M10" s="156" t="e">
        <f>#REF!+#REF!+I24+#REF!+#REF!</f>
        <v>#REF!</v>
      </c>
      <c r="N10" s="552" t="s">
        <v>175</v>
      </c>
    </row>
    <row r="11" spans="1:14" s="71" customFormat="1" ht="15.6" customHeight="1">
      <c r="A11" s="551"/>
      <c r="B11" s="552"/>
      <c r="C11" s="552"/>
      <c r="D11" s="552"/>
      <c r="E11" s="552"/>
      <c r="F11" s="552"/>
      <c r="G11" s="552" t="s">
        <v>171</v>
      </c>
      <c r="H11" s="79"/>
      <c r="I11" s="80">
        <v>1.5</v>
      </c>
      <c r="J11" s="81">
        <v>416</v>
      </c>
      <c r="K11" s="81">
        <f t="shared" si="1"/>
        <v>624</v>
      </c>
      <c r="L11" s="102"/>
      <c r="M11" s="156" t="e">
        <f>#REF!+#REF!+I27+#REF!+#REF!</f>
        <v>#REF!</v>
      </c>
      <c r="N11" s="553" t="s">
        <v>176</v>
      </c>
    </row>
    <row r="12" spans="1:14" s="71" customFormat="1" ht="15.6" customHeight="1">
      <c r="A12" s="551"/>
      <c r="B12" s="552"/>
      <c r="C12" s="552"/>
      <c r="D12" s="552"/>
      <c r="E12" s="552"/>
      <c r="F12" s="552"/>
      <c r="G12" s="552" t="s">
        <v>172</v>
      </c>
      <c r="H12" s="79"/>
      <c r="I12" s="80">
        <v>2</v>
      </c>
      <c r="J12" s="81">
        <v>165</v>
      </c>
      <c r="K12" s="81">
        <f>I12*J12</f>
        <v>330</v>
      </c>
      <c r="L12" s="102"/>
      <c r="M12" s="156">
        <f>I39+I42+I45</f>
        <v>15</v>
      </c>
      <c r="N12" s="430" t="s">
        <v>10</v>
      </c>
    </row>
    <row r="13" spans="1:14" s="71" customFormat="1" ht="15.6" customHeight="1">
      <c r="A13" s="551"/>
      <c r="B13" s="552"/>
      <c r="C13" s="552"/>
      <c r="D13" s="552"/>
      <c r="E13" s="550" t="s">
        <v>9</v>
      </c>
      <c r="F13" s="110">
        <f>SUM(F10:F12)</f>
        <v>1695.08</v>
      </c>
      <c r="G13" s="550"/>
      <c r="H13" s="550"/>
      <c r="I13" s="125"/>
      <c r="J13" s="97"/>
      <c r="K13" s="111">
        <f>SUM(K10:K12)</f>
        <v>1521.5</v>
      </c>
      <c r="L13" s="111">
        <f>K13/F13</f>
        <v>0.89759775349836002</v>
      </c>
      <c r="M13" s="156"/>
      <c r="N13" s="227"/>
    </row>
    <row r="14" spans="1:14" s="71" customFormat="1" ht="15.6" customHeight="1">
      <c r="A14" s="551">
        <v>3</v>
      </c>
      <c r="B14" s="552" t="s">
        <v>269</v>
      </c>
      <c r="C14" s="552"/>
      <c r="D14" s="552"/>
      <c r="E14" s="551"/>
      <c r="F14" s="90">
        <f>175*1.0936</f>
        <v>191.38</v>
      </c>
      <c r="G14" s="552" t="s">
        <v>24</v>
      </c>
      <c r="H14" s="79"/>
      <c r="I14" s="80">
        <v>25</v>
      </c>
      <c r="J14" s="81">
        <v>74</v>
      </c>
      <c r="K14" s="81">
        <f t="shared" ref="K14:K16" si="2">I14*J14</f>
        <v>1850</v>
      </c>
      <c r="L14" s="102"/>
      <c r="M14" s="156"/>
      <c r="N14" s="227"/>
    </row>
    <row r="15" spans="1:14" s="71" customFormat="1" ht="15.6" customHeight="1">
      <c r="A15" s="551"/>
      <c r="B15" s="552"/>
      <c r="C15" s="552"/>
      <c r="D15" s="552"/>
      <c r="E15" s="551"/>
      <c r="F15" s="98"/>
      <c r="G15" s="88" t="s">
        <v>18</v>
      </c>
      <c r="H15" s="79"/>
      <c r="I15" s="80">
        <v>11</v>
      </c>
      <c r="J15" s="81">
        <v>46</v>
      </c>
      <c r="K15" s="81">
        <f t="shared" si="2"/>
        <v>506</v>
      </c>
      <c r="L15" s="102"/>
      <c r="M15" s="156"/>
      <c r="N15" s="227"/>
    </row>
    <row r="16" spans="1:14" s="71" customFormat="1" ht="15.6" customHeight="1">
      <c r="A16" s="551"/>
      <c r="B16" s="552"/>
      <c r="C16" s="552"/>
      <c r="D16" s="552"/>
      <c r="E16" s="551"/>
      <c r="F16" s="98"/>
      <c r="G16" s="552" t="s">
        <v>1067</v>
      </c>
      <c r="H16" s="79"/>
      <c r="I16" s="80">
        <v>3</v>
      </c>
      <c r="J16" s="81">
        <v>416</v>
      </c>
      <c r="K16" s="81">
        <f t="shared" si="2"/>
        <v>1248</v>
      </c>
      <c r="L16" s="102"/>
      <c r="M16" s="156"/>
      <c r="N16" s="227"/>
    </row>
    <row r="17" spans="1:14" s="71" customFormat="1" ht="15.6" customHeight="1">
      <c r="A17" s="551"/>
      <c r="B17" s="552"/>
      <c r="C17" s="552"/>
      <c r="D17" s="552"/>
      <c r="E17" s="551"/>
      <c r="F17" s="98"/>
      <c r="G17" s="552" t="s">
        <v>1065</v>
      </c>
      <c r="H17" s="79"/>
      <c r="I17" s="80">
        <v>2</v>
      </c>
      <c r="J17" s="81">
        <v>165</v>
      </c>
      <c r="K17" s="81">
        <f>I17*J17</f>
        <v>330</v>
      </c>
      <c r="L17" s="102"/>
      <c r="M17" s="156"/>
      <c r="N17" s="227"/>
    </row>
    <row r="18" spans="1:14" s="71" customFormat="1" ht="15.6" customHeight="1">
      <c r="A18" s="551"/>
      <c r="B18" s="552"/>
      <c r="C18" s="552"/>
      <c r="D18" s="552"/>
      <c r="E18" s="551"/>
      <c r="F18" s="98"/>
      <c r="G18" s="553" t="s">
        <v>1066</v>
      </c>
      <c r="H18" s="79"/>
      <c r="I18" s="80">
        <v>2.5</v>
      </c>
      <c r="J18" s="81">
        <v>165</v>
      </c>
      <c r="K18" s="81">
        <f t="shared" ref="K18" si="3">I18*J18</f>
        <v>412.5</v>
      </c>
      <c r="L18" s="102"/>
      <c r="M18" s="156"/>
      <c r="N18" s="227"/>
    </row>
    <row r="19" spans="1:14" s="71" customFormat="1" ht="15.6" customHeight="1">
      <c r="A19" s="551"/>
      <c r="B19" s="551"/>
      <c r="C19" s="551"/>
      <c r="D19" s="551"/>
      <c r="E19" s="550" t="s">
        <v>9</v>
      </c>
      <c r="F19" s="110">
        <f>SUM(F14:F18)</f>
        <v>191.38</v>
      </c>
      <c r="G19" s="550"/>
      <c r="H19" s="550"/>
      <c r="I19" s="125"/>
      <c r="J19" s="97"/>
      <c r="K19" s="111">
        <f>SUM(K14:K18)</f>
        <v>4346.5</v>
      </c>
      <c r="L19" s="111">
        <f>K19/F19</f>
        <v>22.711359598704149</v>
      </c>
      <c r="M19" s="102"/>
    </row>
    <row r="20" spans="1:14" s="71" customFormat="1" ht="15.6" customHeight="1">
      <c r="D20" s="126" t="s">
        <v>30</v>
      </c>
      <c r="E20" s="126"/>
      <c r="F20" s="127">
        <f>F9+F13+F19</f>
        <v>12339.088799999998</v>
      </c>
      <c r="G20" s="128"/>
      <c r="H20" s="128"/>
      <c r="I20" s="128"/>
      <c r="J20" s="128"/>
      <c r="K20" s="127">
        <f>K9+K13+K19</f>
        <v>14997</v>
      </c>
      <c r="L20" s="129">
        <f>K20/F20</f>
        <v>1.2154057923628852</v>
      </c>
    </row>
    <row r="21" spans="1:14" s="71" customFormat="1" ht="15.6" customHeight="1">
      <c r="A21" s="70" t="s">
        <v>23</v>
      </c>
      <c r="B21" s="70"/>
      <c r="C21" s="70"/>
      <c r="D21" s="70"/>
      <c r="E21" s="70"/>
      <c r="K21" s="824" t="s">
        <v>1076</v>
      </c>
      <c r="L21" s="824"/>
      <c r="M21" s="824"/>
    </row>
    <row r="22" spans="1:14" s="71" customFormat="1" ht="15.6" customHeight="1">
      <c r="A22" s="550" t="s">
        <v>0</v>
      </c>
      <c r="B22" s="550" t="s">
        <v>7</v>
      </c>
      <c r="C22" s="550" t="s">
        <v>13</v>
      </c>
      <c r="D22" s="550" t="s">
        <v>14</v>
      </c>
      <c r="E22" s="550" t="s">
        <v>8</v>
      </c>
      <c r="F22" s="550" t="s">
        <v>1</v>
      </c>
      <c r="G22" s="550" t="s">
        <v>2</v>
      </c>
      <c r="H22" s="550" t="s">
        <v>15</v>
      </c>
      <c r="I22" s="550" t="s">
        <v>3</v>
      </c>
      <c r="J22" s="550" t="s">
        <v>4</v>
      </c>
      <c r="K22" s="550" t="s">
        <v>5</v>
      </c>
      <c r="L22" s="550" t="s">
        <v>12</v>
      </c>
      <c r="M22" s="550" t="s">
        <v>6</v>
      </c>
    </row>
    <row r="23" spans="1:14" s="71" customFormat="1" ht="15.6" customHeight="1">
      <c r="A23" s="551">
        <v>1</v>
      </c>
      <c r="B23" s="552" t="s">
        <v>1041</v>
      </c>
      <c r="C23" s="89" t="s">
        <v>1075</v>
      </c>
      <c r="D23" s="89" t="s">
        <v>364</v>
      </c>
      <c r="E23" s="552"/>
      <c r="F23" s="87">
        <f>2500*1.0936</f>
        <v>2733.9999999999995</v>
      </c>
      <c r="G23" s="552" t="s">
        <v>24</v>
      </c>
      <c r="H23" s="79"/>
      <c r="I23" s="80">
        <v>30</v>
      </c>
      <c r="J23" s="81">
        <v>74</v>
      </c>
      <c r="K23" s="81">
        <f t="shared" ref="K23:K25" si="4">I23*J23</f>
        <v>2220</v>
      </c>
      <c r="L23" s="102"/>
      <c r="M23" s="124"/>
    </row>
    <row r="24" spans="1:14" s="71" customFormat="1" ht="15.6" customHeight="1">
      <c r="A24" s="551"/>
      <c r="B24" s="552" t="s">
        <v>269</v>
      </c>
      <c r="C24" s="552"/>
      <c r="D24" s="552"/>
      <c r="E24" s="552"/>
      <c r="F24" s="87">
        <f>290*1.0936</f>
        <v>317.14399999999995</v>
      </c>
      <c r="G24" s="88" t="s">
        <v>18</v>
      </c>
      <c r="H24" s="79"/>
      <c r="I24" s="80">
        <v>15</v>
      </c>
      <c r="J24" s="81">
        <v>46</v>
      </c>
      <c r="K24" s="81">
        <f t="shared" si="4"/>
        <v>690</v>
      </c>
      <c r="L24" s="102"/>
      <c r="M24" s="102"/>
    </row>
    <row r="25" spans="1:14" s="71" customFormat="1" ht="15.6" customHeight="1">
      <c r="A25" s="551"/>
      <c r="B25" s="552"/>
      <c r="C25" s="552"/>
      <c r="D25" s="552"/>
      <c r="E25" s="551"/>
      <c r="F25" s="98"/>
      <c r="G25" s="552" t="s">
        <v>1067</v>
      </c>
      <c r="H25" s="79"/>
      <c r="I25" s="80">
        <v>10</v>
      </c>
      <c r="J25" s="81">
        <v>416</v>
      </c>
      <c r="K25" s="81">
        <f t="shared" si="4"/>
        <v>4160</v>
      </c>
      <c r="L25" s="102"/>
      <c r="M25" s="102"/>
    </row>
    <row r="26" spans="1:14" s="71" customFormat="1" ht="15.6" customHeight="1">
      <c r="A26" s="551"/>
      <c r="B26" s="551"/>
      <c r="C26" s="551"/>
      <c r="D26" s="551"/>
      <c r="E26" s="551"/>
      <c r="F26" s="98"/>
      <c r="G26" s="552" t="s">
        <v>1065</v>
      </c>
      <c r="H26" s="79"/>
      <c r="I26" s="80">
        <v>5</v>
      </c>
      <c r="J26" s="81">
        <v>165</v>
      </c>
      <c r="K26" s="81">
        <f>I26*J26</f>
        <v>825</v>
      </c>
      <c r="L26" s="102"/>
      <c r="M26" s="102"/>
    </row>
    <row r="27" spans="1:14" s="71" customFormat="1" ht="15.6" customHeight="1">
      <c r="A27" s="551"/>
      <c r="B27" s="551"/>
      <c r="C27" s="551"/>
      <c r="D27" s="551"/>
      <c r="E27" s="551"/>
      <c r="F27" s="98"/>
      <c r="G27" s="553" t="s">
        <v>1066</v>
      </c>
      <c r="H27" s="79"/>
      <c r="I27" s="80">
        <v>8</v>
      </c>
      <c r="J27" s="81">
        <v>165</v>
      </c>
      <c r="K27" s="81">
        <f t="shared" ref="K27" si="5">I27*J27</f>
        <v>1320</v>
      </c>
      <c r="L27" s="102"/>
      <c r="M27" s="102"/>
    </row>
    <row r="28" spans="1:14" s="71" customFormat="1" ht="15.6" customHeight="1">
      <c r="A28" s="579"/>
      <c r="B28" s="579"/>
      <c r="C28" s="579"/>
      <c r="D28" s="579"/>
      <c r="E28" s="576" t="s">
        <v>9</v>
      </c>
      <c r="F28" s="110">
        <f>SUM(F23:F27)</f>
        <v>3051.1439999999993</v>
      </c>
      <c r="G28" s="576"/>
      <c r="H28" s="576"/>
      <c r="I28" s="125"/>
      <c r="J28" s="97"/>
      <c r="K28" s="111">
        <f>SUM(K23:K27)</f>
        <v>9215</v>
      </c>
      <c r="L28" s="111">
        <f>K28/F28</f>
        <v>3.0201786608563879</v>
      </c>
      <c r="M28" s="102"/>
    </row>
    <row r="29" spans="1:14" s="71" customFormat="1" ht="15.6" customHeight="1">
      <c r="A29" s="579">
        <v>2</v>
      </c>
      <c r="B29" s="577" t="s">
        <v>1077</v>
      </c>
      <c r="C29" s="577" t="s">
        <v>1078</v>
      </c>
      <c r="D29" s="577" t="s">
        <v>1079</v>
      </c>
      <c r="E29" s="577"/>
      <c r="F29" s="87">
        <f>9558*1.0936</f>
        <v>10452.628799999999</v>
      </c>
      <c r="G29" s="577" t="s">
        <v>24</v>
      </c>
      <c r="H29" s="79"/>
      <c r="I29" s="80">
        <v>150</v>
      </c>
      <c r="J29" s="81">
        <v>74</v>
      </c>
      <c r="K29" s="81">
        <f t="shared" ref="K29:K31" si="6">I29*J29</f>
        <v>11100</v>
      </c>
      <c r="L29" s="102"/>
      <c r="M29" s="102"/>
    </row>
    <row r="30" spans="1:14" s="71" customFormat="1" ht="15.6" customHeight="1">
      <c r="A30" s="579"/>
      <c r="B30" s="579"/>
      <c r="C30" s="579"/>
      <c r="D30" s="579"/>
      <c r="E30" s="579"/>
      <c r="F30" s="98"/>
      <c r="G30" s="88" t="s">
        <v>18</v>
      </c>
      <c r="H30" s="79"/>
      <c r="I30" s="80">
        <v>75</v>
      </c>
      <c r="J30" s="81">
        <v>46</v>
      </c>
      <c r="K30" s="81">
        <f t="shared" si="6"/>
        <v>3450</v>
      </c>
      <c r="L30" s="102"/>
      <c r="M30" s="102"/>
    </row>
    <row r="31" spans="1:14" s="71" customFormat="1" ht="15.6" customHeight="1">
      <c r="A31" s="579"/>
      <c r="B31" s="579"/>
      <c r="C31" s="579"/>
      <c r="D31" s="579"/>
      <c r="E31" s="579"/>
      <c r="F31" s="98"/>
      <c r="G31" s="577" t="s">
        <v>1067</v>
      </c>
      <c r="H31" s="79"/>
      <c r="I31" s="80">
        <v>35</v>
      </c>
      <c r="J31" s="81">
        <v>416</v>
      </c>
      <c r="K31" s="81">
        <f t="shared" si="6"/>
        <v>14560</v>
      </c>
      <c r="L31" s="102"/>
      <c r="M31" s="102"/>
    </row>
    <row r="32" spans="1:14" s="71" customFormat="1" ht="15.6" customHeight="1">
      <c r="A32" s="579"/>
      <c r="B32" s="579"/>
      <c r="C32" s="579"/>
      <c r="D32" s="579"/>
      <c r="E32" s="579"/>
      <c r="F32" s="98"/>
      <c r="G32" s="577" t="s">
        <v>1065</v>
      </c>
      <c r="H32" s="79"/>
      <c r="I32" s="80">
        <v>20</v>
      </c>
      <c r="J32" s="81">
        <v>165</v>
      </c>
      <c r="K32" s="81">
        <f>I32*J32</f>
        <v>3300</v>
      </c>
      <c r="L32" s="102"/>
      <c r="M32" s="102"/>
    </row>
    <row r="33" spans="1:13" s="71" customFormat="1" ht="15.6" customHeight="1">
      <c r="A33" s="579"/>
      <c r="B33" s="579"/>
      <c r="C33" s="579"/>
      <c r="D33" s="579"/>
      <c r="E33" s="579"/>
      <c r="F33" s="98"/>
      <c r="G33" s="578" t="s">
        <v>1066</v>
      </c>
      <c r="H33" s="79"/>
      <c r="I33" s="80">
        <v>25</v>
      </c>
      <c r="J33" s="81">
        <v>165</v>
      </c>
      <c r="K33" s="81">
        <f t="shared" ref="K33" si="7">I33*J33</f>
        <v>4125</v>
      </c>
      <c r="L33" s="102"/>
      <c r="M33" s="102"/>
    </row>
    <row r="34" spans="1:13" s="71" customFormat="1" ht="15.6" customHeight="1">
      <c r="A34" s="551"/>
      <c r="B34" s="551"/>
      <c r="C34" s="551"/>
      <c r="D34" s="551"/>
      <c r="E34" s="550" t="s">
        <v>9</v>
      </c>
      <c r="F34" s="110">
        <f>SUM(F29:F33)</f>
        <v>10452.628799999999</v>
      </c>
      <c r="G34" s="550"/>
      <c r="H34" s="550"/>
      <c r="I34" s="125"/>
      <c r="J34" s="97"/>
      <c r="K34" s="111">
        <f>SUM(K29:K33)</f>
        <v>36535</v>
      </c>
      <c r="L34" s="111">
        <f>K34/F34</f>
        <v>3.4952929735723521</v>
      </c>
      <c r="M34" s="153"/>
    </row>
    <row r="35" spans="1:13" s="71" customFormat="1" ht="15.6" customHeight="1">
      <c r="A35" s="131"/>
      <c r="B35" s="131"/>
      <c r="C35" s="131"/>
      <c r="D35" s="550" t="s">
        <v>30</v>
      </c>
      <c r="E35" s="550"/>
      <c r="F35" s="127">
        <f>F28+F34</f>
        <v>13503.772799999999</v>
      </c>
      <c r="G35" s="132"/>
      <c r="H35" s="132"/>
      <c r="I35" s="132"/>
      <c r="J35" s="132"/>
      <c r="K35" s="127">
        <f>K28+K34</f>
        <v>45750</v>
      </c>
      <c r="L35" s="129">
        <f>K35/F35</f>
        <v>3.3879420720111644</v>
      </c>
      <c r="M35" s="102"/>
    </row>
    <row r="36" spans="1:13" s="71" customFormat="1" ht="15.6" customHeight="1">
      <c r="A36" s="70" t="s">
        <v>22</v>
      </c>
      <c r="B36" s="70"/>
      <c r="C36" s="70"/>
      <c r="D36" s="70"/>
      <c r="E36" s="70"/>
      <c r="K36" s="824" t="s">
        <v>1076</v>
      </c>
      <c r="L36" s="824"/>
      <c r="M36" s="824"/>
    </row>
    <row r="37" spans="1:13" s="71" customFormat="1" ht="15.6" customHeight="1">
      <c r="A37" s="550" t="s">
        <v>0</v>
      </c>
      <c r="B37" s="550" t="s">
        <v>7</v>
      </c>
      <c r="C37" s="550" t="s">
        <v>13</v>
      </c>
      <c r="D37" s="550" t="s">
        <v>14</v>
      </c>
      <c r="E37" s="550" t="s">
        <v>8</v>
      </c>
      <c r="F37" s="550" t="s">
        <v>1</v>
      </c>
      <c r="G37" s="550" t="s">
        <v>2</v>
      </c>
      <c r="H37" s="550" t="s">
        <v>15</v>
      </c>
      <c r="I37" s="550" t="s">
        <v>3</v>
      </c>
      <c r="J37" s="550" t="s">
        <v>4</v>
      </c>
      <c r="K37" s="550" t="s">
        <v>5</v>
      </c>
      <c r="L37" s="550" t="s">
        <v>12</v>
      </c>
      <c r="M37" s="550" t="s">
        <v>6</v>
      </c>
    </row>
    <row r="38" spans="1:13" s="71" customFormat="1" ht="15.6" customHeight="1">
      <c r="A38" s="551">
        <v>1</v>
      </c>
      <c r="B38" s="552" t="s">
        <v>1041</v>
      </c>
      <c r="C38" s="89" t="s">
        <v>1075</v>
      </c>
      <c r="D38" s="89" t="s">
        <v>364</v>
      </c>
      <c r="E38" s="552"/>
      <c r="F38" s="87">
        <f>2600*1.0936</f>
        <v>2843.3599999999997</v>
      </c>
      <c r="G38" s="552" t="s">
        <v>24</v>
      </c>
      <c r="H38" s="79"/>
      <c r="I38" s="80">
        <v>27</v>
      </c>
      <c r="J38" s="81">
        <v>74</v>
      </c>
      <c r="K38" s="81">
        <f t="shared" ref="K38:K39" si="8">I38*J38</f>
        <v>1998</v>
      </c>
      <c r="L38" s="102"/>
      <c r="M38" s="124"/>
    </row>
    <row r="39" spans="1:13" s="71" customFormat="1" ht="15.6" customHeight="1">
      <c r="A39" s="551"/>
      <c r="B39" s="552"/>
      <c r="C39" s="552"/>
      <c r="D39" s="552"/>
      <c r="E39" s="551"/>
      <c r="F39" s="98"/>
      <c r="G39" s="430" t="s">
        <v>10</v>
      </c>
      <c r="H39" s="79"/>
      <c r="I39" s="80">
        <v>10</v>
      </c>
      <c r="J39" s="81">
        <v>120</v>
      </c>
      <c r="K39" s="81">
        <f t="shared" si="8"/>
        <v>1200</v>
      </c>
      <c r="L39" s="102"/>
      <c r="M39" s="102"/>
    </row>
    <row r="40" spans="1:13" s="71" customFormat="1" ht="15.6" customHeight="1">
      <c r="A40" s="551"/>
      <c r="B40" s="552"/>
      <c r="C40" s="552"/>
      <c r="D40" s="552"/>
      <c r="E40" s="550" t="s">
        <v>9</v>
      </c>
      <c r="F40" s="110">
        <f>SUM(F38:F39)</f>
        <v>2843.3599999999997</v>
      </c>
      <c r="G40" s="550"/>
      <c r="H40" s="550"/>
      <c r="I40" s="125"/>
      <c r="J40" s="97"/>
      <c r="K40" s="111">
        <f>SUM(K38:K39)</f>
        <v>3198</v>
      </c>
      <c r="L40" s="111">
        <f>K40/F40</f>
        <v>1.1247256766642284</v>
      </c>
      <c r="M40" s="102"/>
    </row>
    <row r="41" spans="1:13" s="71" customFormat="1" ht="15.6" customHeight="1">
      <c r="A41" s="551">
        <v>2</v>
      </c>
      <c r="B41" s="552" t="s">
        <v>1041</v>
      </c>
      <c r="C41" s="89" t="s">
        <v>1075</v>
      </c>
      <c r="D41" s="89" t="s">
        <v>364</v>
      </c>
      <c r="E41" s="552"/>
      <c r="F41" s="87">
        <f>1200*1.0936</f>
        <v>1312.32</v>
      </c>
      <c r="G41" s="552" t="s">
        <v>24</v>
      </c>
      <c r="H41" s="79"/>
      <c r="I41" s="80">
        <v>18</v>
      </c>
      <c r="J41" s="81">
        <v>74</v>
      </c>
      <c r="K41" s="81">
        <f t="shared" ref="K41:K42" si="9">I41*J41</f>
        <v>1332</v>
      </c>
      <c r="L41" s="102"/>
      <c r="M41" s="102"/>
    </row>
    <row r="42" spans="1:13" s="71" customFormat="1" ht="15.6" customHeight="1">
      <c r="A42" s="551"/>
      <c r="B42" s="552"/>
      <c r="C42" s="552"/>
      <c r="D42" s="552"/>
      <c r="E42" s="551"/>
      <c r="F42" s="98"/>
      <c r="G42" s="430" t="s">
        <v>10</v>
      </c>
      <c r="H42" s="79"/>
      <c r="I42" s="80"/>
      <c r="J42" s="81">
        <v>120</v>
      </c>
      <c r="K42" s="81">
        <f t="shared" si="9"/>
        <v>0</v>
      </c>
      <c r="L42" s="102"/>
      <c r="M42" s="102"/>
    </row>
    <row r="43" spans="1:13" s="71" customFormat="1" ht="15.6" customHeight="1">
      <c r="A43" s="551"/>
      <c r="B43" s="552"/>
      <c r="C43" s="552"/>
      <c r="D43" s="552"/>
      <c r="E43" s="550" t="s">
        <v>9</v>
      </c>
      <c r="F43" s="110">
        <f>SUM(F41:F42)</f>
        <v>1312.32</v>
      </c>
      <c r="G43" s="550"/>
      <c r="H43" s="550"/>
      <c r="I43" s="125"/>
      <c r="J43" s="97"/>
      <c r="K43" s="111">
        <f>SUM(K41:K42)</f>
        <v>1332</v>
      </c>
      <c r="L43" s="111">
        <f>K43/F43</f>
        <v>1.0149963423555231</v>
      </c>
      <c r="M43" s="102"/>
    </row>
    <row r="44" spans="1:13" s="71" customFormat="1" ht="15.6" customHeight="1">
      <c r="A44" s="551">
        <v>3</v>
      </c>
      <c r="B44" s="552" t="s">
        <v>1042</v>
      </c>
      <c r="C44" s="552" t="s">
        <v>271</v>
      </c>
      <c r="D44" s="552" t="s">
        <v>1043</v>
      </c>
      <c r="E44" s="552"/>
      <c r="F44" s="87">
        <f>1239*1.0936</f>
        <v>1354.9703999999999</v>
      </c>
      <c r="G44" s="552" t="s">
        <v>24</v>
      </c>
      <c r="H44" s="79"/>
      <c r="I44" s="80">
        <v>24</v>
      </c>
      <c r="J44" s="81">
        <v>74</v>
      </c>
      <c r="K44" s="81">
        <f t="shared" ref="K44:K45" si="10">I44*J44</f>
        <v>1776</v>
      </c>
      <c r="L44" s="102"/>
      <c r="M44" s="102"/>
    </row>
    <row r="45" spans="1:13" s="71" customFormat="1" ht="15.6" customHeight="1">
      <c r="A45" s="551"/>
      <c r="B45" s="552"/>
      <c r="C45" s="552"/>
      <c r="D45" s="552"/>
      <c r="E45" s="551"/>
      <c r="F45" s="90"/>
      <c r="G45" s="430" t="s">
        <v>10</v>
      </c>
      <c r="H45" s="79"/>
      <c r="I45" s="80">
        <v>5</v>
      </c>
      <c r="J45" s="81">
        <v>120</v>
      </c>
      <c r="K45" s="81">
        <f t="shared" si="10"/>
        <v>600</v>
      </c>
      <c r="L45" s="102"/>
      <c r="M45" s="102"/>
    </row>
    <row r="46" spans="1:13" s="71" customFormat="1" ht="15.6" customHeight="1">
      <c r="A46" s="551"/>
      <c r="B46" s="551"/>
      <c r="C46" s="551"/>
      <c r="D46" s="551"/>
      <c r="E46" s="550" t="s">
        <v>9</v>
      </c>
      <c r="F46" s="110">
        <f>SUM(F44:F45)</f>
        <v>1354.9703999999999</v>
      </c>
      <c r="G46" s="550"/>
      <c r="H46" s="550"/>
      <c r="I46" s="125"/>
      <c r="J46" s="97"/>
      <c r="K46" s="111">
        <f>SUM(K44:K45)</f>
        <v>2376</v>
      </c>
      <c r="L46" s="111">
        <f>K46/F46</f>
        <v>1.7535438412529161</v>
      </c>
      <c r="M46" s="102"/>
    </row>
    <row r="47" spans="1:13" s="71" customFormat="1" ht="15.6" customHeight="1">
      <c r="D47" s="126" t="s">
        <v>30</v>
      </c>
      <c r="E47" s="126"/>
      <c r="F47" s="127">
        <f>F40+F43+F46</f>
        <v>5510.6503999999995</v>
      </c>
      <c r="G47" s="128"/>
      <c r="H47" s="128"/>
      <c r="I47" s="128"/>
      <c r="J47" s="128"/>
      <c r="K47" s="127">
        <f>K40+K43+K46</f>
        <v>6906</v>
      </c>
      <c r="L47" s="129">
        <f>K47/F47</f>
        <v>1.2532096029898758</v>
      </c>
    </row>
    <row r="48" spans="1:13" s="71" customFormat="1" ht="15.6" customHeight="1">
      <c r="A48" s="70" t="s">
        <v>16</v>
      </c>
      <c r="B48" s="70"/>
      <c r="C48" s="70"/>
      <c r="D48" s="70"/>
      <c r="E48" s="70"/>
      <c r="K48" s="824" t="s">
        <v>1076</v>
      </c>
      <c r="L48" s="824"/>
      <c r="M48" s="824"/>
    </row>
    <row r="49" spans="1:14" s="71" customFormat="1" ht="15.6" customHeight="1">
      <c r="A49" s="550" t="s">
        <v>0</v>
      </c>
      <c r="B49" s="550" t="s">
        <v>7</v>
      </c>
      <c r="C49" s="550" t="s">
        <v>13</v>
      </c>
      <c r="D49" s="550" t="s">
        <v>14</v>
      </c>
      <c r="E49" s="550" t="s">
        <v>8</v>
      </c>
      <c r="F49" s="550" t="s">
        <v>1</v>
      </c>
      <c r="G49" s="550" t="s">
        <v>2</v>
      </c>
      <c r="H49" s="550" t="s">
        <v>15</v>
      </c>
      <c r="I49" s="550" t="s">
        <v>3</v>
      </c>
      <c r="J49" s="550" t="s">
        <v>4</v>
      </c>
      <c r="K49" s="550" t="s">
        <v>5</v>
      </c>
      <c r="L49" s="550" t="s">
        <v>12</v>
      </c>
      <c r="M49" s="550" t="s">
        <v>6</v>
      </c>
    </row>
    <row r="50" spans="1:14" s="71" customFormat="1" ht="15.6" customHeight="1">
      <c r="A50" s="552">
        <v>8139</v>
      </c>
      <c r="B50" s="552" t="s">
        <v>996</v>
      </c>
      <c r="C50" s="89" t="s">
        <v>766</v>
      </c>
      <c r="D50" s="89" t="s">
        <v>465</v>
      </c>
      <c r="E50" s="552" t="s">
        <v>310</v>
      </c>
      <c r="F50" s="99">
        <f>3500*1.0936</f>
        <v>3827.5999999999995</v>
      </c>
      <c r="G50" s="95" t="s">
        <v>832</v>
      </c>
      <c r="H50" s="79"/>
      <c r="I50" s="81">
        <v>2</v>
      </c>
      <c r="J50" s="81">
        <v>790</v>
      </c>
      <c r="K50" s="81">
        <f t="shared" ref="K50" si="11">I50*J50</f>
        <v>1580</v>
      </c>
      <c r="L50" s="79"/>
      <c r="M50" s="139"/>
    </row>
    <row r="51" spans="1:14" s="71" customFormat="1" ht="15.6" customHeight="1">
      <c r="A51" s="551"/>
      <c r="B51" s="551"/>
      <c r="C51" s="551"/>
      <c r="D51" s="551"/>
      <c r="E51" s="551"/>
      <c r="F51" s="98"/>
      <c r="G51" s="552" t="s">
        <v>20</v>
      </c>
      <c r="H51" s="79"/>
      <c r="I51" s="80"/>
      <c r="J51" s="81">
        <v>315</v>
      </c>
      <c r="K51" s="81">
        <f t="shared" ref="K51" si="12">I51*J51</f>
        <v>0</v>
      </c>
      <c r="L51" s="102"/>
      <c r="M51" s="102"/>
    </row>
    <row r="52" spans="1:14" s="71" customFormat="1" ht="15.6" customHeight="1">
      <c r="A52" s="551"/>
      <c r="B52" s="551"/>
      <c r="C52" s="551"/>
      <c r="D52" s="551"/>
      <c r="E52" s="550" t="s">
        <v>9</v>
      </c>
      <c r="F52" s="110">
        <f>SUM(F50:F51)</f>
        <v>3827.5999999999995</v>
      </c>
      <c r="G52" s="550"/>
      <c r="H52" s="550"/>
      <c r="I52" s="125"/>
      <c r="J52" s="97"/>
      <c r="K52" s="111">
        <f>SUM(K50:K51)</f>
        <v>1580</v>
      </c>
      <c r="L52" s="111">
        <f>K52/F52</f>
        <v>0.41279130525655772</v>
      </c>
      <c r="M52" s="102"/>
    </row>
    <row r="53" spans="1:14" s="71" customFormat="1" ht="15.6" customHeight="1">
      <c r="A53" s="548"/>
      <c r="B53" s="548"/>
      <c r="C53" s="548"/>
      <c r="D53" s="126" t="s">
        <v>30</v>
      </c>
      <c r="E53" s="126"/>
      <c r="F53" s="127">
        <f>F52</f>
        <v>3827.5999999999995</v>
      </c>
      <c r="G53" s="128"/>
      <c r="H53" s="128"/>
      <c r="I53" s="128"/>
      <c r="J53" s="128"/>
      <c r="K53" s="127">
        <f>K52</f>
        <v>1580</v>
      </c>
      <c r="L53" s="129">
        <f>K53/F53</f>
        <v>0.41279130525655772</v>
      </c>
      <c r="M53" s="131"/>
    </row>
    <row r="54" spans="1:14" s="71" customFormat="1" ht="15.6" customHeight="1">
      <c r="A54" s="70" t="s">
        <v>72</v>
      </c>
      <c r="B54" s="70"/>
      <c r="C54" s="70"/>
      <c r="D54" s="70"/>
      <c r="E54" s="70"/>
      <c r="I54" s="140"/>
      <c r="K54" s="824" t="s">
        <v>1076</v>
      </c>
      <c r="L54" s="824"/>
      <c r="M54" s="824"/>
    </row>
    <row r="55" spans="1:14" s="71" customFormat="1" ht="15.6" customHeight="1">
      <c r="A55" s="550" t="s">
        <v>0</v>
      </c>
      <c r="B55" s="550" t="s">
        <v>7</v>
      </c>
      <c r="C55" s="550" t="s">
        <v>13</v>
      </c>
      <c r="D55" s="550" t="s">
        <v>14</v>
      </c>
      <c r="E55" s="550" t="s">
        <v>8</v>
      </c>
      <c r="F55" s="550" t="s">
        <v>1</v>
      </c>
      <c r="G55" s="550" t="s">
        <v>2</v>
      </c>
      <c r="H55" s="550" t="s">
        <v>15</v>
      </c>
      <c r="I55" s="141" t="s">
        <v>3</v>
      </c>
      <c r="J55" s="550" t="s">
        <v>4</v>
      </c>
      <c r="K55" s="550" t="s">
        <v>5</v>
      </c>
      <c r="L55" s="550" t="s">
        <v>12</v>
      </c>
      <c r="M55" s="550" t="s">
        <v>6</v>
      </c>
      <c r="N55" s="123"/>
    </row>
    <row r="56" spans="1:14" s="71" customFormat="1" ht="15.6" customHeight="1">
      <c r="A56" s="552">
        <v>9439</v>
      </c>
      <c r="B56" s="552" t="s">
        <v>998</v>
      </c>
      <c r="C56" s="552" t="s">
        <v>792</v>
      </c>
      <c r="D56" s="552" t="s">
        <v>999</v>
      </c>
      <c r="E56" s="552" t="s">
        <v>1072</v>
      </c>
      <c r="F56" s="90">
        <f>4530*1.0936</f>
        <v>4954.0079999999998</v>
      </c>
      <c r="G56" s="91" t="s">
        <v>196</v>
      </c>
      <c r="H56" s="79"/>
      <c r="I56" s="80">
        <f>2.01+0.336</f>
        <v>2.3459999999999996</v>
      </c>
      <c r="J56" s="81">
        <v>888</v>
      </c>
      <c r="K56" s="81">
        <f t="shared" ref="K56:K60" si="13">I56*J56</f>
        <v>2083.2479999999996</v>
      </c>
      <c r="L56" s="102"/>
      <c r="M56" s="102"/>
    </row>
    <row r="57" spans="1:14" s="71" customFormat="1" ht="15.6" customHeight="1">
      <c r="A57" s="552"/>
      <c r="B57" s="552"/>
      <c r="C57" s="552"/>
      <c r="D57" s="552"/>
      <c r="E57" s="552"/>
      <c r="F57" s="552"/>
      <c r="G57" s="91" t="s">
        <v>281</v>
      </c>
      <c r="H57" s="79"/>
      <c r="I57" s="80">
        <f>1.44+0.24</f>
        <v>1.68</v>
      </c>
      <c r="J57" s="81">
        <v>1035</v>
      </c>
      <c r="K57" s="81">
        <f t="shared" si="13"/>
        <v>1738.8</v>
      </c>
      <c r="L57" s="102"/>
      <c r="M57" s="102"/>
    </row>
    <row r="58" spans="1:14" s="71" customFormat="1" ht="15.6" customHeight="1">
      <c r="A58" s="552"/>
      <c r="B58" s="551"/>
      <c r="C58" s="551"/>
      <c r="D58" s="551"/>
      <c r="E58" s="552"/>
      <c r="F58" s="98"/>
      <c r="G58" s="91" t="s">
        <v>532</v>
      </c>
      <c r="H58" s="79"/>
      <c r="I58" s="80">
        <f>10.5+1.75</f>
        <v>12.25</v>
      </c>
      <c r="J58" s="81">
        <v>476</v>
      </c>
      <c r="K58" s="81">
        <f t="shared" si="13"/>
        <v>5831</v>
      </c>
      <c r="L58" s="102"/>
      <c r="M58" s="102"/>
    </row>
    <row r="59" spans="1:14" s="71" customFormat="1" ht="15.6" customHeight="1">
      <c r="A59" s="552"/>
      <c r="B59" s="551"/>
      <c r="C59" s="551"/>
      <c r="D59" s="551"/>
      <c r="E59" s="552"/>
      <c r="F59" s="98"/>
      <c r="G59" s="552" t="s">
        <v>184</v>
      </c>
      <c r="H59" s="552"/>
      <c r="I59" s="80">
        <v>7</v>
      </c>
      <c r="J59" s="81">
        <v>336</v>
      </c>
      <c r="K59" s="94">
        <f t="shared" si="13"/>
        <v>2352</v>
      </c>
      <c r="L59" s="102"/>
      <c r="M59" s="102"/>
    </row>
    <row r="60" spans="1:14" s="71" customFormat="1" ht="15.6" customHeight="1">
      <c r="A60" s="552"/>
      <c r="B60" s="551"/>
      <c r="C60" s="551"/>
      <c r="D60" s="551"/>
      <c r="E60" s="552"/>
      <c r="F60" s="98"/>
      <c r="G60" s="95" t="s">
        <v>185</v>
      </c>
      <c r="H60" s="79"/>
      <c r="I60" s="96">
        <v>1.4</v>
      </c>
      <c r="J60" s="81">
        <v>490</v>
      </c>
      <c r="K60" s="81">
        <f t="shared" si="13"/>
        <v>686</v>
      </c>
      <c r="L60" s="102"/>
      <c r="M60" s="102"/>
    </row>
    <row r="61" spans="1:14" s="71" customFormat="1" ht="15.6" customHeight="1">
      <c r="A61" s="552"/>
      <c r="B61" s="551"/>
      <c r="C61" s="551"/>
      <c r="D61" s="551"/>
      <c r="E61" s="550" t="s">
        <v>9</v>
      </c>
      <c r="F61" s="110">
        <f>SUM(F56:F60)</f>
        <v>4954.0079999999998</v>
      </c>
      <c r="G61" s="550"/>
      <c r="H61" s="550"/>
      <c r="I61" s="125"/>
      <c r="J61" s="97"/>
      <c r="K61" s="111">
        <f>SUM(K56:K60)</f>
        <v>12691.047999999999</v>
      </c>
      <c r="L61" s="111">
        <f>K61/F61</f>
        <v>2.5617738203087277</v>
      </c>
      <c r="M61" s="102"/>
    </row>
    <row r="62" spans="1:14" s="71" customFormat="1" ht="15.6" customHeight="1">
      <c r="A62" s="552">
        <v>8447</v>
      </c>
      <c r="B62" s="552" t="s">
        <v>1081</v>
      </c>
      <c r="C62" s="89" t="s">
        <v>1026</v>
      </c>
      <c r="D62" s="89" t="s">
        <v>274</v>
      </c>
      <c r="E62" s="552" t="s">
        <v>102</v>
      </c>
      <c r="F62" s="90">
        <f>1750*1.0936</f>
        <v>1913.7999999999997</v>
      </c>
      <c r="G62" s="91" t="s">
        <v>196</v>
      </c>
      <c r="H62" s="79"/>
      <c r="I62" s="80">
        <v>2.375</v>
      </c>
      <c r="J62" s="81">
        <v>888</v>
      </c>
      <c r="K62" s="81">
        <f t="shared" ref="K62:K66" si="14">I62*J62</f>
        <v>2109</v>
      </c>
      <c r="L62" s="102"/>
      <c r="M62" s="102"/>
    </row>
    <row r="63" spans="1:14" s="71" customFormat="1" ht="15.6" customHeight="1">
      <c r="A63" s="552"/>
      <c r="B63" s="551"/>
      <c r="C63" s="551"/>
      <c r="D63" s="551"/>
      <c r="E63" s="552"/>
      <c r="F63" s="87"/>
      <c r="G63" s="91" t="s">
        <v>281</v>
      </c>
      <c r="H63" s="79"/>
      <c r="I63" s="80">
        <v>5.75</v>
      </c>
      <c r="J63" s="81">
        <v>1035</v>
      </c>
      <c r="K63" s="81">
        <f t="shared" si="14"/>
        <v>5951.25</v>
      </c>
      <c r="L63" s="102"/>
      <c r="M63" s="102"/>
    </row>
    <row r="64" spans="1:14" s="71" customFormat="1" ht="15.6" customHeight="1">
      <c r="A64" s="552"/>
      <c r="B64" s="551"/>
      <c r="C64" s="551"/>
      <c r="D64" s="551"/>
      <c r="E64" s="552"/>
      <c r="F64" s="87"/>
      <c r="G64" s="91" t="s">
        <v>282</v>
      </c>
      <c r="H64" s="79"/>
      <c r="I64" s="80">
        <v>3.5</v>
      </c>
      <c r="J64" s="81">
        <v>840</v>
      </c>
      <c r="K64" s="81">
        <f t="shared" si="14"/>
        <v>2940</v>
      </c>
      <c r="L64" s="102"/>
      <c r="M64" s="102"/>
    </row>
    <row r="65" spans="1:13" s="71" customFormat="1" ht="15.6" customHeight="1">
      <c r="A65" s="552"/>
      <c r="B65" s="551"/>
      <c r="C65" s="551"/>
      <c r="D65" s="551"/>
      <c r="E65" s="552"/>
      <c r="F65" s="87"/>
      <c r="G65" s="552" t="s">
        <v>184</v>
      </c>
      <c r="H65" s="552"/>
      <c r="I65" s="80">
        <v>2.5</v>
      </c>
      <c r="J65" s="81">
        <v>336</v>
      </c>
      <c r="K65" s="94">
        <f t="shared" si="14"/>
        <v>840</v>
      </c>
      <c r="L65" s="102"/>
      <c r="M65" s="102"/>
    </row>
    <row r="66" spans="1:13" s="71" customFormat="1" ht="15.6" customHeight="1">
      <c r="A66" s="552"/>
      <c r="B66" s="551"/>
      <c r="C66" s="551"/>
      <c r="D66" s="551"/>
      <c r="E66" s="552"/>
      <c r="F66" s="87"/>
      <c r="G66" s="95" t="s">
        <v>185</v>
      </c>
      <c r="H66" s="79"/>
      <c r="I66" s="96">
        <v>0.5</v>
      </c>
      <c r="J66" s="81">
        <v>490</v>
      </c>
      <c r="K66" s="81">
        <f t="shared" si="14"/>
        <v>245</v>
      </c>
      <c r="L66" s="102"/>
      <c r="M66" s="102"/>
    </row>
    <row r="67" spans="1:13" s="71" customFormat="1" ht="15.6" customHeight="1">
      <c r="A67" s="552"/>
      <c r="B67" s="551"/>
      <c r="C67" s="551"/>
      <c r="D67" s="551"/>
      <c r="E67" s="550" t="s">
        <v>9</v>
      </c>
      <c r="F67" s="110">
        <f>SUM(F62:F66)</f>
        <v>1913.7999999999997</v>
      </c>
      <c r="G67" s="550"/>
      <c r="H67" s="550"/>
      <c r="I67" s="125"/>
      <c r="J67" s="97"/>
      <c r="K67" s="111">
        <f>SUM(K62:K66)</f>
        <v>12085.25</v>
      </c>
      <c r="L67" s="111">
        <f>K67/F67</f>
        <v>6.3147925593060936</v>
      </c>
      <c r="M67" s="102"/>
    </row>
    <row r="68" spans="1:13" s="71" customFormat="1" ht="15.6" customHeight="1">
      <c r="A68" s="552">
        <v>8445</v>
      </c>
      <c r="B68" s="552" t="s">
        <v>1082</v>
      </c>
      <c r="C68" s="89" t="s">
        <v>1026</v>
      </c>
      <c r="D68" s="89" t="s">
        <v>274</v>
      </c>
      <c r="E68" s="552" t="s">
        <v>641</v>
      </c>
      <c r="F68" s="90">
        <f>1920*1.0936</f>
        <v>2099.712</v>
      </c>
      <c r="G68" s="91" t="s">
        <v>196</v>
      </c>
      <c r="H68" s="79"/>
      <c r="I68" s="80">
        <v>3.4079999999999999</v>
      </c>
      <c r="J68" s="81">
        <v>888</v>
      </c>
      <c r="K68" s="81">
        <f t="shared" ref="K68:K72" si="15">I68*J68</f>
        <v>3026.3040000000001</v>
      </c>
      <c r="L68" s="102"/>
      <c r="M68" s="102"/>
    </row>
    <row r="69" spans="1:13" s="71" customFormat="1" ht="15.6" customHeight="1">
      <c r="A69" s="552"/>
      <c r="B69" s="552"/>
      <c r="C69" s="552"/>
      <c r="D69" s="552"/>
      <c r="E69" s="552"/>
      <c r="F69" s="552"/>
      <c r="G69" s="91" t="s">
        <v>281</v>
      </c>
      <c r="H69" s="79"/>
      <c r="I69" s="80">
        <v>1.48</v>
      </c>
      <c r="J69" s="81">
        <v>1035</v>
      </c>
      <c r="K69" s="81">
        <f t="shared" si="15"/>
        <v>1531.8</v>
      </c>
      <c r="L69" s="102"/>
      <c r="M69" s="102"/>
    </row>
    <row r="70" spans="1:13" s="71" customFormat="1" ht="15.6" customHeight="1">
      <c r="A70" s="551"/>
      <c r="B70" s="551"/>
      <c r="C70" s="551"/>
      <c r="D70" s="551"/>
      <c r="E70" s="551"/>
      <c r="F70" s="98"/>
      <c r="G70" s="91" t="s">
        <v>194</v>
      </c>
      <c r="H70" s="79"/>
      <c r="I70" s="80">
        <v>6.86</v>
      </c>
      <c r="J70" s="81">
        <v>879</v>
      </c>
      <c r="K70" s="81">
        <f t="shared" si="15"/>
        <v>6029.9400000000005</v>
      </c>
      <c r="L70" s="79"/>
      <c r="M70" s="102"/>
    </row>
    <row r="71" spans="1:13" s="71" customFormat="1" ht="15.6" customHeight="1">
      <c r="A71" s="551"/>
      <c r="B71" s="551"/>
      <c r="C71" s="551"/>
      <c r="D71" s="551"/>
      <c r="E71" s="551"/>
      <c r="F71" s="98"/>
      <c r="G71" s="552" t="s">
        <v>184</v>
      </c>
      <c r="H71" s="552"/>
      <c r="I71" s="80">
        <v>4</v>
      </c>
      <c r="J71" s="81">
        <v>336</v>
      </c>
      <c r="K71" s="94">
        <f t="shared" si="15"/>
        <v>1344</v>
      </c>
      <c r="L71" s="102"/>
      <c r="M71" s="102"/>
    </row>
    <row r="72" spans="1:13" s="71" customFormat="1" ht="15.6" customHeight="1">
      <c r="A72" s="551"/>
      <c r="B72" s="551"/>
      <c r="C72" s="551"/>
      <c r="D72" s="551"/>
      <c r="E72" s="551"/>
      <c r="F72" s="98"/>
      <c r="G72" s="95" t="s">
        <v>185</v>
      </c>
      <c r="H72" s="79"/>
      <c r="I72" s="96">
        <v>0.8</v>
      </c>
      <c r="J72" s="81">
        <v>490</v>
      </c>
      <c r="K72" s="81">
        <f t="shared" si="15"/>
        <v>392</v>
      </c>
      <c r="L72" s="102"/>
      <c r="M72" s="102"/>
    </row>
    <row r="73" spans="1:13" s="71" customFormat="1" ht="15.6" customHeight="1">
      <c r="A73" s="551"/>
      <c r="B73" s="551"/>
      <c r="C73" s="551"/>
      <c r="D73" s="551"/>
      <c r="E73" s="550" t="s">
        <v>9</v>
      </c>
      <c r="F73" s="110">
        <f>SUM(F68:F72)</f>
        <v>2099.712</v>
      </c>
      <c r="G73" s="550"/>
      <c r="H73" s="550"/>
      <c r="I73" s="125"/>
      <c r="J73" s="97"/>
      <c r="K73" s="111">
        <f>SUM(K68:K72)</f>
        <v>12324.044000000002</v>
      </c>
      <c r="L73" s="111">
        <f>K73/F73</f>
        <v>5.8693973268714954</v>
      </c>
      <c r="M73" s="102"/>
    </row>
    <row r="74" spans="1:13" s="71" customFormat="1" ht="15.6" customHeight="1">
      <c r="A74" s="551">
        <v>8435</v>
      </c>
      <c r="B74" s="552" t="s">
        <v>1083</v>
      </c>
      <c r="C74" s="89" t="s">
        <v>1026</v>
      </c>
      <c r="D74" s="89" t="s">
        <v>364</v>
      </c>
      <c r="E74" s="552" t="s">
        <v>257</v>
      </c>
      <c r="F74" s="90">
        <f>2220*1.0936</f>
        <v>2427.7919999999999</v>
      </c>
      <c r="G74" s="91" t="s">
        <v>196</v>
      </c>
      <c r="H74" s="79"/>
      <c r="I74" s="80">
        <v>2.2749999999999999</v>
      </c>
      <c r="J74" s="81">
        <v>888</v>
      </c>
      <c r="K74" s="81">
        <f t="shared" ref="K74:K78" si="16">I74*J74</f>
        <v>2020.1999999999998</v>
      </c>
      <c r="L74" s="102"/>
      <c r="M74" s="102"/>
    </row>
    <row r="75" spans="1:13" s="71" customFormat="1" ht="15.6" customHeight="1">
      <c r="A75" s="551"/>
      <c r="B75" s="551"/>
      <c r="C75" s="551"/>
      <c r="D75" s="551"/>
      <c r="E75" s="551"/>
      <c r="F75" s="98"/>
      <c r="G75" s="91" t="s">
        <v>195</v>
      </c>
      <c r="H75" s="79"/>
      <c r="I75" s="80">
        <v>0.51800000000000002</v>
      </c>
      <c r="J75" s="81">
        <v>645</v>
      </c>
      <c r="K75" s="81">
        <f t="shared" si="16"/>
        <v>334.11</v>
      </c>
      <c r="L75" s="102"/>
      <c r="M75" s="102"/>
    </row>
    <row r="76" spans="1:13" s="71" customFormat="1" ht="15.6" customHeight="1">
      <c r="A76" s="551"/>
      <c r="B76" s="551"/>
      <c r="C76" s="551"/>
      <c r="D76" s="551"/>
      <c r="E76" s="551"/>
      <c r="F76" s="98"/>
      <c r="G76" s="91" t="s">
        <v>191</v>
      </c>
      <c r="H76" s="79"/>
      <c r="I76" s="80">
        <v>0.5</v>
      </c>
      <c r="J76" s="81">
        <v>1628</v>
      </c>
      <c r="K76" s="81">
        <f t="shared" si="16"/>
        <v>814</v>
      </c>
      <c r="L76" s="102"/>
      <c r="M76" s="102"/>
    </row>
    <row r="77" spans="1:13" s="71" customFormat="1" ht="15.6" customHeight="1">
      <c r="A77" s="551"/>
      <c r="B77" s="551"/>
      <c r="C77" s="551"/>
      <c r="D77" s="551"/>
      <c r="E77" s="551"/>
      <c r="F77" s="98"/>
      <c r="G77" s="552" t="s">
        <v>184</v>
      </c>
      <c r="H77" s="552"/>
      <c r="I77" s="80">
        <v>3.5</v>
      </c>
      <c r="J77" s="81">
        <v>336</v>
      </c>
      <c r="K77" s="94">
        <f t="shared" si="16"/>
        <v>1176</v>
      </c>
      <c r="L77" s="102"/>
      <c r="M77" s="102"/>
    </row>
    <row r="78" spans="1:13" s="71" customFormat="1" ht="15.6" customHeight="1">
      <c r="A78" s="551"/>
      <c r="B78" s="551"/>
      <c r="C78" s="551"/>
      <c r="D78" s="551"/>
      <c r="E78" s="551"/>
      <c r="F78" s="98"/>
      <c r="G78" s="95" t="s">
        <v>185</v>
      </c>
      <c r="H78" s="79"/>
      <c r="I78" s="96">
        <v>0.7</v>
      </c>
      <c r="J78" s="81">
        <v>490</v>
      </c>
      <c r="K78" s="81">
        <f t="shared" si="16"/>
        <v>343</v>
      </c>
      <c r="L78" s="102"/>
      <c r="M78" s="102"/>
    </row>
    <row r="79" spans="1:13" s="71" customFormat="1" ht="15.6" customHeight="1">
      <c r="A79" s="551"/>
      <c r="B79" s="551"/>
      <c r="C79" s="551"/>
      <c r="D79" s="551"/>
      <c r="E79" s="550" t="s">
        <v>9</v>
      </c>
      <c r="F79" s="110">
        <f>SUM(F74:F78)</f>
        <v>2427.7919999999999</v>
      </c>
      <c r="G79" s="550"/>
      <c r="H79" s="550"/>
      <c r="I79" s="125"/>
      <c r="J79" s="97"/>
      <c r="K79" s="111">
        <f>SUM(K74:K78)</f>
        <v>4687.3099999999995</v>
      </c>
      <c r="L79" s="111">
        <f>K79/F79</f>
        <v>1.9306884609554689</v>
      </c>
      <c r="M79" s="102"/>
    </row>
    <row r="80" spans="1:13" s="71" customFormat="1" ht="15.6" customHeight="1">
      <c r="A80" s="552">
        <v>8440</v>
      </c>
      <c r="B80" s="552" t="s">
        <v>1037</v>
      </c>
      <c r="C80" s="89" t="s">
        <v>1084</v>
      </c>
      <c r="D80" s="89" t="s">
        <v>1085</v>
      </c>
      <c r="E80" s="552" t="s">
        <v>1044</v>
      </c>
      <c r="F80" s="90">
        <f>200*1.0936</f>
        <v>218.71999999999997</v>
      </c>
      <c r="G80" s="91" t="s">
        <v>196</v>
      </c>
      <c r="H80" s="79"/>
      <c r="I80" s="80">
        <v>0.68500000000000005</v>
      </c>
      <c r="J80" s="81">
        <v>888</v>
      </c>
      <c r="K80" s="81">
        <f t="shared" ref="K80:K84" si="17">I80*J80</f>
        <v>608.28000000000009</v>
      </c>
      <c r="L80" s="102"/>
      <c r="M80" s="102"/>
    </row>
    <row r="81" spans="1:13" s="71" customFormat="1" ht="15.6" customHeight="1">
      <c r="A81" s="551"/>
      <c r="B81" s="551"/>
      <c r="C81" s="551"/>
      <c r="D81" s="551"/>
      <c r="E81" s="552"/>
      <c r="F81" s="98"/>
      <c r="G81" s="91" t="s">
        <v>195</v>
      </c>
      <c r="H81" s="79"/>
      <c r="I81" s="80">
        <v>0.2</v>
      </c>
      <c r="J81" s="81">
        <v>645</v>
      </c>
      <c r="K81" s="81">
        <f t="shared" si="17"/>
        <v>129</v>
      </c>
      <c r="L81" s="102"/>
      <c r="M81" s="102"/>
    </row>
    <row r="82" spans="1:13" s="71" customFormat="1" ht="15.6" customHeight="1">
      <c r="A82" s="551"/>
      <c r="B82" s="551"/>
      <c r="C82" s="551"/>
      <c r="D82" s="551"/>
      <c r="E82" s="551"/>
      <c r="F82" s="98"/>
      <c r="G82" s="91" t="s">
        <v>191</v>
      </c>
      <c r="H82" s="79"/>
      <c r="I82" s="80">
        <v>0.67600000000000005</v>
      </c>
      <c r="J82" s="81">
        <v>1628</v>
      </c>
      <c r="K82" s="81">
        <f t="shared" si="17"/>
        <v>1100.528</v>
      </c>
      <c r="L82" s="102"/>
      <c r="M82" s="102"/>
    </row>
    <row r="83" spans="1:13" s="71" customFormat="1" ht="15.6" customHeight="1">
      <c r="A83" s="551"/>
      <c r="B83" s="551"/>
      <c r="C83" s="551"/>
      <c r="D83" s="551"/>
      <c r="E83" s="551"/>
      <c r="F83" s="98"/>
      <c r="G83" s="552" t="s">
        <v>184</v>
      </c>
      <c r="H83" s="552"/>
      <c r="I83" s="80">
        <v>1</v>
      </c>
      <c r="J83" s="81">
        <v>336</v>
      </c>
      <c r="K83" s="94">
        <f t="shared" si="17"/>
        <v>336</v>
      </c>
      <c r="L83" s="102"/>
      <c r="M83" s="102"/>
    </row>
    <row r="84" spans="1:13" s="71" customFormat="1" ht="15.6" customHeight="1">
      <c r="A84" s="551"/>
      <c r="B84" s="551"/>
      <c r="C84" s="551"/>
      <c r="D84" s="551"/>
      <c r="E84" s="551"/>
      <c r="F84" s="98"/>
      <c r="G84" s="95" t="s">
        <v>185</v>
      </c>
      <c r="H84" s="79"/>
      <c r="I84" s="96">
        <v>0.2</v>
      </c>
      <c r="J84" s="81">
        <v>490</v>
      </c>
      <c r="K84" s="81">
        <f t="shared" si="17"/>
        <v>98</v>
      </c>
      <c r="L84" s="102"/>
      <c r="M84" s="102"/>
    </row>
    <row r="85" spans="1:13" s="71" customFormat="1" ht="15.6" customHeight="1">
      <c r="A85" s="551"/>
      <c r="B85" s="551"/>
      <c r="C85" s="551"/>
      <c r="D85" s="551"/>
      <c r="E85" s="550" t="s">
        <v>9</v>
      </c>
      <c r="F85" s="110">
        <f>SUM(F80:F84)</f>
        <v>218.71999999999997</v>
      </c>
      <c r="G85" s="550"/>
      <c r="H85" s="550"/>
      <c r="I85" s="125"/>
      <c r="J85" s="97"/>
      <c r="K85" s="111">
        <f>SUM(K80:K84)</f>
        <v>2271.808</v>
      </c>
      <c r="L85" s="111">
        <f>K85/F85</f>
        <v>10.386832479882957</v>
      </c>
      <c r="M85" s="102"/>
    </row>
    <row r="86" spans="1:13" s="71" customFormat="1" ht="15.6" customHeight="1">
      <c r="A86" s="552">
        <v>8442</v>
      </c>
      <c r="B86" s="552" t="s">
        <v>303</v>
      </c>
      <c r="C86" s="89" t="s">
        <v>513</v>
      </c>
      <c r="D86" s="89" t="s">
        <v>297</v>
      </c>
      <c r="E86" s="552" t="s">
        <v>1086</v>
      </c>
      <c r="F86" s="99">
        <f>130*1.0936</f>
        <v>142.16799999999998</v>
      </c>
      <c r="G86" s="553" t="s">
        <v>405</v>
      </c>
      <c r="H86" s="79"/>
      <c r="I86" s="80">
        <v>0.27</v>
      </c>
      <c r="J86" s="81">
        <v>1708</v>
      </c>
      <c r="K86" s="81">
        <f t="shared" ref="K86:K90" si="18">I86*J86</f>
        <v>461.16</v>
      </c>
      <c r="L86" s="102"/>
      <c r="M86" s="102"/>
    </row>
    <row r="87" spans="1:13" s="71" customFormat="1" ht="15.6" customHeight="1">
      <c r="A87" s="551"/>
      <c r="B87" s="551"/>
      <c r="C87" s="551"/>
      <c r="D87" s="551"/>
      <c r="E87" s="551"/>
      <c r="F87" s="98"/>
      <c r="G87" s="91" t="s">
        <v>192</v>
      </c>
      <c r="H87" s="79"/>
      <c r="I87" s="80">
        <v>0.19</v>
      </c>
      <c r="J87" s="81">
        <v>1126</v>
      </c>
      <c r="K87" s="81">
        <f t="shared" si="18"/>
        <v>213.94</v>
      </c>
      <c r="L87" s="102"/>
      <c r="M87" s="102"/>
    </row>
    <row r="88" spans="1:13" s="71" customFormat="1" ht="15.6" customHeight="1">
      <c r="A88" s="551"/>
      <c r="B88" s="551"/>
      <c r="C88" s="551"/>
      <c r="D88" s="551"/>
      <c r="E88" s="551"/>
      <c r="F88" s="98"/>
      <c r="G88" s="91" t="s">
        <v>193</v>
      </c>
      <c r="H88" s="79"/>
      <c r="I88" s="80">
        <v>1.72</v>
      </c>
      <c r="J88" s="81">
        <v>1150</v>
      </c>
      <c r="K88" s="81">
        <f t="shared" si="18"/>
        <v>1978</v>
      </c>
      <c r="L88" s="102"/>
      <c r="M88" s="102"/>
    </row>
    <row r="89" spans="1:13" s="71" customFormat="1" ht="15.6" customHeight="1">
      <c r="A89" s="551"/>
      <c r="B89" s="551"/>
      <c r="C89" s="551"/>
      <c r="D89" s="551"/>
      <c r="E89" s="551"/>
      <c r="F89" s="98"/>
      <c r="G89" s="552" t="s">
        <v>184</v>
      </c>
      <c r="H89" s="552"/>
      <c r="I89" s="80">
        <v>0.4</v>
      </c>
      <c r="J89" s="81">
        <v>336</v>
      </c>
      <c r="K89" s="94">
        <f t="shared" si="18"/>
        <v>134.4</v>
      </c>
      <c r="L89" s="102"/>
      <c r="M89" s="102"/>
    </row>
    <row r="90" spans="1:13" s="71" customFormat="1" ht="15.6" customHeight="1">
      <c r="A90" s="551"/>
      <c r="B90" s="551"/>
      <c r="C90" s="551"/>
      <c r="D90" s="551"/>
      <c r="E90" s="551"/>
      <c r="F90" s="98"/>
      <c r="G90" s="95" t="s">
        <v>185</v>
      </c>
      <c r="H90" s="79"/>
      <c r="I90" s="96">
        <v>0.08</v>
      </c>
      <c r="J90" s="81">
        <v>490</v>
      </c>
      <c r="K90" s="81">
        <f t="shared" si="18"/>
        <v>39.200000000000003</v>
      </c>
      <c r="L90" s="102"/>
      <c r="M90" s="102"/>
    </row>
    <row r="91" spans="1:13" s="71" customFormat="1" ht="15.6" customHeight="1">
      <c r="A91" s="551"/>
      <c r="B91" s="551"/>
      <c r="C91" s="551"/>
      <c r="D91" s="551"/>
      <c r="E91" s="550" t="s">
        <v>9</v>
      </c>
      <c r="F91" s="110">
        <f>SUM(F86:F90)</f>
        <v>142.16799999999998</v>
      </c>
      <c r="G91" s="550"/>
      <c r="H91" s="550"/>
      <c r="I91" s="125"/>
      <c r="J91" s="97"/>
      <c r="K91" s="111">
        <f>SUM(K86:K90)</f>
        <v>2826.7</v>
      </c>
      <c r="L91" s="111">
        <f>K91/F91</f>
        <v>19.882814698103655</v>
      </c>
      <c r="M91" s="102"/>
    </row>
    <row r="92" spans="1:13" s="71" customFormat="1" ht="15.6" customHeight="1">
      <c r="A92" s="551">
        <v>8441</v>
      </c>
      <c r="B92" s="552" t="s">
        <v>1087</v>
      </c>
      <c r="C92" s="552" t="s">
        <v>121</v>
      </c>
      <c r="D92" s="552" t="s">
        <v>120</v>
      </c>
      <c r="E92" s="552" t="s">
        <v>1088</v>
      </c>
      <c r="F92" s="90">
        <f>100*1.0936</f>
        <v>109.35999999999999</v>
      </c>
      <c r="G92" s="93" t="s">
        <v>258</v>
      </c>
      <c r="H92" s="79"/>
      <c r="I92" s="80">
        <v>0.11899999999999999</v>
      </c>
      <c r="J92" s="81">
        <v>2801</v>
      </c>
      <c r="K92" s="81">
        <f t="shared" ref="K92:K96" si="19">I92*J92</f>
        <v>333.31899999999996</v>
      </c>
      <c r="L92" s="102"/>
      <c r="M92" s="102"/>
    </row>
    <row r="93" spans="1:13" s="71" customFormat="1" ht="15.6" customHeight="1">
      <c r="A93" s="551"/>
      <c r="B93" s="551"/>
      <c r="C93" s="551"/>
      <c r="D93" s="551"/>
      <c r="E93" s="552"/>
      <c r="F93" s="87"/>
      <c r="G93" s="93" t="s">
        <v>259</v>
      </c>
      <c r="H93" s="79"/>
      <c r="I93" s="80">
        <v>7.4999999999999997E-2</v>
      </c>
      <c r="J93" s="81">
        <v>2704</v>
      </c>
      <c r="K93" s="81">
        <f t="shared" si="19"/>
        <v>202.79999999999998</v>
      </c>
      <c r="L93" s="102"/>
      <c r="M93" s="102"/>
    </row>
    <row r="94" spans="1:13" s="71" customFormat="1" ht="15.6" customHeight="1">
      <c r="A94" s="551"/>
      <c r="B94" s="551"/>
      <c r="C94" s="551"/>
      <c r="D94" s="551"/>
      <c r="E94" s="552"/>
      <c r="F94" s="87"/>
      <c r="G94" s="91" t="s">
        <v>260</v>
      </c>
      <c r="H94" s="79"/>
      <c r="I94" s="80">
        <v>0.12</v>
      </c>
      <c r="J94" s="81">
        <v>4545</v>
      </c>
      <c r="K94" s="81">
        <f t="shared" si="19"/>
        <v>545.4</v>
      </c>
      <c r="L94" s="102"/>
      <c r="M94" s="102"/>
    </row>
    <row r="95" spans="1:13" s="71" customFormat="1" ht="15.6" customHeight="1">
      <c r="A95" s="551"/>
      <c r="B95" s="551"/>
      <c r="C95" s="551"/>
      <c r="D95" s="551"/>
      <c r="E95" s="552"/>
      <c r="F95" s="87"/>
      <c r="G95" s="552" t="s">
        <v>184</v>
      </c>
      <c r="H95" s="79"/>
      <c r="I95" s="80">
        <v>0.7</v>
      </c>
      <c r="J95" s="81">
        <v>336</v>
      </c>
      <c r="K95" s="81">
        <f t="shared" si="19"/>
        <v>235.2</v>
      </c>
      <c r="L95" s="102"/>
      <c r="M95" s="102"/>
    </row>
    <row r="96" spans="1:13" s="71" customFormat="1" ht="15.6" customHeight="1">
      <c r="A96" s="551"/>
      <c r="B96" s="551"/>
      <c r="C96" s="551"/>
      <c r="D96" s="551"/>
      <c r="E96" s="552"/>
      <c r="F96" s="87"/>
      <c r="G96" s="95" t="s">
        <v>185</v>
      </c>
      <c r="H96" s="79"/>
      <c r="I96" s="96">
        <v>0.14000000000000001</v>
      </c>
      <c r="J96" s="81">
        <v>490</v>
      </c>
      <c r="K96" s="81">
        <f t="shared" si="19"/>
        <v>68.600000000000009</v>
      </c>
      <c r="L96" s="102"/>
      <c r="M96" s="102"/>
    </row>
    <row r="97" spans="1:14" s="71" customFormat="1" ht="15.6" customHeight="1">
      <c r="A97" s="551"/>
      <c r="B97" s="551"/>
      <c r="C97" s="551"/>
      <c r="D97" s="551"/>
      <c r="E97" s="550" t="s">
        <v>9</v>
      </c>
      <c r="F97" s="110">
        <f>SUM(F92:F96)</f>
        <v>109.35999999999999</v>
      </c>
      <c r="G97" s="550"/>
      <c r="H97" s="550"/>
      <c r="I97" s="125"/>
      <c r="J97" s="97"/>
      <c r="K97" s="111">
        <f>SUM(K92:K96)</f>
        <v>1385.3189999999997</v>
      </c>
      <c r="L97" s="111">
        <f>K97/F97</f>
        <v>12.66751097293343</v>
      </c>
      <c r="M97" s="102"/>
    </row>
    <row r="98" spans="1:14" s="71" customFormat="1" ht="15.6" customHeight="1">
      <c r="A98" s="551">
        <v>8448</v>
      </c>
      <c r="B98" s="552" t="s">
        <v>303</v>
      </c>
      <c r="C98" s="552" t="s">
        <v>121</v>
      </c>
      <c r="D98" s="552" t="s">
        <v>120</v>
      </c>
      <c r="E98" s="552" t="s">
        <v>640</v>
      </c>
      <c r="F98" s="90">
        <f>55*1.0936</f>
        <v>60.147999999999996</v>
      </c>
      <c r="G98" s="553" t="s">
        <v>405</v>
      </c>
      <c r="H98" s="79"/>
      <c r="I98" s="80">
        <v>0.13800000000000001</v>
      </c>
      <c r="J98" s="81">
        <v>1708</v>
      </c>
      <c r="K98" s="81">
        <f t="shared" ref="K98:K102" si="20">I98*J98</f>
        <v>235.70400000000001</v>
      </c>
      <c r="L98" s="102"/>
      <c r="M98" s="102"/>
    </row>
    <row r="99" spans="1:14" s="71" customFormat="1" ht="15.6" customHeight="1">
      <c r="A99" s="551"/>
      <c r="B99" s="551"/>
      <c r="C99" s="551"/>
      <c r="D99" s="551"/>
      <c r="E99" s="552"/>
      <c r="F99" s="87"/>
      <c r="G99" s="553" t="s">
        <v>183</v>
      </c>
      <c r="H99" s="79"/>
      <c r="I99" s="80">
        <v>5.2999999999999999E-2</v>
      </c>
      <c r="J99" s="81">
        <v>1600</v>
      </c>
      <c r="K99" s="81">
        <f t="shared" si="20"/>
        <v>84.8</v>
      </c>
      <c r="L99" s="102"/>
      <c r="M99" s="102"/>
    </row>
    <row r="100" spans="1:14" s="71" customFormat="1" ht="15.6" customHeight="1">
      <c r="A100" s="551"/>
      <c r="B100" s="551"/>
      <c r="C100" s="551"/>
      <c r="D100" s="551"/>
      <c r="E100" s="552"/>
      <c r="F100" s="87"/>
      <c r="G100" s="91" t="s">
        <v>260</v>
      </c>
      <c r="H100" s="79"/>
      <c r="I100" s="80">
        <v>0.25</v>
      </c>
      <c r="J100" s="81">
        <v>4545</v>
      </c>
      <c r="K100" s="81">
        <f t="shared" si="20"/>
        <v>1136.25</v>
      </c>
      <c r="L100" s="102"/>
      <c r="M100" s="102"/>
    </row>
    <row r="101" spans="1:14" s="71" customFormat="1" ht="15.6" customHeight="1">
      <c r="A101" s="551"/>
      <c r="B101" s="551"/>
      <c r="C101" s="551"/>
      <c r="D101" s="551"/>
      <c r="E101" s="552"/>
      <c r="F101" s="87"/>
      <c r="G101" s="552" t="s">
        <v>184</v>
      </c>
      <c r="H101" s="79"/>
      <c r="I101" s="80">
        <v>0.5</v>
      </c>
      <c r="J101" s="81">
        <v>336</v>
      </c>
      <c r="K101" s="81">
        <f t="shared" si="20"/>
        <v>168</v>
      </c>
      <c r="L101" s="102"/>
      <c r="M101" s="102"/>
    </row>
    <row r="102" spans="1:14" s="71" customFormat="1" ht="15.6" customHeight="1">
      <c r="A102" s="551"/>
      <c r="B102" s="551"/>
      <c r="C102" s="551"/>
      <c r="D102" s="551"/>
      <c r="E102" s="552"/>
      <c r="F102" s="87"/>
      <c r="G102" s="95" t="s">
        <v>185</v>
      </c>
      <c r="H102" s="79"/>
      <c r="I102" s="96">
        <v>0.1</v>
      </c>
      <c r="J102" s="81">
        <v>490</v>
      </c>
      <c r="K102" s="81">
        <f t="shared" si="20"/>
        <v>49</v>
      </c>
      <c r="L102" s="102"/>
      <c r="M102" s="102"/>
    </row>
    <row r="103" spans="1:14" s="71" customFormat="1" ht="15.6" customHeight="1">
      <c r="A103" s="551"/>
      <c r="B103" s="551"/>
      <c r="C103" s="551"/>
      <c r="D103" s="551"/>
      <c r="E103" s="550" t="s">
        <v>9</v>
      </c>
      <c r="F103" s="110">
        <f>SUM(F98:F102)</f>
        <v>60.147999999999996</v>
      </c>
      <c r="G103" s="550"/>
      <c r="H103" s="550"/>
      <c r="I103" s="125"/>
      <c r="J103" s="97"/>
      <c r="K103" s="111">
        <f>SUM(K98:K102)</f>
        <v>1673.7539999999999</v>
      </c>
      <c r="L103" s="111">
        <f>K103/F103</f>
        <v>27.827259426747357</v>
      </c>
      <c r="M103" s="102"/>
    </row>
    <row r="104" spans="1:14" s="71" customFormat="1" ht="15.6" customHeight="1">
      <c r="A104" s="548"/>
      <c r="B104" s="548"/>
      <c r="C104" s="548"/>
      <c r="D104" s="126" t="s">
        <v>30</v>
      </c>
      <c r="E104" s="126"/>
      <c r="F104" s="127">
        <f>F61+F67+F73+F79+F85+F91+F97+F103</f>
        <v>11925.707999999997</v>
      </c>
      <c r="G104" s="128"/>
      <c r="H104" s="128"/>
      <c r="I104" s="128"/>
      <c r="J104" s="128"/>
      <c r="K104" s="127">
        <f>K61+K67+K73+K79+K85+K91+K97+K103</f>
        <v>49945.233</v>
      </c>
      <c r="L104" s="129">
        <f>K104/F104</f>
        <v>4.1880308489860738</v>
      </c>
      <c r="M104" s="131"/>
    </row>
    <row r="105" spans="1:14" s="123" customFormat="1" ht="15.6" customHeight="1">
      <c r="A105" s="70" t="s">
        <v>40</v>
      </c>
      <c r="B105" s="70"/>
      <c r="C105" s="70"/>
      <c r="D105" s="70"/>
      <c r="E105" s="70"/>
      <c r="F105" s="71"/>
      <c r="G105" s="71"/>
      <c r="H105" s="71"/>
      <c r="I105" s="140"/>
      <c r="J105" s="71"/>
      <c r="K105" s="824" t="s">
        <v>1076</v>
      </c>
      <c r="L105" s="824"/>
      <c r="M105" s="824"/>
      <c r="N105" s="71"/>
    </row>
    <row r="106" spans="1:14" s="71" customFormat="1" ht="15.6" customHeight="1">
      <c r="A106" s="550" t="s">
        <v>0</v>
      </c>
      <c r="B106" s="550" t="s">
        <v>7</v>
      </c>
      <c r="C106" s="550" t="s">
        <v>13</v>
      </c>
      <c r="D106" s="550" t="s">
        <v>14</v>
      </c>
      <c r="E106" s="550" t="s">
        <v>8</v>
      </c>
      <c r="F106" s="550" t="s">
        <v>1</v>
      </c>
      <c r="G106" s="550" t="s">
        <v>2</v>
      </c>
      <c r="H106" s="550" t="s">
        <v>15</v>
      </c>
      <c r="I106" s="141" t="s">
        <v>3</v>
      </c>
      <c r="J106" s="550" t="s">
        <v>4</v>
      </c>
      <c r="K106" s="550" t="s">
        <v>5</v>
      </c>
      <c r="L106" s="550" t="s">
        <v>12</v>
      </c>
      <c r="M106" s="550" t="s">
        <v>6</v>
      </c>
      <c r="N106" s="123"/>
    </row>
    <row r="107" spans="1:14" s="71" customFormat="1" ht="15.6" customHeight="1">
      <c r="A107" s="551">
        <v>9930</v>
      </c>
      <c r="B107" s="552" t="s">
        <v>1073</v>
      </c>
      <c r="C107" s="552" t="s">
        <v>121</v>
      </c>
      <c r="D107" s="552" t="s">
        <v>74</v>
      </c>
      <c r="E107" s="552" t="s">
        <v>261</v>
      </c>
      <c r="F107" s="90">
        <f>320*1.0936</f>
        <v>349.952</v>
      </c>
      <c r="G107" s="552" t="s">
        <v>27</v>
      </c>
      <c r="H107" s="79"/>
      <c r="I107" s="80">
        <f>38</f>
        <v>38</v>
      </c>
      <c r="J107" s="81">
        <v>22</v>
      </c>
      <c r="K107" s="81">
        <f t="shared" ref="K107:K109" si="21">I107*J107</f>
        <v>836</v>
      </c>
      <c r="L107" s="551"/>
      <c r="M107" s="551"/>
      <c r="N107" s="546"/>
    </row>
    <row r="108" spans="1:14" s="71" customFormat="1" ht="15.6" customHeight="1">
      <c r="A108" s="551"/>
      <c r="B108" s="552"/>
      <c r="C108" s="552"/>
      <c r="D108" s="552"/>
      <c r="E108" s="552"/>
      <c r="F108" s="552"/>
      <c r="G108" s="553" t="s">
        <v>49</v>
      </c>
      <c r="H108" s="79"/>
      <c r="I108" s="80">
        <v>3</v>
      </c>
      <c r="J108" s="81">
        <v>34</v>
      </c>
      <c r="K108" s="81">
        <f t="shared" si="21"/>
        <v>102</v>
      </c>
      <c r="L108" s="551"/>
      <c r="M108" s="551"/>
      <c r="N108" s="546"/>
    </row>
    <row r="109" spans="1:14" s="71" customFormat="1" ht="15.6" customHeight="1">
      <c r="A109" s="551"/>
      <c r="B109" s="551"/>
      <c r="C109" s="551"/>
      <c r="D109" s="551"/>
      <c r="E109" s="551"/>
      <c r="F109" s="551"/>
      <c r="G109" s="552" t="s">
        <v>19</v>
      </c>
      <c r="H109" s="79"/>
      <c r="I109" s="80">
        <v>1</v>
      </c>
      <c r="J109" s="81">
        <v>80</v>
      </c>
      <c r="K109" s="81">
        <f t="shared" si="21"/>
        <v>80</v>
      </c>
      <c r="L109" s="551"/>
      <c r="M109" s="551"/>
      <c r="N109" s="546"/>
    </row>
    <row r="110" spans="1:14" s="71" customFormat="1" ht="15.6" customHeight="1">
      <c r="A110" s="551"/>
      <c r="B110" s="551"/>
      <c r="C110" s="551"/>
      <c r="D110" s="551"/>
      <c r="E110" s="550" t="s">
        <v>9</v>
      </c>
      <c r="F110" s="110">
        <f>SUM(F107:F109)</f>
        <v>349.952</v>
      </c>
      <c r="G110" s="550"/>
      <c r="H110" s="550"/>
      <c r="I110" s="125"/>
      <c r="J110" s="97"/>
      <c r="K110" s="111">
        <f>SUM(K107:K109)</f>
        <v>1018</v>
      </c>
      <c r="L110" s="111">
        <f>K110/F110</f>
        <v>2.9089703730797365</v>
      </c>
      <c r="M110" s="102"/>
    </row>
    <row r="111" spans="1:14" s="71" customFormat="1" ht="15.6" customHeight="1">
      <c r="A111" s="551">
        <v>9930</v>
      </c>
      <c r="B111" s="552" t="s">
        <v>269</v>
      </c>
      <c r="C111" s="552"/>
      <c r="D111" s="552"/>
      <c r="E111" s="552"/>
      <c r="F111" s="90">
        <f>30*1.0936</f>
        <v>32.808</v>
      </c>
      <c r="G111" s="552" t="s">
        <v>27</v>
      </c>
      <c r="H111" s="79"/>
      <c r="I111" s="80">
        <v>2</v>
      </c>
      <c r="J111" s="81">
        <v>22</v>
      </c>
      <c r="K111" s="81">
        <f t="shared" ref="K111:K113" si="22">I111*J111</f>
        <v>44</v>
      </c>
      <c r="L111" s="551"/>
      <c r="M111" s="551"/>
      <c r="N111" s="546"/>
    </row>
    <row r="112" spans="1:14" s="71" customFormat="1" ht="15.6" customHeight="1">
      <c r="A112" s="551"/>
      <c r="B112" s="552"/>
      <c r="C112" s="552"/>
      <c r="D112" s="552"/>
      <c r="E112" s="552"/>
      <c r="F112" s="87"/>
      <c r="G112" s="553" t="s">
        <v>49</v>
      </c>
      <c r="H112" s="79"/>
      <c r="I112" s="80">
        <v>0.6</v>
      </c>
      <c r="J112" s="81">
        <v>34</v>
      </c>
      <c r="K112" s="81">
        <f t="shared" si="22"/>
        <v>20.399999999999999</v>
      </c>
      <c r="L112" s="551"/>
      <c r="M112" s="551"/>
      <c r="N112" s="546"/>
    </row>
    <row r="113" spans="1:14" s="71" customFormat="1" ht="15.6" customHeight="1">
      <c r="A113" s="551"/>
      <c r="B113" s="552" t="s">
        <v>362</v>
      </c>
      <c r="C113" s="552" t="s">
        <v>121</v>
      </c>
      <c r="D113" s="552" t="s">
        <v>74</v>
      </c>
      <c r="E113" s="552" t="s">
        <v>232</v>
      </c>
      <c r="F113" s="99"/>
      <c r="G113" s="552" t="s">
        <v>19</v>
      </c>
      <c r="H113" s="79"/>
      <c r="I113" s="80">
        <v>0.2</v>
      </c>
      <c r="J113" s="81">
        <v>80</v>
      </c>
      <c r="K113" s="81">
        <f t="shared" si="22"/>
        <v>16</v>
      </c>
      <c r="L113" s="551"/>
      <c r="M113" s="551"/>
      <c r="N113" s="546"/>
    </row>
    <row r="114" spans="1:14" s="71" customFormat="1" ht="15.6" customHeight="1">
      <c r="A114" s="551"/>
      <c r="B114" s="551"/>
      <c r="C114" s="551"/>
      <c r="D114" s="551"/>
      <c r="E114" s="550" t="s">
        <v>9</v>
      </c>
      <c r="F114" s="110">
        <f>SUM(F111:F113)</f>
        <v>32.808</v>
      </c>
      <c r="G114" s="550"/>
      <c r="H114" s="550"/>
      <c r="I114" s="125"/>
      <c r="J114" s="97"/>
      <c r="K114" s="111">
        <f>SUM(K111:K113)</f>
        <v>80.400000000000006</v>
      </c>
      <c r="L114" s="111">
        <f>K114/F114</f>
        <v>2.4506217995610831</v>
      </c>
      <c r="M114" s="102"/>
    </row>
    <row r="115" spans="1:14" s="71" customFormat="1" ht="15.6" customHeight="1">
      <c r="A115" s="548"/>
      <c r="B115" s="548"/>
      <c r="C115" s="548"/>
      <c r="D115" s="126" t="s">
        <v>30</v>
      </c>
      <c r="E115" s="142"/>
      <c r="F115" s="127">
        <f>F110+F114</f>
        <v>382.76</v>
      </c>
      <c r="G115" s="128"/>
      <c r="H115" s="128"/>
      <c r="I115" s="128"/>
      <c r="J115" s="128"/>
      <c r="K115" s="127">
        <f>K110+K114</f>
        <v>1098.4000000000001</v>
      </c>
      <c r="L115" s="129">
        <f>K115/F115</f>
        <v>2.8696833524924239</v>
      </c>
      <c r="M115" s="131"/>
    </row>
    <row r="116" spans="1:14" s="71" customFormat="1" ht="15.6" customHeight="1">
      <c r="A116" s="70" t="s">
        <v>11</v>
      </c>
      <c r="B116" s="70"/>
      <c r="C116" s="70"/>
      <c r="D116" s="70"/>
      <c r="E116" s="70"/>
      <c r="K116" s="824" t="s">
        <v>1076</v>
      </c>
      <c r="L116" s="824"/>
      <c r="M116" s="824"/>
    </row>
    <row r="117" spans="1:14" s="71" customFormat="1" ht="15.6" customHeight="1">
      <c r="A117" s="550" t="s">
        <v>0</v>
      </c>
      <c r="B117" s="550" t="s">
        <v>7</v>
      </c>
      <c r="C117" s="550" t="s">
        <v>13</v>
      </c>
      <c r="D117" s="550" t="s">
        <v>14</v>
      </c>
      <c r="E117" s="550" t="s">
        <v>8</v>
      </c>
      <c r="F117" s="550" t="s">
        <v>1</v>
      </c>
      <c r="G117" s="550" t="s">
        <v>2</v>
      </c>
      <c r="H117" s="550" t="s">
        <v>15</v>
      </c>
      <c r="I117" s="550" t="s">
        <v>3</v>
      </c>
      <c r="J117" s="550" t="s">
        <v>4</v>
      </c>
      <c r="K117" s="550" t="s">
        <v>5</v>
      </c>
      <c r="L117" s="550" t="s">
        <v>12</v>
      </c>
      <c r="M117" s="550" t="s">
        <v>6</v>
      </c>
      <c r="N117" s="123"/>
    </row>
    <row r="118" spans="1:14" s="71" customFormat="1" ht="15.6" customHeight="1">
      <c r="A118" s="551">
        <v>9747</v>
      </c>
      <c r="B118" s="552" t="s">
        <v>1050</v>
      </c>
      <c r="C118" s="552" t="s">
        <v>121</v>
      </c>
      <c r="D118" s="552" t="s">
        <v>120</v>
      </c>
      <c r="E118" s="552" t="s">
        <v>874</v>
      </c>
      <c r="F118" s="90">
        <f>1870*1.0936</f>
        <v>2045.0319999999999</v>
      </c>
      <c r="G118" s="173" t="s">
        <v>298</v>
      </c>
      <c r="H118" s="79"/>
      <c r="I118" s="80">
        <v>3</v>
      </c>
      <c r="J118" s="81">
        <v>435</v>
      </c>
      <c r="K118" s="94">
        <f t="shared" ref="K118:K119" si="23">I118*J118</f>
        <v>1305</v>
      </c>
      <c r="L118" s="102"/>
      <c r="M118" s="102"/>
    </row>
    <row r="119" spans="1:14" s="71" customFormat="1" ht="15.6" customHeight="1">
      <c r="A119" s="551"/>
      <c r="B119" s="552"/>
      <c r="C119" s="552"/>
      <c r="D119" s="552"/>
      <c r="E119" s="552"/>
      <c r="F119" s="98"/>
      <c r="G119" s="173" t="s">
        <v>799</v>
      </c>
      <c r="H119" s="79"/>
      <c r="I119" s="188">
        <v>3</v>
      </c>
      <c r="J119" s="81">
        <v>350</v>
      </c>
      <c r="K119" s="94">
        <f t="shared" si="23"/>
        <v>1050</v>
      </c>
      <c r="L119" s="102"/>
      <c r="M119" s="102"/>
    </row>
    <row r="120" spans="1:14" s="71" customFormat="1" ht="15.6" customHeight="1">
      <c r="A120" s="551"/>
      <c r="B120" s="552"/>
      <c r="C120" s="552"/>
      <c r="D120" s="552"/>
      <c r="E120" s="552"/>
      <c r="F120" s="98"/>
      <c r="G120" s="553" t="s">
        <v>798</v>
      </c>
      <c r="H120" s="79"/>
      <c r="I120" s="81">
        <v>1</v>
      </c>
      <c r="J120" s="81">
        <v>248</v>
      </c>
      <c r="K120" s="81">
        <f>I120*J120</f>
        <v>248</v>
      </c>
      <c r="L120" s="102"/>
      <c r="M120" s="102"/>
    </row>
    <row r="121" spans="1:14" s="71" customFormat="1" ht="15.6" customHeight="1">
      <c r="A121" s="551"/>
      <c r="B121" s="552"/>
      <c r="C121" s="552"/>
      <c r="D121" s="552"/>
      <c r="E121" s="552"/>
      <c r="F121" s="98"/>
      <c r="G121" s="552" t="s">
        <v>202</v>
      </c>
      <c r="H121" s="79"/>
      <c r="I121" s="188">
        <v>5</v>
      </c>
      <c r="J121" s="81">
        <v>386</v>
      </c>
      <c r="K121" s="81">
        <f t="shared" ref="K121" si="24">I121*J121</f>
        <v>1930</v>
      </c>
      <c r="L121" s="102"/>
      <c r="M121" s="102"/>
    </row>
    <row r="122" spans="1:14" s="71" customFormat="1" ht="15.6" customHeight="1">
      <c r="A122" s="551"/>
      <c r="B122" s="551"/>
      <c r="C122" s="551"/>
      <c r="D122" s="551"/>
      <c r="E122" s="550" t="s">
        <v>9</v>
      </c>
      <c r="F122" s="110">
        <f>SUM(F118:F120)</f>
        <v>2045.0319999999999</v>
      </c>
      <c r="G122" s="550"/>
      <c r="H122" s="550"/>
      <c r="I122" s="97"/>
      <c r="J122" s="97"/>
      <c r="K122" s="111">
        <f>SUM(K118:K121)</f>
        <v>4533</v>
      </c>
      <c r="L122" s="111">
        <f>K122/F122</f>
        <v>2.2165912318242453</v>
      </c>
      <c r="M122" s="102"/>
    </row>
    <row r="123" spans="1:14" s="71" customFormat="1" ht="15.6" customHeight="1">
      <c r="A123" s="551">
        <v>9746</v>
      </c>
      <c r="B123" s="552" t="s">
        <v>996</v>
      </c>
      <c r="C123" s="89" t="s">
        <v>766</v>
      </c>
      <c r="D123" s="89" t="s">
        <v>465</v>
      </c>
      <c r="E123" s="552" t="s">
        <v>310</v>
      </c>
      <c r="F123" s="99">
        <f>3300*1.0936</f>
        <v>3608.8799999999997</v>
      </c>
      <c r="G123" s="553" t="s">
        <v>587</v>
      </c>
      <c r="H123" s="79"/>
      <c r="I123" s="81">
        <v>7</v>
      </c>
      <c r="J123" s="81">
        <v>456</v>
      </c>
      <c r="K123" s="94">
        <f t="shared" ref="K123:K124" si="25">I123*J123</f>
        <v>3192</v>
      </c>
      <c r="L123" s="79"/>
      <c r="M123" s="102"/>
    </row>
    <row r="124" spans="1:14" s="71" customFormat="1" ht="15.6" customHeight="1">
      <c r="A124" s="551"/>
      <c r="B124" s="552"/>
      <c r="C124" s="552"/>
      <c r="D124" s="552"/>
      <c r="E124" s="552"/>
      <c r="F124" s="108"/>
      <c r="G124" s="95" t="s">
        <v>832</v>
      </c>
      <c r="H124" s="79"/>
      <c r="I124" s="81">
        <f>0.7+0.25</f>
        <v>0.95</v>
      </c>
      <c r="J124" s="81">
        <v>790</v>
      </c>
      <c r="K124" s="81">
        <f t="shared" si="25"/>
        <v>750.5</v>
      </c>
      <c r="L124" s="79"/>
      <c r="M124" s="102"/>
    </row>
    <row r="125" spans="1:14" s="71" customFormat="1" ht="15.6" customHeight="1">
      <c r="A125" s="551"/>
      <c r="B125" s="551"/>
      <c r="C125" s="551"/>
      <c r="D125" s="551"/>
      <c r="E125" s="551"/>
      <c r="F125" s="98"/>
      <c r="G125" s="173" t="s">
        <v>799</v>
      </c>
      <c r="H125" s="79"/>
      <c r="I125" s="188">
        <v>5</v>
      </c>
      <c r="J125" s="81">
        <v>350</v>
      </c>
      <c r="K125" s="94">
        <f t="shared" ref="K125" si="26">I125*J125</f>
        <v>1750</v>
      </c>
      <c r="L125" s="79"/>
      <c r="M125" s="102"/>
    </row>
    <row r="126" spans="1:14" s="71" customFormat="1" ht="15.6" customHeight="1">
      <c r="A126" s="551"/>
      <c r="B126" s="551"/>
      <c r="C126" s="551"/>
      <c r="D126" s="551"/>
      <c r="E126" s="551"/>
      <c r="F126" s="98"/>
      <c r="G126" s="553" t="s">
        <v>798</v>
      </c>
      <c r="H126" s="79"/>
      <c r="I126" s="81">
        <v>2.5</v>
      </c>
      <c r="J126" s="81">
        <v>248</v>
      </c>
      <c r="K126" s="81">
        <f>I126*J126</f>
        <v>620</v>
      </c>
      <c r="L126" s="79"/>
      <c r="M126" s="102"/>
    </row>
    <row r="127" spans="1:14" s="71" customFormat="1" ht="15.6" customHeight="1">
      <c r="A127" s="551"/>
      <c r="B127" s="551"/>
      <c r="C127" s="551"/>
      <c r="D127" s="551"/>
      <c r="E127" s="550" t="s">
        <v>9</v>
      </c>
      <c r="F127" s="110">
        <f>SUM(F123:F126)</f>
        <v>3608.8799999999997</v>
      </c>
      <c r="G127" s="550"/>
      <c r="H127" s="550"/>
      <c r="I127" s="97"/>
      <c r="J127" s="97"/>
      <c r="K127" s="111">
        <f>SUM(K123:K126)</f>
        <v>6312.5</v>
      </c>
      <c r="L127" s="111">
        <f>K127/F127</f>
        <v>1.749157633393186</v>
      </c>
      <c r="M127" s="102"/>
    </row>
    <row r="128" spans="1:14" s="71" customFormat="1" ht="15.6" customHeight="1">
      <c r="A128" s="551">
        <v>9951</v>
      </c>
      <c r="B128" s="552" t="s">
        <v>1090</v>
      </c>
      <c r="C128" s="552" t="s">
        <v>667</v>
      </c>
      <c r="D128" s="552" t="s">
        <v>1091</v>
      </c>
      <c r="E128" s="229" t="s">
        <v>232</v>
      </c>
      <c r="F128" s="99">
        <f>500*1.0936</f>
        <v>546.79999999999995</v>
      </c>
      <c r="G128" s="553" t="s">
        <v>206</v>
      </c>
      <c r="H128" s="79"/>
      <c r="I128" s="81">
        <v>2</v>
      </c>
      <c r="J128" s="81">
        <v>375</v>
      </c>
      <c r="K128" s="81">
        <f t="shared" ref="K128:K129" si="27">I128*J128</f>
        <v>750</v>
      </c>
      <c r="L128" s="102"/>
      <c r="M128" s="102"/>
    </row>
    <row r="129" spans="1:14" s="71" customFormat="1" ht="15.6" customHeight="1">
      <c r="A129" s="551"/>
      <c r="B129" s="551"/>
      <c r="C129" s="551"/>
      <c r="D129" s="551"/>
      <c r="E129" s="551"/>
      <c r="F129" s="98"/>
      <c r="G129" s="173" t="s">
        <v>298</v>
      </c>
      <c r="H129" s="79"/>
      <c r="I129" s="80">
        <v>3</v>
      </c>
      <c r="J129" s="81">
        <v>435</v>
      </c>
      <c r="K129" s="94">
        <f t="shared" si="27"/>
        <v>1305</v>
      </c>
      <c r="L129" s="102"/>
      <c r="M129" s="102"/>
    </row>
    <row r="130" spans="1:14" s="71" customFormat="1" ht="15.6" customHeight="1">
      <c r="A130" s="551"/>
      <c r="B130" s="551"/>
      <c r="C130" s="551"/>
      <c r="D130" s="551"/>
      <c r="E130" s="550" t="s">
        <v>9</v>
      </c>
      <c r="F130" s="110">
        <f>SUM(F128:F129)</f>
        <v>546.79999999999995</v>
      </c>
      <c r="G130" s="550"/>
      <c r="H130" s="550"/>
      <c r="I130" s="97"/>
      <c r="J130" s="97"/>
      <c r="K130" s="111">
        <f>SUM(K128:K129)</f>
        <v>2055</v>
      </c>
      <c r="L130" s="111">
        <f>K130/F130</f>
        <v>3.7582297000731533</v>
      </c>
      <c r="M130" s="102"/>
    </row>
    <row r="131" spans="1:14" s="71" customFormat="1" ht="15.6" customHeight="1">
      <c r="A131" s="552">
        <v>9954</v>
      </c>
      <c r="B131" s="552" t="s">
        <v>269</v>
      </c>
      <c r="C131" s="552"/>
      <c r="D131" s="552"/>
      <c r="E131" s="552"/>
      <c r="F131" s="90">
        <f>30*1.0936</f>
        <v>32.808</v>
      </c>
      <c r="G131" s="553" t="s">
        <v>587</v>
      </c>
      <c r="H131" s="79"/>
      <c r="I131" s="81">
        <f>1</f>
        <v>1</v>
      </c>
      <c r="J131" s="81">
        <v>456</v>
      </c>
      <c r="K131" s="94">
        <f t="shared" ref="K131:K132" si="28">I131*J131</f>
        <v>456</v>
      </c>
      <c r="L131" s="79"/>
      <c r="M131" s="102"/>
    </row>
    <row r="132" spans="1:14" s="71" customFormat="1" ht="15.6" customHeight="1">
      <c r="A132" s="551"/>
      <c r="B132" s="551"/>
      <c r="C132" s="551"/>
      <c r="D132" s="551"/>
      <c r="E132" s="550"/>
      <c r="F132" s="110"/>
      <c r="G132" s="552" t="s">
        <v>202</v>
      </c>
      <c r="H132" s="79"/>
      <c r="I132" s="188"/>
      <c r="J132" s="81">
        <v>386</v>
      </c>
      <c r="K132" s="81">
        <f t="shared" si="28"/>
        <v>0</v>
      </c>
      <c r="L132" s="111"/>
      <c r="M132" s="102"/>
    </row>
    <row r="133" spans="1:14" s="71" customFormat="1" ht="15.6" customHeight="1">
      <c r="A133" s="551"/>
      <c r="B133" s="551"/>
      <c r="C133" s="551"/>
      <c r="D133" s="551"/>
      <c r="E133" s="550" t="s">
        <v>9</v>
      </c>
      <c r="F133" s="110">
        <f>SUM(F131:F132)</f>
        <v>32.808</v>
      </c>
      <c r="G133" s="550"/>
      <c r="H133" s="550"/>
      <c r="I133" s="97"/>
      <c r="J133" s="97"/>
      <c r="K133" s="111">
        <f>SUM(K131:K132)</f>
        <v>456</v>
      </c>
      <c r="L133" s="111">
        <f>K133/F133</f>
        <v>13.899049012435992</v>
      </c>
      <c r="M133" s="102"/>
    </row>
    <row r="134" spans="1:14" s="71" customFormat="1" ht="15.6" customHeight="1">
      <c r="D134" s="126" t="s">
        <v>30</v>
      </c>
      <c r="E134" s="126"/>
      <c r="F134" s="127">
        <f>F122++F127+F130+F133</f>
        <v>6233.5199999999995</v>
      </c>
      <c r="G134" s="128"/>
      <c r="H134" s="128"/>
      <c r="I134" s="128"/>
      <c r="J134" s="128"/>
      <c r="K134" s="127">
        <f>K122+K127+K130+K133</f>
        <v>13356.5</v>
      </c>
      <c r="L134" s="129">
        <f>K134/F134</f>
        <v>2.1426898445821947</v>
      </c>
    </row>
    <row r="135" spans="1:14" s="71" customFormat="1" ht="15.6" customHeight="1"/>
    <row r="136" spans="1:14" s="71" customFormat="1" ht="15.6" customHeight="1">
      <c r="A136" s="70" t="s">
        <v>42</v>
      </c>
      <c r="B136" s="70"/>
      <c r="C136" s="70"/>
      <c r="D136" s="70"/>
      <c r="E136" s="70"/>
      <c r="K136" s="824" t="s">
        <v>1076</v>
      </c>
      <c r="L136" s="824"/>
      <c r="M136" s="824"/>
    </row>
    <row r="137" spans="1:14" s="71" customFormat="1" ht="15.6" customHeight="1">
      <c r="A137" s="550" t="s">
        <v>0</v>
      </c>
      <c r="B137" s="550" t="s">
        <v>7</v>
      </c>
      <c r="C137" s="550" t="s">
        <v>13</v>
      </c>
      <c r="D137" s="550" t="s">
        <v>14</v>
      </c>
      <c r="E137" s="550" t="s">
        <v>8</v>
      </c>
      <c r="F137" s="550" t="s">
        <v>1</v>
      </c>
      <c r="G137" s="550" t="s">
        <v>2</v>
      </c>
      <c r="H137" s="550" t="s">
        <v>15</v>
      </c>
      <c r="I137" s="550" t="s">
        <v>3</v>
      </c>
      <c r="J137" s="550" t="s">
        <v>4</v>
      </c>
      <c r="K137" s="550" t="s">
        <v>5</v>
      </c>
      <c r="L137" s="550" t="s">
        <v>12</v>
      </c>
      <c r="M137" s="550" t="s">
        <v>6</v>
      </c>
      <c r="N137" s="123"/>
    </row>
    <row r="138" spans="1:14" s="71" customFormat="1" ht="15.6" customHeight="1">
      <c r="A138" s="552">
        <v>7769</v>
      </c>
      <c r="B138" s="552" t="s">
        <v>884</v>
      </c>
      <c r="C138" s="551" t="s">
        <v>882</v>
      </c>
      <c r="D138" s="552" t="s">
        <v>883</v>
      </c>
      <c r="E138" s="551" t="s">
        <v>93</v>
      </c>
      <c r="F138" s="98">
        <f>380*1.0936</f>
        <v>415.56799999999998</v>
      </c>
      <c r="G138" s="91" t="s">
        <v>888</v>
      </c>
      <c r="H138" s="109"/>
      <c r="I138" s="80">
        <v>1.35</v>
      </c>
      <c r="J138" s="81">
        <v>690</v>
      </c>
      <c r="K138" s="81">
        <f t="shared" ref="K138:K144" si="29">I138*J138</f>
        <v>931.50000000000011</v>
      </c>
      <c r="L138" s="102"/>
      <c r="M138" s="102"/>
    </row>
    <row r="139" spans="1:14" s="71" customFormat="1" ht="15.6" customHeight="1">
      <c r="A139" s="551"/>
      <c r="B139" s="551"/>
      <c r="C139" s="551"/>
      <c r="D139" s="551"/>
      <c r="E139" s="551"/>
      <c r="F139" s="98"/>
      <c r="G139" s="91" t="s">
        <v>209</v>
      </c>
      <c r="H139" s="79"/>
      <c r="I139" s="80">
        <v>0.4</v>
      </c>
      <c r="J139" s="81">
        <v>350</v>
      </c>
      <c r="K139" s="81">
        <f t="shared" si="29"/>
        <v>140</v>
      </c>
      <c r="L139" s="102"/>
      <c r="M139" s="102"/>
    </row>
    <row r="140" spans="1:14" s="71" customFormat="1" ht="15.6" customHeight="1">
      <c r="A140" s="551"/>
      <c r="B140" s="551"/>
      <c r="C140" s="551"/>
      <c r="D140" s="551"/>
      <c r="E140" s="551"/>
      <c r="F140" s="98"/>
      <c r="G140" s="91" t="s">
        <v>221</v>
      </c>
      <c r="H140" s="112"/>
      <c r="I140" s="113">
        <v>0.57999999999999996</v>
      </c>
      <c r="J140" s="81">
        <v>980</v>
      </c>
      <c r="K140" s="81">
        <f t="shared" si="29"/>
        <v>568.4</v>
      </c>
      <c r="L140" s="102"/>
      <c r="M140" s="102"/>
    </row>
    <row r="141" spans="1:14" s="71" customFormat="1" ht="15.6" customHeight="1">
      <c r="A141" s="551"/>
      <c r="B141" s="551"/>
      <c r="C141" s="551"/>
      <c r="D141" s="551"/>
      <c r="E141" s="551"/>
      <c r="F141" s="98"/>
      <c r="G141" s="91" t="s">
        <v>677</v>
      </c>
      <c r="H141" s="79"/>
      <c r="I141" s="80">
        <v>0.25</v>
      </c>
      <c r="J141" s="81">
        <v>680</v>
      </c>
      <c r="K141" s="81">
        <f t="shared" si="29"/>
        <v>170</v>
      </c>
      <c r="L141" s="79"/>
      <c r="M141" s="102"/>
    </row>
    <row r="142" spans="1:14" s="71" customFormat="1" ht="15.6" customHeight="1">
      <c r="A142" s="551"/>
      <c r="B142" s="551"/>
      <c r="C142" s="551"/>
      <c r="D142" s="551"/>
      <c r="E142" s="551"/>
      <c r="F142" s="98"/>
      <c r="G142" s="91" t="s">
        <v>215</v>
      </c>
      <c r="H142" s="109"/>
      <c r="I142" s="80">
        <v>0.05</v>
      </c>
      <c r="J142" s="81">
        <v>750</v>
      </c>
      <c r="K142" s="81">
        <f t="shared" si="29"/>
        <v>37.5</v>
      </c>
      <c r="L142" s="79"/>
      <c r="M142" s="102"/>
    </row>
    <row r="143" spans="1:14" s="71" customFormat="1" ht="15.6" customHeight="1">
      <c r="A143" s="551"/>
      <c r="B143" s="551"/>
      <c r="C143" s="551"/>
      <c r="D143" s="551"/>
      <c r="E143" s="551"/>
      <c r="F143" s="98"/>
      <c r="G143" s="91" t="s">
        <v>123</v>
      </c>
      <c r="H143" s="552"/>
      <c r="I143" s="96">
        <v>0.2</v>
      </c>
      <c r="J143" s="81">
        <v>750</v>
      </c>
      <c r="K143" s="94">
        <f t="shared" si="29"/>
        <v>150</v>
      </c>
      <c r="L143" s="102"/>
      <c r="M143" s="102"/>
    </row>
    <row r="144" spans="1:14" s="71" customFormat="1" ht="15.6" customHeight="1">
      <c r="A144" s="551"/>
      <c r="B144" s="551"/>
      <c r="C144" s="551"/>
      <c r="D144" s="551"/>
      <c r="E144" s="551"/>
      <c r="F144" s="98"/>
      <c r="G144" s="91" t="s">
        <v>294</v>
      </c>
      <c r="H144" s="112"/>
      <c r="I144" s="113">
        <v>0.13500000000000001</v>
      </c>
      <c r="J144" s="81">
        <v>753</v>
      </c>
      <c r="K144" s="81">
        <f t="shared" si="29"/>
        <v>101.655</v>
      </c>
      <c r="L144" s="102"/>
      <c r="M144" s="102"/>
    </row>
    <row r="145" spans="1:13" s="71" customFormat="1" ht="15.6" customHeight="1">
      <c r="A145" s="551"/>
      <c r="B145" s="551"/>
      <c r="C145" s="551"/>
      <c r="D145" s="551"/>
      <c r="E145" s="551"/>
      <c r="F145" s="98"/>
      <c r="G145" s="553" t="s">
        <v>211</v>
      </c>
      <c r="H145" s="79"/>
      <c r="I145" s="80">
        <v>18</v>
      </c>
      <c r="J145" s="81">
        <v>120</v>
      </c>
      <c r="K145" s="81">
        <f>I145*J145</f>
        <v>2160</v>
      </c>
      <c r="L145" s="102"/>
      <c r="M145" s="102"/>
    </row>
    <row r="146" spans="1:13" s="71" customFormat="1" ht="15.6" customHeight="1">
      <c r="A146" s="551"/>
      <c r="B146" s="551"/>
      <c r="C146" s="551"/>
      <c r="D146" s="551"/>
      <c r="E146" s="551"/>
      <c r="F146" s="98"/>
      <c r="G146" s="553" t="s">
        <v>212</v>
      </c>
      <c r="H146" s="79"/>
      <c r="I146" s="80">
        <v>1</v>
      </c>
      <c r="J146" s="81">
        <v>527</v>
      </c>
      <c r="K146" s="81">
        <f t="shared" ref="K146:K150" si="30">I146*J146</f>
        <v>527</v>
      </c>
      <c r="L146" s="102"/>
      <c r="M146" s="102"/>
    </row>
    <row r="147" spans="1:13" s="71" customFormat="1" ht="15.6" customHeight="1">
      <c r="A147" s="551"/>
      <c r="B147" s="551"/>
      <c r="C147" s="551"/>
      <c r="D147" s="551"/>
      <c r="E147" s="551"/>
      <c r="F147" s="98"/>
      <c r="G147" s="553" t="s">
        <v>45</v>
      </c>
      <c r="H147" s="79"/>
      <c r="I147" s="80">
        <v>5</v>
      </c>
      <c r="J147" s="81">
        <v>45</v>
      </c>
      <c r="K147" s="81">
        <f t="shared" si="30"/>
        <v>225</v>
      </c>
      <c r="L147" s="102"/>
      <c r="M147" s="102"/>
    </row>
    <row r="148" spans="1:13" s="71" customFormat="1" ht="15.6" customHeight="1">
      <c r="A148" s="551"/>
      <c r="B148" s="551"/>
      <c r="C148" s="551"/>
      <c r="D148" s="551"/>
      <c r="E148" s="551"/>
      <c r="F148" s="98"/>
      <c r="G148" s="553" t="s">
        <v>213</v>
      </c>
      <c r="H148" s="79"/>
      <c r="I148" s="80">
        <v>4.5</v>
      </c>
      <c r="J148" s="81">
        <v>348</v>
      </c>
      <c r="K148" s="81">
        <f t="shared" si="30"/>
        <v>1566</v>
      </c>
      <c r="L148" s="102"/>
      <c r="M148" s="102"/>
    </row>
    <row r="149" spans="1:13" s="71" customFormat="1" ht="15.6" customHeight="1">
      <c r="A149" s="551"/>
      <c r="B149" s="551"/>
      <c r="C149" s="551"/>
      <c r="D149" s="551"/>
      <c r="E149" s="550"/>
      <c r="F149" s="110"/>
      <c r="G149" s="553" t="s">
        <v>214</v>
      </c>
      <c r="H149" s="79"/>
      <c r="I149" s="80">
        <v>13.5</v>
      </c>
      <c r="J149" s="81">
        <v>360</v>
      </c>
      <c r="K149" s="81">
        <f t="shared" si="30"/>
        <v>4860</v>
      </c>
      <c r="L149" s="111"/>
      <c r="M149" s="102"/>
    </row>
    <row r="150" spans="1:13" s="71" customFormat="1" ht="15.6" customHeight="1">
      <c r="A150" s="551"/>
      <c r="B150" s="551"/>
      <c r="C150" s="551"/>
      <c r="D150" s="551"/>
      <c r="E150" s="550"/>
      <c r="F150" s="110"/>
      <c r="G150" s="552" t="s">
        <v>28</v>
      </c>
      <c r="H150" s="79"/>
      <c r="I150" s="80">
        <v>6</v>
      </c>
      <c r="J150" s="81">
        <v>17</v>
      </c>
      <c r="K150" s="81">
        <f t="shared" si="30"/>
        <v>102</v>
      </c>
      <c r="L150" s="111"/>
      <c r="M150" s="102"/>
    </row>
    <row r="151" spans="1:13" s="71" customFormat="1" ht="15.6" customHeight="1">
      <c r="A151" s="551"/>
      <c r="B151" s="551"/>
      <c r="C151" s="551"/>
      <c r="D151" s="551"/>
      <c r="E151" s="550" t="s">
        <v>9</v>
      </c>
      <c r="F151" s="110">
        <f>SUM(F138:F150)</f>
        <v>415.56799999999998</v>
      </c>
      <c r="G151" s="550"/>
      <c r="H151" s="550"/>
      <c r="I151" s="97"/>
      <c r="J151" s="97"/>
      <c r="K151" s="111">
        <f>SUM(K138:K150)</f>
        <v>11539.055</v>
      </c>
      <c r="L151" s="111">
        <f>K151/F151</f>
        <v>27.766947888191584</v>
      </c>
      <c r="M151" s="102"/>
    </row>
    <row r="152" spans="1:13" s="71" customFormat="1" ht="15.6" customHeight="1">
      <c r="A152" s="551">
        <v>7770</v>
      </c>
      <c r="B152" s="552" t="s">
        <v>1050</v>
      </c>
      <c r="C152" s="551" t="s">
        <v>217</v>
      </c>
      <c r="D152" s="552" t="s">
        <v>122</v>
      </c>
      <c r="E152" s="551" t="s">
        <v>93</v>
      </c>
      <c r="F152" s="98">
        <f>380*1.0936</f>
        <v>415.56799999999998</v>
      </c>
      <c r="G152" s="91" t="s">
        <v>888</v>
      </c>
      <c r="H152" s="109"/>
      <c r="I152" s="80">
        <v>0.05</v>
      </c>
      <c r="J152" s="81">
        <v>690</v>
      </c>
      <c r="K152" s="81">
        <f t="shared" ref="K152:K154" si="31">I152*J152</f>
        <v>34.5</v>
      </c>
      <c r="L152" s="102"/>
      <c r="M152" s="102"/>
    </row>
    <row r="153" spans="1:13" s="71" customFormat="1" ht="15.6" customHeight="1">
      <c r="A153" s="551"/>
      <c r="B153" s="551"/>
      <c r="C153" s="551"/>
      <c r="D153" s="551"/>
      <c r="E153" s="550"/>
      <c r="F153" s="110"/>
      <c r="G153" s="91" t="s">
        <v>209</v>
      </c>
      <c r="H153" s="79"/>
      <c r="I153" s="80">
        <v>4.4999999999999998E-2</v>
      </c>
      <c r="J153" s="81">
        <v>350</v>
      </c>
      <c r="K153" s="81">
        <f t="shared" si="31"/>
        <v>15.75</v>
      </c>
      <c r="L153" s="102"/>
      <c r="M153" s="102"/>
    </row>
    <row r="154" spans="1:13" s="71" customFormat="1" ht="15.6" customHeight="1">
      <c r="A154" s="551"/>
      <c r="B154" s="551"/>
      <c r="C154" s="551"/>
      <c r="D154" s="551"/>
      <c r="E154" s="550"/>
      <c r="F154" s="110"/>
      <c r="G154" s="91" t="s">
        <v>123</v>
      </c>
      <c r="H154" s="552"/>
      <c r="I154" s="96">
        <v>0.28999999999999998</v>
      </c>
      <c r="J154" s="81">
        <v>750</v>
      </c>
      <c r="K154" s="94">
        <f t="shared" si="31"/>
        <v>217.49999999999997</v>
      </c>
      <c r="L154" s="102"/>
      <c r="M154" s="102"/>
    </row>
    <row r="155" spans="1:13" s="71" customFormat="1" ht="15.6" customHeight="1">
      <c r="A155" s="551"/>
      <c r="B155" s="551"/>
      <c r="C155" s="551"/>
      <c r="D155" s="551"/>
      <c r="E155" s="550"/>
      <c r="F155" s="110"/>
      <c r="G155" s="553" t="s">
        <v>211</v>
      </c>
      <c r="H155" s="79"/>
      <c r="I155" s="80">
        <v>3</v>
      </c>
      <c r="J155" s="81">
        <v>120</v>
      </c>
      <c r="K155" s="81">
        <f>I155*J155</f>
        <v>360</v>
      </c>
      <c r="L155" s="102"/>
      <c r="M155" s="102"/>
    </row>
    <row r="156" spans="1:13" s="71" customFormat="1" ht="15.6" customHeight="1">
      <c r="A156" s="551"/>
      <c r="B156" s="551"/>
      <c r="C156" s="551"/>
      <c r="D156" s="551"/>
      <c r="E156" s="550"/>
      <c r="F156" s="110"/>
      <c r="G156" s="553" t="s">
        <v>212</v>
      </c>
      <c r="H156" s="79"/>
      <c r="I156" s="80">
        <v>0.2</v>
      </c>
      <c r="J156" s="81">
        <v>527</v>
      </c>
      <c r="K156" s="81">
        <f t="shared" ref="K156:K158" si="32">I156*J156</f>
        <v>105.4</v>
      </c>
      <c r="L156" s="102"/>
      <c r="M156" s="102"/>
    </row>
    <row r="157" spans="1:13" s="71" customFormat="1" ht="15.6" customHeight="1">
      <c r="A157" s="551"/>
      <c r="B157" s="551"/>
      <c r="C157" s="551"/>
      <c r="D157" s="551"/>
      <c r="E157" s="550"/>
      <c r="F157" s="110"/>
      <c r="G157" s="553" t="s">
        <v>45</v>
      </c>
      <c r="H157" s="79"/>
      <c r="I157" s="80">
        <v>0.3</v>
      </c>
      <c r="J157" s="81">
        <v>45</v>
      </c>
      <c r="K157" s="81">
        <f t="shared" si="32"/>
        <v>13.5</v>
      </c>
      <c r="L157" s="102"/>
      <c r="M157" s="102"/>
    </row>
    <row r="158" spans="1:13" s="71" customFormat="1" ht="15.6" customHeight="1">
      <c r="A158" s="551"/>
      <c r="B158" s="551"/>
      <c r="C158" s="551"/>
      <c r="D158" s="551"/>
      <c r="E158" s="550"/>
      <c r="F158" s="110"/>
      <c r="G158" s="553" t="s">
        <v>213</v>
      </c>
      <c r="H158" s="79"/>
      <c r="I158" s="80">
        <v>0.3</v>
      </c>
      <c r="J158" s="81">
        <v>348</v>
      </c>
      <c r="K158" s="81">
        <f t="shared" si="32"/>
        <v>104.39999999999999</v>
      </c>
      <c r="L158" s="102"/>
      <c r="M158" s="102"/>
    </row>
    <row r="159" spans="1:13" s="71" customFormat="1" ht="15.6" customHeight="1">
      <c r="A159" s="551"/>
      <c r="B159" s="551"/>
      <c r="C159" s="551"/>
      <c r="D159" s="551"/>
      <c r="E159" s="550" t="s">
        <v>9</v>
      </c>
      <c r="F159" s="110">
        <f>SUM(F152:F158)</f>
        <v>415.56799999999998</v>
      </c>
      <c r="G159" s="550"/>
      <c r="H159" s="550"/>
      <c r="I159" s="97"/>
      <c r="J159" s="97"/>
      <c r="K159" s="111">
        <f>SUM(K152:K158)</f>
        <v>851.05</v>
      </c>
      <c r="L159" s="111">
        <f>K159/F159</f>
        <v>2.0479199553382359</v>
      </c>
      <c r="M159" s="102"/>
    </row>
    <row r="160" spans="1:13" s="71" customFormat="1" ht="15.6" customHeight="1">
      <c r="A160" s="551">
        <v>7771</v>
      </c>
      <c r="B160" s="552" t="s">
        <v>1050</v>
      </c>
      <c r="C160" s="551" t="s">
        <v>217</v>
      </c>
      <c r="D160" s="552" t="s">
        <v>122</v>
      </c>
      <c r="E160" s="551" t="s">
        <v>93</v>
      </c>
      <c r="F160" s="98">
        <f>285*1.0936</f>
        <v>311.67599999999999</v>
      </c>
      <c r="G160" s="91" t="s">
        <v>888</v>
      </c>
      <c r="H160" s="109"/>
      <c r="I160" s="80">
        <v>0.21</v>
      </c>
      <c r="J160" s="81">
        <v>690</v>
      </c>
      <c r="K160" s="81">
        <f t="shared" ref="K160:K162" si="33">I160*J160</f>
        <v>144.9</v>
      </c>
      <c r="L160" s="111"/>
      <c r="M160" s="102"/>
    </row>
    <row r="161" spans="1:13" s="71" customFormat="1" ht="15.6" customHeight="1">
      <c r="A161" s="551"/>
      <c r="B161" s="551"/>
      <c r="C161" s="551"/>
      <c r="D161" s="551"/>
      <c r="E161" s="550"/>
      <c r="F161" s="110"/>
      <c r="G161" s="91" t="s">
        <v>209</v>
      </c>
      <c r="H161" s="79"/>
      <c r="I161" s="80">
        <v>5.0000000000000001E-3</v>
      </c>
      <c r="J161" s="81">
        <v>350</v>
      </c>
      <c r="K161" s="81">
        <f t="shared" si="33"/>
        <v>1.75</v>
      </c>
      <c r="L161" s="102"/>
      <c r="M161" s="102"/>
    </row>
    <row r="162" spans="1:13" s="71" customFormat="1" ht="15.6" customHeight="1">
      <c r="A162" s="551"/>
      <c r="B162" s="551"/>
      <c r="C162" s="551"/>
      <c r="D162" s="551"/>
      <c r="E162" s="550"/>
      <c r="F162" s="110"/>
      <c r="G162" s="91" t="s">
        <v>221</v>
      </c>
      <c r="H162" s="112"/>
      <c r="I162" s="80">
        <v>5.0000000000000001E-3</v>
      </c>
      <c r="J162" s="81">
        <v>980</v>
      </c>
      <c r="K162" s="81">
        <f t="shared" si="33"/>
        <v>4.9000000000000004</v>
      </c>
      <c r="L162" s="102"/>
      <c r="M162" s="102"/>
    </row>
    <row r="163" spans="1:13" s="71" customFormat="1" ht="15.6" customHeight="1">
      <c r="A163" s="551"/>
      <c r="B163" s="551"/>
      <c r="C163" s="551"/>
      <c r="D163" s="551"/>
      <c r="E163" s="550"/>
      <c r="F163" s="110"/>
      <c r="G163" s="553" t="s">
        <v>211</v>
      </c>
      <c r="H163" s="79"/>
      <c r="I163" s="80">
        <v>3</v>
      </c>
      <c r="J163" s="81">
        <v>120</v>
      </c>
      <c r="K163" s="81">
        <f>I163*J163</f>
        <v>360</v>
      </c>
      <c r="L163" s="102"/>
      <c r="M163" s="102"/>
    </row>
    <row r="164" spans="1:13" s="71" customFormat="1" ht="15.6" customHeight="1">
      <c r="A164" s="551"/>
      <c r="B164" s="551"/>
      <c r="C164" s="551"/>
      <c r="D164" s="551"/>
      <c r="E164" s="550"/>
      <c r="F164" s="110"/>
      <c r="G164" s="553" t="s">
        <v>212</v>
      </c>
      <c r="H164" s="79"/>
      <c r="I164" s="80">
        <v>0.2</v>
      </c>
      <c r="J164" s="81">
        <v>527</v>
      </c>
      <c r="K164" s="81">
        <f t="shared" ref="K164:K166" si="34">I164*J164</f>
        <v>105.4</v>
      </c>
      <c r="L164" s="102"/>
      <c r="M164" s="102"/>
    </row>
    <row r="165" spans="1:13" s="71" customFormat="1" ht="15.6" customHeight="1">
      <c r="A165" s="551"/>
      <c r="B165" s="551"/>
      <c r="C165" s="551"/>
      <c r="D165" s="551"/>
      <c r="E165" s="550"/>
      <c r="F165" s="110"/>
      <c r="G165" s="553" t="s">
        <v>45</v>
      </c>
      <c r="H165" s="79"/>
      <c r="I165" s="80">
        <v>0.3</v>
      </c>
      <c r="J165" s="81">
        <v>45</v>
      </c>
      <c r="K165" s="81">
        <f t="shared" si="34"/>
        <v>13.5</v>
      </c>
      <c r="L165" s="102"/>
      <c r="M165" s="102"/>
    </row>
    <row r="166" spans="1:13" s="71" customFormat="1" ht="15.6" customHeight="1">
      <c r="A166" s="551"/>
      <c r="B166" s="551"/>
      <c r="C166" s="551"/>
      <c r="D166" s="551"/>
      <c r="E166" s="550"/>
      <c r="F166" s="110"/>
      <c r="G166" s="553" t="s">
        <v>213</v>
      </c>
      <c r="H166" s="79"/>
      <c r="I166" s="80">
        <v>0.6</v>
      </c>
      <c r="J166" s="81">
        <v>348</v>
      </c>
      <c r="K166" s="81">
        <f t="shared" si="34"/>
        <v>208.79999999999998</v>
      </c>
      <c r="L166" s="102"/>
      <c r="M166" s="102"/>
    </row>
    <row r="167" spans="1:13" s="71" customFormat="1" ht="15.6" customHeight="1">
      <c r="A167" s="551"/>
      <c r="B167" s="551"/>
      <c r="C167" s="551"/>
      <c r="D167" s="551"/>
      <c r="E167" s="550" t="s">
        <v>9</v>
      </c>
      <c r="F167" s="110">
        <f>SUM(F160:F166)</f>
        <v>311.67599999999999</v>
      </c>
      <c r="G167" s="550"/>
      <c r="H167" s="550"/>
      <c r="I167" s="97"/>
      <c r="J167" s="97"/>
      <c r="K167" s="111">
        <f>SUM(K160:K166)</f>
        <v>839.25</v>
      </c>
      <c r="L167" s="111">
        <f>K167/F167</f>
        <v>2.6927001116544105</v>
      </c>
      <c r="M167" s="178"/>
    </row>
    <row r="168" spans="1:13" s="71" customFormat="1" ht="15.6" customHeight="1">
      <c r="D168" s="126" t="s">
        <v>30</v>
      </c>
      <c r="E168" s="126"/>
      <c r="F168" s="127">
        <f>F151+F159+F167</f>
        <v>1142.8119999999999</v>
      </c>
      <c r="G168" s="128"/>
      <c r="H168" s="128"/>
      <c r="I168" s="128"/>
      <c r="J168" s="128"/>
      <c r="K168" s="127">
        <f>K151+K159+K167</f>
        <v>13229.355</v>
      </c>
      <c r="L168" s="129">
        <f>K168/F168</f>
        <v>11.576142882643865</v>
      </c>
    </row>
    <row r="169" spans="1:13" s="71" customFormat="1" ht="15.6" customHeight="1"/>
    <row r="170" spans="1:13" s="71" customFormat="1" ht="15.6" customHeight="1"/>
    <row r="171" spans="1:13" s="71" customFormat="1" ht="15.6" customHeight="1">
      <c r="B171" s="107"/>
      <c r="C171" s="107"/>
      <c r="D171" s="133" t="s">
        <v>1009</v>
      </c>
      <c r="E171" s="405">
        <f>F104+F168</f>
        <v>13068.519999999997</v>
      </c>
      <c r="F171" s="133"/>
      <c r="G171" s="134">
        <f>K20+K35+K47+K53+K104+K115+K134+K168</f>
        <v>146862.48800000001</v>
      </c>
      <c r="H171" s="135"/>
      <c r="I171" s="135"/>
      <c r="J171" s="135"/>
      <c r="K171" s="135"/>
      <c r="L171" s="134">
        <f>G171/E171</f>
        <v>11.23788217793599</v>
      </c>
    </row>
    <row r="172" spans="1:13" s="71" customFormat="1" ht="15.6" customHeight="1">
      <c r="B172" s="107"/>
      <c r="C172" s="107"/>
      <c r="D172" s="109" t="s">
        <v>855</v>
      </c>
      <c r="E172" s="406"/>
      <c r="F172" s="109"/>
      <c r="G172" s="359">
        <f>K56+K57+K58+K62+K63+K64+K68+K69+K70+K74+K75+K76+K80+K81+K82+K86+K87+K88+K92+K93+K94+K98+K99+K100+K138+K139+K140+K141+K142+K143+K144+K152+K153+K154+K160+K161+K162</f>
        <v>43957.188000000009</v>
      </c>
      <c r="H172" s="370"/>
      <c r="I172" s="359">
        <f>'12'!I135+'13'!G172</f>
        <v>926403.04300000018</v>
      </c>
      <c r="J172" s="438">
        <f>G172+M185</f>
        <v>46005.735000000008</v>
      </c>
      <c r="K172" s="360"/>
      <c r="L172" s="396"/>
    </row>
    <row r="173" spans="1:13" s="71" customFormat="1" ht="15.6" customHeight="1">
      <c r="B173" s="107"/>
      <c r="C173" s="107"/>
      <c r="D173" s="323" t="s">
        <v>854</v>
      </c>
      <c r="E173" s="361"/>
      <c r="F173" s="323"/>
      <c r="G173" s="397">
        <f>G171-G172</f>
        <v>102905.3</v>
      </c>
      <c r="H173" s="398"/>
      <c r="I173" s="359">
        <f>'12'!I136+'13'!G173</f>
        <v>2243211.6609999998</v>
      </c>
      <c r="J173" s="400"/>
      <c r="K173" s="400"/>
      <c r="L173" s="401"/>
    </row>
    <row r="174" spans="1:13" s="71" customFormat="1" ht="15.6" customHeight="1">
      <c r="B174" s="107"/>
      <c r="C174" s="107"/>
      <c r="D174" s="109" t="s">
        <v>853</v>
      </c>
      <c r="E174" s="407"/>
      <c r="F174" s="109"/>
      <c r="G174" s="410">
        <f>SUM(G172:G173)</f>
        <v>146862.48800000001</v>
      </c>
      <c r="H174" s="402"/>
      <c r="I174" s="403">
        <f>'01'!G244+'02'!G291+'03'!G384+'04'!G294</f>
        <v>0</v>
      </c>
      <c r="J174" s="402"/>
      <c r="K174" s="402"/>
      <c r="L174" s="404">
        <f>G174/E171</f>
        <v>11.23788217793599</v>
      </c>
    </row>
    <row r="175" spans="1:13" s="71" customFormat="1" ht="15.6" customHeight="1">
      <c r="B175" s="107"/>
      <c r="C175" s="107"/>
      <c r="D175" s="395" t="s">
        <v>906</v>
      </c>
      <c r="E175" s="408"/>
      <c r="F175" s="109"/>
      <c r="G175" s="409">
        <f>M185</f>
        <v>2048.547</v>
      </c>
      <c r="H175" s="392"/>
      <c r="I175" s="391"/>
      <c r="J175" s="391"/>
      <c r="K175" s="393"/>
    </row>
    <row r="176" spans="1:13" s="71" customFormat="1" ht="15.6" customHeight="1">
      <c r="B176" s="107"/>
      <c r="C176" s="107"/>
      <c r="D176" s="106"/>
      <c r="E176" s="106"/>
      <c r="F176" s="106"/>
      <c r="G176" s="106"/>
      <c r="H176" s="246"/>
      <c r="I176" s="106"/>
      <c r="J176" s="106"/>
      <c r="K176" s="106"/>
      <c r="L176" s="106"/>
    </row>
    <row r="177" spans="1:13" s="71" customFormat="1" ht="15.6" customHeight="1">
      <c r="B177" s="107"/>
      <c r="C177" s="107"/>
      <c r="D177" s="829" t="s">
        <v>852</v>
      </c>
      <c r="E177" s="829"/>
      <c r="F177" s="357">
        <f>G185+G186+G187+G190</f>
        <v>142800</v>
      </c>
      <c r="G177" s="106"/>
      <c r="H177" s="500" t="s">
        <v>908</v>
      </c>
      <c r="I177" s="832" t="s">
        <v>314</v>
      </c>
      <c r="J177" s="833"/>
      <c r="K177" s="80">
        <f>0.18</f>
        <v>0.18</v>
      </c>
      <c r="L177" s="81">
        <v>1695</v>
      </c>
      <c r="M177" s="81">
        <f t="shared" ref="M177:M181" si="35">K177*L177</f>
        <v>305.09999999999997</v>
      </c>
    </row>
    <row r="178" spans="1:13" s="71" customFormat="1" ht="15.6" customHeight="1">
      <c r="B178" s="107"/>
      <c r="C178" s="107"/>
      <c r="D178" s="829" t="s">
        <v>835</v>
      </c>
      <c r="E178" s="829"/>
      <c r="F178" s="357">
        <f>G183+G184</f>
        <v>0</v>
      </c>
      <c r="G178" s="106"/>
      <c r="H178" s="500" t="s">
        <v>909</v>
      </c>
      <c r="I178" s="830" t="s">
        <v>279</v>
      </c>
      <c r="J178" s="831"/>
      <c r="K178" s="80">
        <f>0.39+0.115+0.03+0.1</f>
        <v>0.63500000000000001</v>
      </c>
      <c r="L178" s="81">
        <v>689</v>
      </c>
      <c r="M178" s="81">
        <f t="shared" si="35"/>
        <v>437.51499999999999</v>
      </c>
    </row>
    <row r="179" spans="1:13" s="71" customFormat="1" ht="15.6" customHeight="1">
      <c r="B179" s="107"/>
      <c r="C179" s="107"/>
      <c r="D179" s="829" t="s">
        <v>836</v>
      </c>
      <c r="E179" s="829"/>
      <c r="F179" s="357">
        <f>SUM(F177:F178)</f>
        <v>142800</v>
      </c>
      <c r="G179" s="106"/>
      <c r="H179" s="500" t="s">
        <v>910</v>
      </c>
      <c r="I179" s="830" t="s">
        <v>193</v>
      </c>
      <c r="J179" s="831"/>
      <c r="K179" s="80">
        <f>0.3+0.12+0.1+0.16+0.35</f>
        <v>1.03</v>
      </c>
      <c r="L179" s="81">
        <v>1150</v>
      </c>
      <c r="M179" s="81">
        <f t="shared" si="35"/>
        <v>1184.5</v>
      </c>
    </row>
    <row r="180" spans="1:13" s="71" customFormat="1" ht="15.6" customHeight="1">
      <c r="B180" s="107"/>
      <c r="C180" s="107"/>
      <c r="D180" s="547" t="s">
        <v>847</v>
      </c>
      <c r="E180" s="547"/>
      <c r="F180" s="357">
        <f>F177-G173</f>
        <v>39894.699999999997</v>
      </c>
      <c r="G180" s="106"/>
      <c r="H180" s="500" t="s">
        <v>908</v>
      </c>
      <c r="I180" s="832" t="s">
        <v>405</v>
      </c>
      <c r="J180" s="833"/>
      <c r="K180" s="80">
        <v>0.05</v>
      </c>
      <c r="L180" s="81">
        <v>1708</v>
      </c>
      <c r="M180" s="81">
        <f t="shared" si="35"/>
        <v>85.4</v>
      </c>
    </row>
    <row r="181" spans="1:13" s="71" customFormat="1" ht="15.6" customHeight="1">
      <c r="B181" s="107"/>
      <c r="C181" s="107"/>
      <c r="D181" s="106"/>
      <c r="E181" s="106"/>
      <c r="F181" s="106"/>
      <c r="G181" s="106"/>
      <c r="H181" s="500" t="s">
        <v>912</v>
      </c>
      <c r="I181" s="830" t="s">
        <v>192</v>
      </c>
      <c r="J181" s="831"/>
      <c r="K181" s="80">
        <f>0.032</f>
        <v>3.2000000000000001E-2</v>
      </c>
      <c r="L181" s="81">
        <v>1126</v>
      </c>
      <c r="M181" s="81">
        <f t="shared" si="35"/>
        <v>36.032000000000004</v>
      </c>
    </row>
    <row r="182" spans="1:13" s="71" customFormat="1" ht="15.6" customHeight="1">
      <c r="B182" s="836" t="s">
        <v>833</v>
      </c>
      <c r="C182" s="837"/>
      <c r="D182" s="273" t="s">
        <v>844</v>
      </c>
      <c r="E182" s="273" t="s">
        <v>845</v>
      </c>
      <c r="F182" s="273" t="s">
        <v>846</v>
      </c>
      <c r="G182" s="273" t="s">
        <v>5</v>
      </c>
      <c r="H182" s="500" t="s">
        <v>911</v>
      </c>
      <c r="I182" s="830"/>
      <c r="J182" s="831"/>
      <c r="K182" s="80"/>
      <c r="L182" s="81"/>
      <c r="M182" s="81"/>
    </row>
    <row r="183" spans="1:13" s="71" customFormat="1" ht="15.6" customHeight="1">
      <c r="B183" s="107"/>
      <c r="C183" s="107"/>
      <c r="D183" s="273" t="s">
        <v>837</v>
      </c>
      <c r="E183" s="109">
        <v>15.5</v>
      </c>
      <c r="F183" s="332"/>
      <c r="G183" s="329">
        <f>F183*E183</f>
        <v>0</v>
      </c>
      <c r="H183" s="500" t="s">
        <v>909</v>
      </c>
      <c r="I183" s="838"/>
      <c r="J183" s="839"/>
      <c r="K183" s="102"/>
      <c r="L183" s="102"/>
      <c r="M183" s="388"/>
    </row>
    <row r="184" spans="1:13" s="71" customFormat="1" ht="15.6" customHeight="1">
      <c r="B184" s="107"/>
      <c r="C184" s="107"/>
      <c r="D184" s="273" t="s">
        <v>1062</v>
      </c>
      <c r="E184" s="109">
        <v>34</v>
      </c>
      <c r="F184" s="332"/>
      <c r="G184" s="329">
        <f t="shared" ref="G184:G195" si="36">F184*E184</f>
        <v>0</v>
      </c>
      <c r="H184" s="500" t="s">
        <v>911</v>
      </c>
      <c r="I184" s="847"/>
      <c r="J184" s="848"/>
      <c r="K184" s="109"/>
      <c r="L184" s="109"/>
      <c r="M184" s="102"/>
    </row>
    <row r="185" spans="1:13" s="71" customFormat="1" ht="15.6" customHeight="1">
      <c r="A185" s="546"/>
      <c r="B185" s="106"/>
      <c r="C185" s="106"/>
      <c r="D185" s="322" t="s">
        <v>843</v>
      </c>
      <c r="E185" s="317"/>
      <c r="F185" s="321">
        <f>SUM(F183:F184)</f>
        <v>0</v>
      </c>
      <c r="G185" s="320">
        <f>SUM(G183:G184)</f>
        <v>0</v>
      </c>
      <c r="H185" s="106"/>
      <c r="I185" s="844" t="s">
        <v>906</v>
      </c>
      <c r="J185" s="845"/>
      <c r="K185" s="490">
        <f>SUM(K177:K184)</f>
        <v>1.927</v>
      </c>
      <c r="L185" s="104"/>
      <c r="M185" s="489">
        <f>SUM(M177:M184)</f>
        <v>2048.547</v>
      </c>
    </row>
    <row r="186" spans="1:13" s="71" customFormat="1" ht="15.6" customHeight="1">
      <c r="B186" s="107"/>
      <c r="C186" s="107"/>
      <c r="D186" s="390" t="s">
        <v>968</v>
      </c>
      <c r="E186" s="109">
        <v>360</v>
      </c>
      <c r="F186" s="535">
        <v>50</v>
      </c>
      <c r="G186" s="357">
        <f t="shared" si="36"/>
        <v>18000</v>
      </c>
      <c r="H186" s="106"/>
      <c r="I186" s="106"/>
      <c r="J186" s="106"/>
      <c r="K186" s="106"/>
      <c r="L186" s="106"/>
      <c r="M186" s="263">
        <f>G172+M185</f>
        <v>46005.735000000008</v>
      </c>
    </row>
    <row r="187" spans="1:13" s="71" customFormat="1" ht="15.6" customHeight="1">
      <c r="B187" s="107"/>
      <c r="C187" s="107"/>
      <c r="D187" s="273" t="s">
        <v>1067</v>
      </c>
      <c r="E187" s="109">
        <v>416</v>
      </c>
      <c r="F187" s="535">
        <f>60+240</f>
        <v>300</v>
      </c>
      <c r="G187" s="357">
        <f t="shared" si="36"/>
        <v>124800</v>
      </c>
      <c r="H187" s="106"/>
      <c r="I187" s="106"/>
      <c r="J187" s="106"/>
      <c r="K187" s="106"/>
      <c r="L187" s="106"/>
    </row>
    <row r="188" spans="1:13" s="71" customFormat="1" ht="15.6" customHeight="1">
      <c r="B188" s="107"/>
      <c r="C188" s="107"/>
      <c r="D188" s="273" t="s">
        <v>1065</v>
      </c>
      <c r="E188" s="109">
        <v>165</v>
      </c>
      <c r="F188" s="535">
        <v>120</v>
      </c>
      <c r="G188" s="357">
        <f t="shared" si="36"/>
        <v>19800</v>
      </c>
      <c r="H188" s="106"/>
      <c r="I188" s="106"/>
      <c r="J188" s="106"/>
      <c r="K188" s="106"/>
      <c r="L188" s="106"/>
    </row>
    <row r="189" spans="1:13" s="71" customFormat="1" ht="15.6" customHeight="1">
      <c r="B189" s="107"/>
      <c r="C189" s="107"/>
      <c r="D189" s="390" t="s">
        <v>1066</v>
      </c>
      <c r="E189" s="109">
        <v>165</v>
      </c>
      <c r="F189" s="535">
        <v>130</v>
      </c>
      <c r="G189" s="357">
        <f t="shared" si="36"/>
        <v>21450</v>
      </c>
      <c r="H189" s="106"/>
      <c r="I189" s="106"/>
      <c r="J189" s="106"/>
      <c r="K189" s="106"/>
      <c r="L189" s="106"/>
    </row>
    <row r="190" spans="1:13" s="71" customFormat="1" ht="15.6" customHeight="1">
      <c r="B190" s="107"/>
      <c r="C190" s="107"/>
      <c r="D190" s="273" t="s">
        <v>907</v>
      </c>
      <c r="E190" s="389">
        <v>46</v>
      </c>
      <c r="F190" s="535"/>
      <c r="G190" s="357">
        <f t="shared" si="36"/>
        <v>0</v>
      </c>
      <c r="H190" s="106"/>
      <c r="I190" s="106"/>
      <c r="J190" s="106"/>
      <c r="K190" s="106"/>
      <c r="L190" s="106"/>
    </row>
    <row r="191" spans="1:13" s="71" customFormat="1" ht="15.6" customHeight="1">
      <c r="B191" s="107"/>
      <c r="C191" s="107"/>
      <c r="D191" s="553" t="s">
        <v>211</v>
      </c>
      <c r="E191" s="109">
        <v>120</v>
      </c>
      <c r="F191" s="535">
        <v>125</v>
      </c>
      <c r="G191" s="357">
        <f t="shared" si="36"/>
        <v>15000</v>
      </c>
      <c r="H191" s="106"/>
      <c r="I191" s="106"/>
      <c r="J191" s="106"/>
      <c r="K191" s="106"/>
      <c r="L191" s="106"/>
    </row>
    <row r="192" spans="1:13" s="71" customFormat="1" ht="15.6" customHeight="1">
      <c r="B192" s="107"/>
      <c r="C192" s="107"/>
      <c r="D192" s="273" t="s">
        <v>24</v>
      </c>
      <c r="E192" s="109">
        <v>74</v>
      </c>
      <c r="F192" s="535">
        <f>50+500</f>
        <v>550</v>
      </c>
      <c r="G192" s="357">
        <f t="shared" si="36"/>
        <v>40700</v>
      </c>
      <c r="H192" s="106"/>
      <c r="I192" s="106"/>
      <c r="J192" s="106"/>
      <c r="K192" s="106"/>
      <c r="L192" s="106"/>
    </row>
    <row r="193" spans="2:12" s="71" customFormat="1" ht="15.6" customHeight="1">
      <c r="B193" s="107"/>
      <c r="C193" s="107"/>
      <c r="D193" s="534" t="s">
        <v>832</v>
      </c>
      <c r="E193" s="109">
        <v>790</v>
      </c>
      <c r="F193" s="535"/>
      <c r="G193" s="357">
        <f t="shared" si="36"/>
        <v>0</v>
      </c>
      <c r="H193" s="106"/>
      <c r="I193" s="106"/>
      <c r="J193" s="106"/>
      <c r="K193" s="106"/>
      <c r="L193" s="106"/>
    </row>
    <row r="194" spans="2:12" s="71" customFormat="1" ht="15.6" customHeight="1">
      <c r="B194" s="107"/>
      <c r="C194" s="107"/>
      <c r="D194" s="273" t="s">
        <v>1062</v>
      </c>
      <c r="E194" s="109">
        <v>34</v>
      </c>
      <c r="F194" s="535"/>
      <c r="G194" s="357">
        <f t="shared" si="36"/>
        <v>0</v>
      </c>
      <c r="H194" s="107"/>
      <c r="I194" s="107"/>
      <c r="J194" s="107"/>
      <c r="K194" s="107"/>
      <c r="L194" s="107"/>
    </row>
    <row r="195" spans="2:12" s="71" customFormat="1" ht="15.6" customHeight="1">
      <c r="B195" s="107"/>
      <c r="C195" s="107"/>
      <c r="D195" s="550" t="s">
        <v>997</v>
      </c>
      <c r="E195" s="317">
        <v>120</v>
      </c>
      <c r="F195" s="536">
        <v>180</v>
      </c>
      <c r="G195" s="357">
        <f t="shared" si="36"/>
        <v>21600</v>
      </c>
      <c r="H195" s="107"/>
      <c r="I195" s="107"/>
      <c r="J195" s="107"/>
      <c r="K195" s="107"/>
      <c r="L195" s="107"/>
    </row>
    <row r="196" spans="2:12" s="71" customFormat="1" ht="15.6" customHeight="1">
      <c r="B196" s="107"/>
      <c r="C196" s="107"/>
      <c r="D196" s="331" t="s">
        <v>843</v>
      </c>
      <c r="E196" s="109"/>
      <c r="F196" s="535">
        <f>SUM(F186:F195)</f>
        <v>1455</v>
      </c>
      <c r="G196" s="357">
        <f>SUM(G186:G195)</f>
        <v>261350</v>
      </c>
    </row>
    <row r="197" spans="2:12" s="71" customFormat="1" ht="15.6" customHeight="1">
      <c r="B197" s="107"/>
      <c r="C197" s="107"/>
      <c r="D197" s="322" t="s">
        <v>969</v>
      </c>
      <c r="E197" s="317"/>
      <c r="F197" s="536">
        <f>F185+F196</f>
        <v>1455</v>
      </c>
      <c r="G197" s="440">
        <f>G185+G196</f>
        <v>261350</v>
      </c>
    </row>
    <row r="198" spans="2:12" s="71" customFormat="1" ht="15.6" customHeight="1"/>
    <row r="199" spans="2:12" s="71" customFormat="1" ht="15.6" customHeight="1"/>
    <row r="200" spans="2:12" s="71" customFormat="1" ht="15.6" customHeight="1"/>
    <row r="201" spans="2:12" s="71" customFormat="1" ht="15.6" customHeight="1"/>
    <row r="202" spans="2:12" s="71" customFormat="1" ht="15.6" customHeight="1"/>
    <row r="203" spans="2:12" s="71" customFormat="1" ht="15.6" customHeight="1"/>
    <row r="204" spans="2:12" s="71" customFormat="1" ht="15.6" customHeight="1"/>
    <row r="205" spans="2:12" s="71" customFormat="1" ht="15.6" customHeight="1"/>
    <row r="206" spans="2:12" s="71" customFormat="1" ht="15.6" customHeight="1"/>
    <row r="207" spans="2:12" s="71" customFormat="1" ht="15.6" customHeight="1"/>
    <row r="208" spans="2:12" s="71" customFormat="1" ht="15.6" customHeight="1"/>
    <row r="209" spans="1:13" s="71" customFormat="1" ht="15.6" customHeight="1"/>
    <row r="210" spans="1:13" s="71" customFormat="1" ht="15.6" customHeight="1"/>
    <row r="211" spans="1:13" s="71" customFormat="1" ht="15.6" customHeight="1"/>
    <row r="212" spans="1:13" s="71" customFormat="1" ht="15.6" customHeight="1"/>
    <row r="213" spans="1:13" s="71" customFormat="1" ht="15.6" customHeight="1"/>
    <row r="214" spans="1:13" s="71" customFormat="1" ht="15.6" customHeight="1"/>
    <row r="215" spans="1:13" s="71" customFormat="1" ht="15.6" customHeight="1"/>
    <row r="216" spans="1:13" s="71" customFormat="1" ht="15.6" customHeight="1"/>
    <row r="217" spans="1:13" s="71" customFormat="1" ht="15.6" customHeight="1">
      <c r="A217" s="840" t="s">
        <v>240</v>
      </c>
      <c r="B217" s="840"/>
      <c r="C217" s="840" t="s">
        <v>765</v>
      </c>
      <c r="D217" s="840"/>
      <c r="E217" s="840" t="s">
        <v>764</v>
      </c>
      <c r="F217" s="840"/>
      <c r="G217" s="380" t="s">
        <v>66</v>
      </c>
      <c r="H217" s="840" t="s">
        <v>411</v>
      </c>
      <c r="I217" s="840"/>
      <c r="J217" s="840"/>
      <c r="K217" s="840" t="s">
        <v>68</v>
      </c>
      <c r="L217" s="840"/>
      <c r="M217" s="840"/>
    </row>
    <row r="218" spans="1:13" ht="15.6" customHeight="1"/>
    <row r="219" spans="1:13" ht="15.6" customHeight="1"/>
    <row r="220" spans="1:13" ht="15.6" customHeight="1"/>
    <row r="221" spans="1:13" ht="15.6" customHeight="1"/>
    <row r="222" spans="1:13" ht="15.6" customHeight="1"/>
    <row r="223" spans="1:13" ht="15.6" customHeight="1"/>
    <row r="224" spans="1:13" ht="15.6" customHeight="1"/>
    <row r="225" ht="15.6" customHeight="1"/>
    <row r="226" ht="15.6" customHeight="1"/>
    <row r="227" ht="15.6" customHeight="1"/>
    <row r="228" ht="15.6" customHeight="1"/>
  </sheetData>
  <mergeCells count="29">
    <mergeCell ref="K217:M217"/>
    <mergeCell ref="B182:C182"/>
    <mergeCell ref="I182:J182"/>
    <mergeCell ref="A217:B217"/>
    <mergeCell ref="C217:D217"/>
    <mergeCell ref="E217:F217"/>
    <mergeCell ref="H217:J217"/>
    <mergeCell ref="I183:J183"/>
    <mergeCell ref="I184:J184"/>
    <mergeCell ref="I185:J185"/>
    <mergeCell ref="K4:M4"/>
    <mergeCell ref="K21:M21"/>
    <mergeCell ref="K36:M36"/>
    <mergeCell ref="A1:M1"/>
    <mergeCell ref="A2:M2"/>
    <mergeCell ref="A3:M3"/>
    <mergeCell ref="D179:E179"/>
    <mergeCell ref="I179:J179"/>
    <mergeCell ref="I180:J180"/>
    <mergeCell ref="I181:J181"/>
    <mergeCell ref="D177:E177"/>
    <mergeCell ref="D178:E178"/>
    <mergeCell ref="I177:J177"/>
    <mergeCell ref="I178:J178"/>
    <mergeCell ref="K48:M48"/>
    <mergeCell ref="K54:M54"/>
    <mergeCell ref="K105:M105"/>
    <mergeCell ref="K116:M116"/>
    <mergeCell ref="K136:M136"/>
  </mergeCells>
  <pageMargins left="0.45" right="0.2" top="0.25" bottom="0.25" header="0.3" footer="0.3"/>
  <pageSetup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246"/>
  <sheetViews>
    <sheetView topLeftCell="A34" workbookViewId="0">
      <selection activeCell="G44" sqref="G44:K44"/>
    </sheetView>
  </sheetViews>
  <sheetFormatPr defaultRowHeight="15"/>
  <cols>
    <col min="1" max="1" width="9" customWidth="1"/>
    <col min="2" max="2" width="11.140625" customWidth="1"/>
    <col min="3" max="3" width="13.5703125" customWidth="1"/>
    <col min="4" max="4" width="19.42578125" customWidth="1"/>
    <col min="5" max="5" width="12.7109375" bestFit="1" customWidth="1"/>
    <col min="6" max="6" width="10.5703125" bestFit="1" customWidth="1"/>
    <col min="7" max="7" width="24.42578125" bestFit="1" customWidth="1"/>
    <col min="8" max="8" width="7.28515625" customWidth="1"/>
    <col min="9" max="9" width="11.85546875" customWidth="1"/>
    <col min="10" max="10" width="11.28515625" customWidth="1"/>
    <col min="11" max="11" width="14.42578125" customWidth="1"/>
    <col min="12" max="12" width="9.42578125" customWidth="1"/>
    <col min="13" max="13" width="12.140625" customWidth="1"/>
    <col min="14" max="14" width="10.85546875" customWidth="1"/>
  </cols>
  <sheetData>
    <row r="1" spans="1:14" ht="23.25">
      <c r="A1" s="826" t="s">
        <v>146</v>
      </c>
      <c r="B1" s="826"/>
      <c r="C1" s="826"/>
      <c r="D1" s="826"/>
      <c r="E1" s="826"/>
      <c r="F1" s="826"/>
      <c r="G1" s="826"/>
      <c r="H1" s="826"/>
      <c r="I1" s="826"/>
      <c r="J1" s="826"/>
      <c r="K1" s="826"/>
      <c r="L1" s="826"/>
      <c r="M1" s="826"/>
      <c r="N1" s="383"/>
    </row>
    <row r="2" spans="1:14" ht="15.75">
      <c r="A2" s="926" t="s">
        <v>147</v>
      </c>
      <c r="B2" s="926"/>
      <c r="C2" s="926"/>
      <c r="D2" s="926"/>
      <c r="E2" s="926"/>
      <c r="F2" s="926"/>
      <c r="G2" s="926"/>
      <c r="H2" s="926"/>
      <c r="I2" s="926"/>
      <c r="J2" s="926"/>
      <c r="K2" s="926"/>
      <c r="L2" s="926"/>
      <c r="M2" s="926"/>
      <c r="N2" s="537"/>
    </row>
    <row r="3" spans="1:14" s="9" customFormat="1" ht="15.75">
      <c r="A3" s="927" t="s">
        <v>148</v>
      </c>
      <c r="B3" s="927"/>
      <c r="C3" s="927"/>
      <c r="D3" s="927"/>
      <c r="E3" s="927"/>
      <c r="F3" s="927"/>
      <c r="G3" s="927"/>
      <c r="H3" s="927"/>
      <c r="I3" s="927"/>
      <c r="J3" s="927"/>
      <c r="K3" s="927"/>
      <c r="L3" s="927"/>
      <c r="M3" s="927"/>
      <c r="N3" s="538"/>
    </row>
    <row r="4" spans="1:14">
      <c r="A4" s="106" t="s">
        <v>21</v>
      </c>
      <c r="B4" s="106"/>
      <c r="C4" s="106"/>
      <c r="D4" s="106"/>
      <c r="E4" s="106"/>
      <c r="F4" s="107"/>
      <c r="G4" s="107"/>
      <c r="H4" s="107"/>
      <c r="I4" s="107"/>
      <c r="J4" s="107"/>
      <c r="K4" s="867" t="s">
        <v>1071</v>
      </c>
      <c r="L4" s="867"/>
      <c r="M4" s="867"/>
      <c r="N4" s="107"/>
    </row>
    <row r="5" spans="1:14">
      <c r="A5" s="244" t="s">
        <v>0</v>
      </c>
      <c r="B5" s="244" t="s">
        <v>7</v>
      </c>
      <c r="C5" s="244" t="s">
        <v>13</v>
      </c>
      <c r="D5" s="244" t="s">
        <v>14</v>
      </c>
      <c r="E5" s="244" t="s">
        <v>8</v>
      </c>
      <c r="F5" s="244" t="s">
        <v>1</v>
      </c>
      <c r="G5" s="244" t="s">
        <v>2</v>
      </c>
      <c r="H5" s="244" t="s">
        <v>15</v>
      </c>
      <c r="I5" s="244" t="s">
        <v>3</v>
      </c>
      <c r="J5" s="244" t="s">
        <v>4</v>
      </c>
      <c r="K5" s="244" t="s">
        <v>5</v>
      </c>
      <c r="L5" s="244" t="s">
        <v>12</v>
      </c>
      <c r="M5" s="244" t="s">
        <v>6</v>
      </c>
      <c r="N5" s="107"/>
    </row>
    <row r="6" spans="1:14">
      <c r="A6" s="120">
        <v>1</v>
      </c>
      <c r="B6" s="525" t="s">
        <v>1041</v>
      </c>
      <c r="C6" s="89" t="s">
        <v>1075</v>
      </c>
      <c r="D6" s="89" t="s">
        <v>364</v>
      </c>
      <c r="E6" s="525"/>
      <c r="F6" s="87">
        <f>2069*1.0936</f>
        <v>2262.6583999999998</v>
      </c>
      <c r="G6" s="517" t="s">
        <v>1070</v>
      </c>
      <c r="H6" s="79"/>
      <c r="I6" s="80">
        <v>5</v>
      </c>
      <c r="J6" s="81">
        <v>227</v>
      </c>
      <c r="K6" s="81">
        <f t="shared" ref="K6:K7" si="0">I6*J6</f>
        <v>1135</v>
      </c>
      <c r="L6" s="79"/>
      <c r="M6" s="156">
        <f>I6+I10</f>
        <v>5.25</v>
      </c>
      <c r="N6" s="120" t="s">
        <v>173</v>
      </c>
    </row>
    <row r="7" spans="1:14">
      <c r="A7" s="120"/>
      <c r="B7" s="120"/>
      <c r="C7" s="120"/>
      <c r="D7" s="120"/>
      <c r="E7" s="120"/>
      <c r="F7" s="87"/>
      <c r="G7" s="517" t="s">
        <v>1067</v>
      </c>
      <c r="H7" s="79"/>
      <c r="I7" s="80">
        <v>3</v>
      </c>
      <c r="J7" s="81">
        <v>416</v>
      </c>
      <c r="K7" s="81">
        <f t="shared" si="0"/>
        <v>1248</v>
      </c>
      <c r="L7" s="79"/>
      <c r="M7" s="156" t="e">
        <f>I7+I11+I19+I25+#REF!+#REF!</f>
        <v>#REF!</v>
      </c>
      <c r="N7" s="120" t="s">
        <v>174</v>
      </c>
    </row>
    <row r="8" spans="1:14">
      <c r="A8" s="120"/>
      <c r="B8" s="120"/>
      <c r="C8" s="120"/>
      <c r="D8" s="120"/>
      <c r="E8" s="120"/>
      <c r="F8" s="87"/>
      <c r="G8" s="517" t="s">
        <v>1065</v>
      </c>
      <c r="H8" s="79"/>
      <c r="I8" s="80">
        <v>4</v>
      </c>
      <c r="J8" s="81">
        <v>165</v>
      </c>
      <c r="K8" s="81">
        <f>I8*J8</f>
        <v>660</v>
      </c>
      <c r="L8" s="79"/>
      <c r="M8" s="156" t="e">
        <f>I8+I12+I20+I26+#REF!+#REF!</f>
        <v>#REF!</v>
      </c>
      <c r="N8" s="120" t="s">
        <v>172</v>
      </c>
    </row>
    <row r="9" spans="1:14">
      <c r="A9" s="120"/>
      <c r="B9" s="120"/>
      <c r="C9" s="120"/>
      <c r="D9" s="120"/>
      <c r="E9" s="244" t="s">
        <v>9</v>
      </c>
      <c r="F9" s="108">
        <f>SUM(F6:F8)</f>
        <v>2262.6583999999998</v>
      </c>
      <c r="G9" s="244"/>
      <c r="H9" s="244"/>
      <c r="I9" s="80"/>
      <c r="J9" s="81"/>
      <c r="K9" s="103">
        <f>SUM(K6:K8)</f>
        <v>3043</v>
      </c>
      <c r="L9" s="103">
        <f>K9/F9</f>
        <v>1.3448782193547202</v>
      </c>
      <c r="M9" s="156" t="e">
        <f>I17+I23+#REF!+#REF!+I32+I35+I38</f>
        <v>#REF!</v>
      </c>
      <c r="N9" s="120" t="s">
        <v>24</v>
      </c>
    </row>
    <row r="10" spans="1:14">
      <c r="A10" s="120">
        <v>2</v>
      </c>
      <c r="B10" s="525" t="s">
        <v>269</v>
      </c>
      <c r="C10" s="525"/>
      <c r="D10" s="525"/>
      <c r="E10" s="525"/>
      <c r="F10" s="87">
        <f>164*1.0936</f>
        <v>179.35039999999998</v>
      </c>
      <c r="G10" s="517" t="s">
        <v>1070</v>
      </c>
      <c r="H10" s="79"/>
      <c r="I10" s="80">
        <v>0.25</v>
      </c>
      <c r="J10" s="81">
        <v>227</v>
      </c>
      <c r="K10" s="81">
        <f t="shared" ref="K10:K11" si="1">I10*J10</f>
        <v>56.75</v>
      </c>
      <c r="L10" s="79"/>
      <c r="M10" s="156" t="e">
        <f>I18+I24+#REF!+#REF!</f>
        <v>#REF!</v>
      </c>
      <c r="N10" s="120" t="s">
        <v>175</v>
      </c>
    </row>
    <row r="11" spans="1:14">
      <c r="A11" s="120"/>
      <c r="B11" s="120"/>
      <c r="C11" s="120"/>
      <c r="D11" s="120"/>
      <c r="E11" s="120"/>
      <c r="F11" s="87"/>
      <c r="G11" s="517" t="s">
        <v>1067</v>
      </c>
      <c r="H11" s="79"/>
      <c r="I11" s="80">
        <v>0.15</v>
      </c>
      <c r="J11" s="81">
        <v>416</v>
      </c>
      <c r="K11" s="81">
        <f t="shared" si="1"/>
        <v>62.4</v>
      </c>
      <c r="L11" s="79"/>
      <c r="M11" s="156" t="e">
        <f>I21+I27+#REF!+#REF!</f>
        <v>#REF!</v>
      </c>
      <c r="N11" s="83" t="s">
        <v>176</v>
      </c>
    </row>
    <row r="12" spans="1:14">
      <c r="A12" s="120"/>
      <c r="B12" s="120"/>
      <c r="C12" s="120"/>
      <c r="D12" s="120"/>
      <c r="E12" s="244"/>
      <c r="F12" s="87"/>
      <c r="G12" s="517" t="s">
        <v>1065</v>
      </c>
      <c r="H12" s="79"/>
      <c r="I12" s="80">
        <v>0.2</v>
      </c>
      <c r="J12" s="81">
        <v>165</v>
      </c>
      <c r="K12" s="81">
        <f>I12*J12</f>
        <v>33</v>
      </c>
      <c r="L12" s="103"/>
      <c r="M12" s="156">
        <f>I33+I36+I39</f>
        <v>40</v>
      </c>
      <c r="N12" s="84" t="s">
        <v>10</v>
      </c>
    </row>
    <row r="13" spans="1:14">
      <c r="A13" s="120"/>
      <c r="B13" s="120"/>
      <c r="C13" s="120"/>
      <c r="D13" s="120"/>
      <c r="E13" s="244" t="s">
        <v>9</v>
      </c>
      <c r="F13" s="108">
        <f>SUM(F10:F12)</f>
        <v>179.35039999999998</v>
      </c>
      <c r="G13" s="244"/>
      <c r="H13" s="244"/>
      <c r="I13" s="80"/>
      <c r="J13" s="81"/>
      <c r="K13" s="103">
        <f>SUM(K10:K12)</f>
        <v>152.15</v>
      </c>
      <c r="L13" s="103">
        <f>K13/F13</f>
        <v>0.84833934019662083</v>
      </c>
      <c r="M13" s="162"/>
      <c r="N13" s="107"/>
    </row>
    <row r="14" spans="1:14">
      <c r="A14" s="107"/>
      <c r="B14" s="107"/>
      <c r="C14" s="107"/>
      <c r="D14" s="133" t="s">
        <v>30</v>
      </c>
      <c r="E14" s="133"/>
      <c r="F14" s="134">
        <f>F9+F13</f>
        <v>2442.0087999999996</v>
      </c>
      <c r="G14" s="135"/>
      <c r="H14" s="135"/>
      <c r="I14" s="135"/>
      <c r="J14" s="135"/>
      <c r="K14" s="134">
        <f>K9+K13</f>
        <v>3195.15</v>
      </c>
      <c r="L14" s="151">
        <f>K14/F14</f>
        <v>1.3084105184223744</v>
      </c>
      <c r="M14" s="107"/>
      <c r="N14" s="107"/>
    </row>
    <row r="15" spans="1:14">
      <c r="A15" s="106" t="s">
        <v>23</v>
      </c>
      <c r="B15" s="106"/>
      <c r="C15" s="106"/>
      <c r="D15" s="106"/>
      <c r="E15" s="106"/>
      <c r="F15" s="107"/>
      <c r="G15" s="107"/>
      <c r="H15" s="107"/>
      <c r="I15" s="107"/>
      <c r="J15" s="107"/>
      <c r="K15" s="867" t="s">
        <v>1071</v>
      </c>
      <c r="L15" s="867"/>
      <c r="M15" s="867"/>
      <c r="N15" s="107"/>
    </row>
    <row r="16" spans="1:14">
      <c r="A16" s="244" t="s">
        <v>0</v>
      </c>
      <c r="B16" s="244" t="s">
        <v>7</v>
      </c>
      <c r="C16" s="244" t="s">
        <v>13</v>
      </c>
      <c r="D16" s="244" t="s">
        <v>14</v>
      </c>
      <c r="E16" s="244" t="s">
        <v>8</v>
      </c>
      <c r="F16" s="244" t="s">
        <v>1</v>
      </c>
      <c r="G16" s="244" t="s">
        <v>2</v>
      </c>
      <c r="H16" s="244" t="s">
        <v>15</v>
      </c>
      <c r="I16" s="244" t="s">
        <v>3</v>
      </c>
      <c r="J16" s="244" t="s">
        <v>4</v>
      </c>
      <c r="K16" s="244" t="s">
        <v>5</v>
      </c>
      <c r="L16" s="244" t="s">
        <v>12</v>
      </c>
      <c r="M16" s="244" t="s">
        <v>6</v>
      </c>
      <c r="N16" s="107"/>
    </row>
    <row r="17" spans="1:14">
      <c r="A17" s="120">
        <v>1</v>
      </c>
      <c r="B17" s="525" t="s">
        <v>985</v>
      </c>
      <c r="C17" s="525" t="s">
        <v>278</v>
      </c>
      <c r="D17" s="525" t="s">
        <v>467</v>
      </c>
      <c r="E17" s="525"/>
      <c r="F17" s="99">
        <f>3790*1.0936</f>
        <v>4144.7439999999997</v>
      </c>
      <c r="G17" s="517" t="s">
        <v>24</v>
      </c>
      <c r="H17" s="79"/>
      <c r="I17" s="80">
        <v>31</v>
      </c>
      <c r="J17" s="81">
        <v>74</v>
      </c>
      <c r="K17" s="81">
        <f t="shared" ref="K17:K19" si="2">I17*J17</f>
        <v>2294</v>
      </c>
      <c r="L17" s="79"/>
      <c r="M17" s="162"/>
      <c r="N17" s="107"/>
    </row>
    <row r="18" spans="1:14">
      <c r="A18" s="120"/>
      <c r="B18" s="525" t="s">
        <v>269</v>
      </c>
      <c r="C18" s="525"/>
      <c r="D18" s="525"/>
      <c r="E18" s="525"/>
      <c r="F18" s="87">
        <f>542*1.0936</f>
        <v>592.73119999999994</v>
      </c>
      <c r="G18" s="88" t="s">
        <v>18</v>
      </c>
      <c r="H18" s="79"/>
      <c r="I18" s="80">
        <v>50</v>
      </c>
      <c r="J18" s="81">
        <v>46</v>
      </c>
      <c r="K18" s="81">
        <f t="shared" si="2"/>
        <v>2300</v>
      </c>
      <c r="L18" s="79"/>
      <c r="M18" s="79"/>
      <c r="N18" s="107"/>
    </row>
    <row r="19" spans="1:14">
      <c r="A19" s="120"/>
      <c r="B19" s="120"/>
      <c r="C19" s="120"/>
      <c r="D19" s="120"/>
      <c r="E19" s="120"/>
      <c r="F19" s="87"/>
      <c r="G19" s="517" t="s">
        <v>1067</v>
      </c>
      <c r="H19" s="79"/>
      <c r="I19" s="80">
        <v>19</v>
      </c>
      <c r="J19" s="81">
        <v>416</v>
      </c>
      <c r="K19" s="81">
        <f t="shared" si="2"/>
        <v>7904</v>
      </c>
      <c r="L19" s="79"/>
      <c r="M19" s="79"/>
      <c r="N19" s="107"/>
    </row>
    <row r="20" spans="1:14">
      <c r="A20" s="120"/>
      <c r="B20" s="120"/>
      <c r="C20" s="120"/>
      <c r="D20" s="120"/>
      <c r="E20" s="120"/>
      <c r="F20" s="87"/>
      <c r="G20" s="517" t="s">
        <v>1065</v>
      </c>
      <c r="H20" s="79"/>
      <c r="I20" s="80">
        <v>13</v>
      </c>
      <c r="J20" s="81">
        <v>165</v>
      </c>
      <c r="K20" s="81">
        <f>I20*J20</f>
        <v>2145</v>
      </c>
      <c r="L20" s="79"/>
      <c r="M20" s="79"/>
      <c r="N20" s="107"/>
    </row>
    <row r="21" spans="1:14">
      <c r="A21" s="120"/>
      <c r="B21" s="120"/>
      <c r="C21" s="120"/>
      <c r="D21" s="120"/>
      <c r="E21" s="120"/>
      <c r="F21" s="87"/>
      <c r="G21" s="518" t="s">
        <v>1066</v>
      </c>
      <c r="H21" s="79"/>
      <c r="I21" s="80">
        <v>12</v>
      </c>
      <c r="J21" s="81">
        <v>165</v>
      </c>
      <c r="K21" s="81">
        <f t="shared" ref="K21" si="3">I21*J21</f>
        <v>1980</v>
      </c>
      <c r="L21" s="79"/>
      <c r="M21" s="79"/>
      <c r="N21" s="107"/>
    </row>
    <row r="22" spans="1:14">
      <c r="A22" s="120"/>
      <c r="B22" s="120"/>
      <c r="C22" s="120"/>
      <c r="D22" s="120"/>
      <c r="E22" s="244" t="s">
        <v>9</v>
      </c>
      <c r="F22" s="108">
        <f>SUM(F17:F21)</f>
        <v>4737.4751999999999</v>
      </c>
      <c r="G22" s="244"/>
      <c r="H22" s="244"/>
      <c r="I22" s="80"/>
      <c r="J22" s="81"/>
      <c r="K22" s="103">
        <f>SUM(K17:K21)</f>
        <v>16623</v>
      </c>
      <c r="L22" s="103">
        <f>K22/F22</f>
        <v>3.5088310330363313</v>
      </c>
      <c r="M22" s="178"/>
      <c r="N22" s="107"/>
    </row>
    <row r="23" spans="1:14">
      <c r="A23" s="120">
        <v>3</v>
      </c>
      <c r="B23" s="525" t="s">
        <v>1029</v>
      </c>
      <c r="C23" s="525" t="s">
        <v>1040</v>
      </c>
      <c r="D23" s="525" t="s">
        <v>869</v>
      </c>
      <c r="E23" s="525"/>
      <c r="F23" s="87">
        <f>9050*1.0936</f>
        <v>9897.08</v>
      </c>
      <c r="G23" s="517" t="s">
        <v>24</v>
      </c>
      <c r="H23" s="79"/>
      <c r="I23" s="80">
        <v>113</v>
      </c>
      <c r="J23" s="81">
        <v>74</v>
      </c>
      <c r="K23" s="81">
        <f t="shared" ref="K23:K25" si="4">I23*J23</f>
        <v>8362</v>
      </c>
      <c r="L23" s="79"/>
      <c r="M23" s="79"/>
      <c r="N23" s="107"/>
    </row>
    <row r="24" spans="1:14">
      <c r="A24" s="120"/>
      <c r="B24" s="525" t="s">
        <v>1042</v>
      </c>
      <c r="C24" s="525" t="s">
        <v>271</v>
      </c>
      <c r="D24" s="525" t="s">
        <v>1043</v>
      </c>
      <c r="E24" s="525"/>
      <c r="F24" s="87">
        <f>670*1.0936</f>
        <v>732.71199999999999</v>
      </c>
      <c r="G24" s="88" t="s">
        <v>18</v>
      </c>
      <c r="H24" s="79"/>
      <c r="I24" s="80">
        <v>80</v>
      </c>
      <c r="J24" s="81">
        <v>46</v>
      </c>
      <c r="K24" s="81">
        <f t="shared" si="4"/>
        <v>3680</v>
      </c>
      <c r="L24" s="79"/>
      <c r="M24" s="79"/>
      <c r="N24" s="107"/>
    </row>
    <row r="25" spans="1:14">
      <c r="A25" s="120"/>
      <c r="B25" s="525"/>
      <c r="C25" s="525"/>
      <c r="D25" s="525"/>
      <c r="E25" s="525"/>
      <c r="F25" s="87"/>
      <c r="G25" s="517" t="s">
        <v>1067</v>
      </c>
      <c r="H25" s="79"/>
      <c r="I25" s="80">
        <v>33</v>
      </c>
      <c r="J25" s="81">
        <v>416</v>
      </c>
      <c r="K25" s="81">
        <f t="shared" si="4"/>
        <v>13728</v>
      </c>
      <c r="L25" s="79"/>
      <c r="M25" s="79"/>
      <c r="N25" s="107"/>
    </row>
    <row r="26" spans="1:14">
      <c r="A26" s="120"/>
      <c r="B26" s="120"/>
      <c r="C26" s="120"/>
      <c r="D26" s="120"/>
      <c r="E26" s="120"/>
      <c r="F26" s="87"/>
      <c r="G26" s="517" t="s">
        <v>1065</v>
      </c>
      <c r="H26" s="79"/>
      <c r="I26" s="80">
        <v>20</v>
      </c>
      <c r="J26" s="81">
        <v>165</v>
      </c>
      <c r="K26" s="81">
        <f>I26*J26</f>
        <v>3300</v>
      </c>
      <c r="L26" s="79"/>
      <c r="M26" s="79"/>
      <c r="N26" s="107"/>
    </row>
    <row r="27" spans="1:14">
      <c r="A27" s="120"/>
      <c r="B27" s="120"/>
      <c r="C27" s="120"/>
      <c r="D27" s="120"/>
      <c r="E27" s="120"/>
      <c r="F27" s="87"/>
      <c r="G27" s="518" t="s">
        <v>1066</v>
      </c>
      <c r="H27" s="79"/>
      <c r="I27" s="80">
        <v>26</v>
      </c>
      <c r="J27" s="81">
        <v>165</v>
      </c>
      <c r="K27" s="81">
        <f t="shared" ref="K27" si="5">I27*J27</f>
        <v>4290</v>
      </c>
      <c r="L27" s="79"/>
      <c r="M27" s="79"/>
      <c r="N27" s="107"/>
    </row>
    <row r="28" spans="1:14">
      <c r="A28" s="120"/>
      <c r="B28" s="120"/>
      <c r="C28" s="120"/>
      <c r="D28" s="120"/>
      <c r="E28" s="244" t="s">
        <v>9</v>
      </c>
      <c r="F28" s="108">
        <f>SUM(F23:F27)</f>
        <v>10629.791999999999</v>
      </c>
      <c r="G28" s="244"/>
      <c r="H28" s="244"/>
      <c r="I28" s="80"/>
      <c r="J28" s="81"/>
      <c r="K28" s="103">
        <f>SUM(K23:K27)</f>
        <v>33360</v>
      </c>
      <c r="L28" s="103">
        <f>K28/F28</f>
        <v>3.1383492734382763</v>
      </c>
      <c r="M28" s="79"/>
      <c r="N28" s="107"/>
    </row>
    <row r="29" spans="1:14">
      <c r="A29" s="137"/>
      <c r="B29" s="137"/>
      <c r="C29" s="137"/>
      <c r="D29" s="244" t="s">
        <v>30</v>
      </c>
      <c r="E29" s="244"/>
      <c r="F29" s="134">
        <f>F22+F28</f>
        <v>15367.267199999998</v>
      </c>
      <c r="G29" s="195"/>
      <c r="H29" s="195"/>
      <c r="I29" s="195"/>
      <c r="J29" s="195"/>
      <c r="K29" s="134">
        <f>K22+K28</f>
        <v>49983</v>
      </c>
      <c r="L29" s="151">
        <f>K29/F29</f>
        <v>3.2525626937755079</v>
      </c>
      <c r="M29" s="79"/>
      <c r="N29" s="107"/>
    </row>
    <row r="30" spans="1:14">
      <c r="A30" s="106" t="s">
        <v>22</v>
      </c>
      <c r="B30" s="106"/>
      <c r="C30" s="106"/>
      <c r="D30" s="106"/>
      <c r="E30" s="106"/>
      <c r="F30" s="107"/>
      <c r="G30" s="107"/>
      <c r="H30" s="107"/>
      <c r="I30" s="107"/>
      <c r="J30" s="107"/>
      <c r="K30" s="867" t="s">
        <v>1071</v>
      </c>
      <c r="L30" s="867"/>
      <c r="M30" s="867"/>
      <c r="N30" s="107"/>
    </row>
    <row r="31" spans="1:14">
      <c r="A31" s="244" t="s">
        <v>0</v>
      </c>
      <c r="B31" s="244" t="s">
        <v>7</v>
      </c>
      <c r="C31" s="244" t="s">
        <v>13</v>
      </c>
      <c r="D31" s="244" t="s">
        <v>14</v>
      </c>
      <c r="E31" s="244" t="s">
        <v>8</v>
      </c>
      <c r="F31" s="244" t="s">
        <v>1</v>
      </c>
      <c r="G31" s="244" t="s">
        <v>2</v>
      </c>
      <c r="H31" s="244" t="s">
        <v>15</v>
      </c>
      <c r="I31" s="244" t="s">
        <v>3</v>
      </c>
      <c r="J31" s="244" t="s">
        <v>4</v>
      </c>
      <c r="K31" s="244" t="s">
        <v>5</v>
      </c>
      <c r="L31" s="244" t="s">
        <v>12</v>
      </c>
      <c r="M31" s="244" t="s">
        <v>6</v>
      </c>
      <c r="N31" s="107"/>
    </row>
    <row r="32" spans="1:14">
      <c r="A32" s="120">
        <v>1</v>
      </c>
      <c r="B32" s="525" t="s">
        <v>1030</v>
      </c>
      <c r="C32" s="525" t="s">
        <v>530</v>
      </c>
      <c r="D32" s="525" t="s">
        <v>1031</v>
      </c>
      <c r="E32" s="525"/>
      <c r="F32" s="90">
        <f>4200*1.0936</f>
        <v>4593.12</v>
      </c>
      <c r="G32" s="120" t="s">
        <v>24</v>
      </c>
      <c r="H32" s="79"/>
      <c r="I32" s="80">
        <f>42+46</f>
        <v>88</v>
      </c>
      <c r="J32" s="81">
        <v>74</v>
      </c>
      <c r="K32" s="81">
        <f t="shared" ref="K32:K33" si="6">I32*J32</f>
        <v>6512</v>
      </c>
      <c r="L32" s="79"/>
      <c r="M32" s="162"/>
      <c r="N32" s="107"/>
    </row>
    <row r="33" spans="1:14">
      <c r="A33" s="120"/>
      <c r="B33" s="120"/>
      <c r="C33" s="120"/>
      <c r="D33" s="120"/>
      <c r="E33" s="120"/>
      <c r="F33" s="87"/>
      <c r="G33" s="84" t="s">
        <v>10</v>
      </c>
      <c r="H33" s="79"/>
      <c r="I33" s="80">
        <f>10+15</f>
        <v>25</v>
      </c>
      <c r="J33" s="81">
        <v>120</v>
      </c>
      <c r="K33" s="81">
        <f t="shared" si="6"/>
        <v>3000</v>
      </c>
      <c r="L33" s="79"/>
      <c r="M33" s="79"/>
      <c r="N33" s="107"/>
    </row>
    <row r="34" spans="1:14">
      <c r="A34" s="120"/>
      <c r="B34" s="120"/>
      <c r="C34" s="120"/>
      <c r="D34" s="120"/>
      <c r="E34" s="244" t="s">
        <v>9</v>
      </c>
      <c r="F34" s="108">
        <f>SUM(F32:F33)</f>
        <v>4593.12</v>
      </c>
      <c r="G34" s="244"/>
      <c r="H34" s="244"/>
      <c r="I34" s="80"/>
      <c r="J34" s="81"/>
      <c r="K34" s="103">
        <f>SUM(K32:K33)</f>
        <v>9512</v>
      </c>
      <c r="L34" s="103">
        <f>K34/F34</f>
        <v>2.0709234681436586</v>
      </c>
      <c r="M34" s="79"/>
      <c r="N34" s="107"/>
    </row>
    <row r="35" spans="1:14">
      <c r="A35" s="120">
        <v>2</v>
      </c>
      <c r="B35" s="525" t="s">
        <v>1027</v>
      </c>
      <c r="C35" s="89" t="s">
        <v>1026</v>
      </c>
      <c r="D35" s="89" t="s">
        <v>274</v>
      </c>
      <c r="E35" s="525"/>
      <c r="F35" s="90">
        <f>5580*1.0936</f>
        <v>6102.2879999999996</v>
      </c>
      <c r="G35" s="120" t="s">
        <v>24</v>
      </c>
      <c r="H35" s="79"/>
      <c r="I35" s="80">
        <v>41</v>
      </c>
      <c r="J35" s="81">
        <v>74</v>
      </c>
      <c r="K35" s="81">
        <f t="shared" ref="K35:K36" si="7">I35*J35</f>
        <v>3034</v>
      </c>
      <c r="L35" s="79"/>
      <c r="M35" s="79"/>
      <c r="N35" s="107"/>
    </row>
    <row r="36" spans="1:14">
      <c r="A36" s="120"/>
      <c r="B36" s="120"/>
      <c r="C36" s="120"/>
      <c r="D36" s="120"/>
      <c r="E36" s="120"/>
      <c r="F36" s="90"/>
      <c r="G36" s="84" t="s">
        <v>10</v>
      </c>
      <c r="H36" s="79"/>
      <c r="I36" s="80">
        <v>10</v>
      </c>
      <c r="J36" s="81">
        <v>120</v>
      </c>
      <c r="K36" s="81">
        <f t="shared" si="7"/>
        <v>1200</v>
      </c>
      <c r="L36" s="79"/>
      <c r="M36" s="79"/>
      <c r="N36" s="107"/>
    </row>
    <row r="37" spans="1:14">
      <c r="A37" s="120"/>
      <c r="B37" s="120"/>
      <c r="C37" s="120"/>
      <c r="D37" s="120"/>
      <c r="E37" s="244" t="s">
        <v>9</v>
      </c>
      <c r="F37" s="108">
        <f>SUM(F35:F36)</f>
        <v>6102.2879999999996</v>
      </c>
      <c r="G37" s="244"/>
      <c r="H37" s="244"/>
      <c r="I37" s="80"/>
      <c r="J37" s="81"/>
      <c r="K37" s="103">
        <f>SUM(K35:K36)</f>
        <v>4234</v>
      </c>
      <c r="L37" s="103">
        <f>K37/F37</f>
        <v>0.69383811449082711</v>
      </c>
      <c r="M37" s="79"/>
      <c r="N37" s="107"/>
    </row>
    <row r="38" spans="1:14">
      <c r="A38" s="120">
        <v>3</v>
      </c>
      <c r="B38" s="525" t="s">
        <v>1041</v>
      </c>
      <c r="C38" s="89" t="s">
        <v>1075</v>
      </c>
      <c r="D38" s="89" t="s">
        <v>364</v>
      </c>
      <c r="E38" s="525"/>
      <c r="F38" s="87">
        <f>1550*1.0936</f>
        <v>1695.08</v>
      </c>
      <c r="G38" s="120" t="s">
        <v>24</v>
      </c>
      <c r="H38" s="79"/>
      <c r="I38" s="80">
        <v>15</v>
      </c>
      <c r="J38" s="81">
        <v>74</v>
      </c>
      <c r="K38" s="81">
        <f t="shared" ref="K38:K39" si="8">I38*J38</f>
        <v>1110</v>
      </c>
      <c r="L38" s="79"/>
      <c r="M38" s="79"/>
      <c r="N38" s="107"/>
    </row>
    <row r="39" spans="1:14">
      <c r="A39" s="120"/>
      <c r="B39" s="525" t="s">
        <v>269</v>
      </c>
      <c r="C39" s="525"/>
      <c r="D39" s="525"/>
      <c r="E39" s="525"/>
      <c r="F39" s="87">
        <f>135*1.0936</f>
        <v>147.636</v>
      </c>
      <c r="G39" s="84" t="s">
        <v>10</v>
      </c>
      <c r="H39" s="79"/>
      <c r="I39" s="80">
        <v>5</v>
      </c>
      <c r="J39" s="81">
        <v>120</v>
      </c>
      <c r="K39" s="81">
        <f t="shared" si="8"/>
        <v>600</v>
      </c>
      <c r="L39" s="79"/>
      <c r="M39" s="79"/>
      <c r="N39" s="107"/>
    </row>
    <row r="40" spans="1:14">
      <c r="A40" s="120"/>
      <c r="B40" s="120"/>
      <c r="C40" s="120"/>
      <c r="D40" s="120"/>
      <c r="E40" s="244" t="s">
        <v>9</v>
      </c>
      <c r="F40" s="108">
        <f>SUM(F38:F39)</f>
        <v>1842.7159999999999</v>
      </c>
      <c r="G40" s="244"/>
      <c r="H40" s="244"/>
      <c r="I40" s="80"/>
      <c r="J40" s="81"/>
      <c r="K40" s="103">
        <f>SUM(K38:K39)</f>
        <v>1710</v>
      </c>
      <c r="L40" s="103">
        <f>K40/F40</f>
        <v>0.92797804979172049</v>
      </c>
      <c r="M40" s="79"/>
      <c r="N40" s="107"/>
    </row>
    <row r="41" spans="1:14">
      <c r="A41" s="107"/>
      <c r="B41" s="107"/>
      <c r="C41" s="107"/>
      <c r="D41" s="133" t="s">
        <v>30</v>
      </c>
      <c r="E41" s="133"/>
      <c r="F41" s="134">
        <f>F34+F37+F40</f>
        <v>12538.124</v>
      </c>
      <c r="G41" s="135"/>
      <c r="H41" s="135"/>
      <c r="I41" s="135"/>
      <c r="J41" s="135"/>
      <c r="K41" s="134">
        <f>K34+K37+K40</f>
        <v>15456</v>
      </c>
      <c r="L41" s="151">
        <f>K41/F41</f>
        <v>1.2327203016974468</v>
      </c>
      <c r="M41" s="107"/>
      <c r="N41" s="107"/>
    </row>
    <row r="42" spans="1:14">
      <c r="A42" s="106" t="s">
        <v>16</v>
      </c>
      <c r="B42" s="106"/>
      <c r="C42" s="106"/>
      <c r="D42" s="106"/>
      <c r="E42" s="106"/>
      <c r="F42" s="107"/>
      <c r="G42" s="107"/>
      <c r="H42" s="107"/>
      <c r="I42" s="107"/>
      <c r="J42" s="107"/>
      <c r="K42" s="867" t="s">
        <v>1071</v>
      </c>
      <c r="L42" s="867"/>
      <c r="M42" s="867"/>
      <c r="N42" s="107"/>
    </row>
    <row r="43" spans="1:14" ht="15" customHeight="1">
      <c r="A43" s="244" t="s">
        <v>0</v>
      </c>
      <c r="B43" s="244" t="s">
        <v>7</v>
      </c>
      <c r="C43" s="244" t="s">
        <v>13</v>
      </c>
      <c r="D43" s="244" t="s">
        <v>14</v>
      </c>
      <c r="E43" s="244" t="s">
        <v>8</v>
      </c>
      <c r="F43" s="244" t="s">
        <v>1</v>
      </c>
      <c r="G43" s="244" t="s">
        <v>2</v>
      </c>
      <c r="H43" s="244" t="s">
        <v>15</v>
      </c>
      <c r="I43" s="244" t="s">
        <v>3</v>
      </c>
      <c r="J43" s="244" t="s">
        <v>4</v>
      </c>
      <c r="K43" s="244" t="s">
        <v>5</v>
      </c>
      <c r="L43" s="244" t="s">
        <v>12</v>
      </c>
      <c r="M43" s="244" t="s">
        <v>6</v>
      </c>
      <c r="N43" s="107"/>
    </row>
    <row r="44" spans="1:14" ht="15" customHeight="1">
      <c r="A44" s="120">
        <v>8133</v>
      </c>
      <c r="B44" s="525" t="s">
        <v>996</v>
      </c>
      <c r="C44" s="89" t="s">
        <v>766</v>
      </c>
      <c r="D44" s="89" t="s">
        <v>465</v>
      </c>
      <c r="E44" s="525" t="s">
        <v>310</v>
      </c>
      <c r="F44" s="99">
        <f>3500*1.0936</f>
        <v>3827.5999999999995</v>
      </c>
      <c r="G44" s="95" t="s">
        <v>832</v>
      </c>
      <c r="H44" s="79"/>
      <c r="I44" s="81">
        <v>2</v>
      </c>
      <c r="J44" s="81">
        <v>790</v>
      </c>
      <c r="K44" s="81">
        <f t="shared" ref="K44" si="9">I44*J44</f>
        <v>1580</v>
      </c>
      <c r="L44" s="79"/>
      <c r="M44" s="162"/>
      <c r="N44" s="107"/>
    </row>
    <row r="45" spans="1:14" s="28" customFormat="1" ht="15" customHeight="1">
      <c r="A45" s="120"/>
      <c r="B45" s="120"/>
      <c r="C45" s="120"/>
      <c r="D45" s="120"/>
      <c r="E45" s="244" t="s">
        <v>9</v>
      </c>
      <c r="F45" s="108">
        <f>SUM(F44)</f>
        <v>3827.5999999999995</v>
      </c>
      <c r="G45" s="244"/>
      <c r="H45" s="244"/>
      <c r="I45" s="80"/>
      <c r="J45" s="81"/>
      <c r="K45" s="103">
        <f>SUM(K44)</f>
        <v>1580</v>
      </c>
      <c r="L45" s="103">
        <f>K45/F45</f>
        <v>0.41279130525655772</v>
      </c>
      <c r="M45" s="79"/>
      <c r="N45" s="107"/>
    </row>
    <row r="46" spans="1:14" s="28" customFormat="1" ht="15" customHeight="1">
      <c r="A46" s="242"/>
      <c r="B46" s="242"/>
      <c r="C46" s="242"/>
      <c r="D46" s="133" t="s">
        <v>30</v>
      </c>
      <c r="E46" s="133"/>
      <c r="F46" s="134">
        <f>F45</f>
        <v>3827.5999999999995</v>
      </c>
      <c r="G46" s="135"/>
      <c r="H46" s="135"/>
      <c r="I46" s="135"/>
      <c r="J46" s="135"/>
      <c r="K46" s="134">
        <f>K45</f>
        <v>1580</v>
      </c>
      <c r="L46" s="151">
        <f>K46/F46</f>
        <v>0.41279130525655772</v>
      </c>
      <c r="M46" s="137"/>
      <c r="N46" s="107"/>
    </row>
    <row r="47" spans="1:14" s="28" customFormat="1" ht="15" customHeight="1">
      <c r="A47" s="106" t="s">
        <v>72</v>
      </c>
      <c r="B47" s="106"/>
      <c r="C47" s="106"/>
      <c r="D47" s="106"/>
      <c r="E47" s="106"/>
      <c r="F47" s="107"/>
      <c r="G47" s="107"/>
      <c r="H47" s="107"/>
      <c r="I47" s="149"/>
      <c r="J47" s="107"/>
      <c r="K47" s="867" t="s">
        <v>1071</v>
      </c>
      <c r="L47" s="867"/>
      <c r="M47" s="867"/>
      <c r="N47" s="107"/>
    </row>
    <row r="48" spans="1:14" s="28" customFormat="1" ht="15" customHeight="1">
      <c r="A48" s="244" t="s">
        <v>0</v>
      </c>
      <c r="B48" s="244" t="s">
        <v>7</v>
      </c>
      <c r="C48" s="244" t="s">
        <v>13</v>
      </c>
      <c r="D48" s="244" t="s">
        <v>14</v>
      </c>
      <c r="E48" s="244" t="s">
        <v>8</v>
      </c>
      <c r="F48" s="244" t="s">
        <v>1</v>
      </c>
      <c r="G48" s="244" t="s">
        <v>2</v>
      </c>
      <c r="H48" s="244" t="s">
        <v>15</v>
      </c>
      <c r="I48" s="150" t="s">
        <v>3</v>
      </c>
      <c r="J48" s="244" t="s">
        <v>4</v>
      </c>
      <c r="K48" s="244" t="s">
        <v>5</v>
      </c>
      <c r="L48" s="244" t="s">
        <v>12</v>
      </c>
      <c r="M48" s="244" t="s">
        <v>6</v>
      </c>
      <c r="N48" s="246"/>
    </row>
    <row r="49" spans="1:14" s="30" customFormat="1" ht="15" customHeight="1">
      <c r="A49" s="120">
        <v>8431</v>
      </c>
      <c r="B49" s="594" t="s">
        <v>1045</v>
      </c>
      <c r="C49" s="525" t="s">
        <v>792</v>
      </c>
      <c r="D49" s="525" t="s">
        <v>999</v>
      </c>
      <c r="E49" s="594" t="s">
        <v>1219</v>
      </c>
      <c r="F49" s="90">
        <f>2770*1.0936</f>
        <v>3029.2719999999999</v>
      </c>
      <c r="G49" s="91" t="s">
        <v>196</v>
      </c>
      <c r="H49" s="79"/>
      <c r="I49" s="80">
        <f>1.6+0.106</f>
        <v>1.7060000000000002</v>
      </c>
      <c r="J49" s="81">
        <v>888</v>
      </c>
      <c r="K49" s="81">
        <f t="shared" ref="K49:K53" si="10">I49*J49</f>
        <v>1514.9280000000001</v>
      </c>
      <c r="L49" s="102"/>
      <c r="M49" s="79"/>
      <c r="N49" s="107"/>
    </row>
    <row r="50" spans="1:14" s="28" customFormat="1" ht="15" customHeight="1">
      <c r="A50" s="120"/>
      <c r="B50" s="525"/>
      <c r="C50" s="525"/>
      <c r="D50" s="525"/>
      <c r="E50" s="594" t="s">
        <v>247</v>
      </c>
      <c r="F50" s="87"/>
      <c r="G50" s="91" t="s">
        <v>281</v>
      </c>
      <c r="H50" s="79"/>
      <c r="I50" s="80">
        <v>1.3</v>
      </c>
      <c r="J50" s="81">
        <v>1035</v>
      </c>
      <c r="K50" s="81">
        <f t="shared" si="10"/>
        <v>1345.5</v>
      </c>
      <c r="L50" s="102"/>
      <c r="M50" s="79"/>
      <c r="N50" s="107"/>
    </row>
    <row r="51" spans="1:14" s="28" customFormat="1" ht="15" customHeight="1">
      <c r="A51" s="120"/>
      <c r="B51" s="525"/>
      <c r="C51" s="525"/>
      <c r="D51" s="525"/>
      <c r="E51" s="525"/>
      <c r="F51" s="87"/>
      <c r="G51" s="91" t="s">
        <v>532</v>
      </c>
      <c r="H51" s="79"/>
      <c r="I51" s="80">
        <f>9+0.295</f>
        <v>9.2949999999999999</v>
      </c>
      <c r="J51" s="81">
        <v>476</v>
      </c>
      <c r="K51" s="81">
        <f t="shared" si="10"/>
        <v>4424.42</v>
      </c>
      <c r="L51" s="102"/>
      <c r="M51" s="79"/>
      <c r="N51" s="107"/>
    </row>
    <row r="52" spans="1:14" s="28" customFormat="1" ht="15" customHeight="1">
      <c r="A52" s="120"/>
      <c r="B52" s="525"/>
      <c r="C52" s="525"/>
      <c r="D52" s="525"/>
      <c r="E52" s="525"/>
      <c r="F52" s="87"/>
      <c r="G52" s="542" t="s">
        <v>184</v>
      </c>
      <c r="H52" s="542"/>
      <c r="I52" s="80">
        <v>5</v>
      </c>
      <c r="J52" s="81">
        <v>336</v>
      </c>
      <c r="K52" s="94">
        <f t="shared" si="10"/>
        <v>1680</v>
      </c>
      <c r="L52" s="102"/>
      <c r="M52" s="79"/>
      <c r="N52" s="107"/>
    </row>
    <row r="53" spans="1:14" s="28" customFormat="1" ht="15" customHeight="1">
      <c r="A53" s="120"/>
      <c r="B53" s="525"/>
      <c r="C53" s="525"/>
      <c r="D53" s="525"/>
      <c r="E53" s="525"/>
      <c r="F53" s="87"/>
      <c r="G53" s="95" t="s">
        <v>185</v>
      </c>
      <c r="H53" s="79"/>
      <c r="I53" s="96">
        <v>1</v>
      </c>
      <c r="J53" s="81">
        <v>490</v>
      </c>
      <c r="K53" s="81">
        <f t="shared" si="10"/>
        <v>490</v>
      </c>
      <c r="L53" s="102"/>
      <c r="M53" s="79"/>
      <c r="N53" s="107"/>
    </row>
    <row r="54" spans="1:14" s="28" customFormat="1" ht="15" customHeight="1">
      <c r="A54" s="120"/>
      <c r="B54" s="120"/>
      <c r="C54" s="120"/>
      <c r="D54" s="120"/>
      <c r="E54" s="244" t="s">
        <v>9</v>
      </c>
      <c r="F54" s="108">
        <f>SUM(F49:F53)</f>
        <v>3029.2719999999999</v>
      </c>
      <c r="G54" s="244"/>
      <c r="H54" s="244"/>
      <c r="I54" s="80"/>
      <c r="J54" s="81"/>
      <c r="K54" s="103">
        <f>SUM(K49:K53)</f>
        <v>9454.848</v>
      </c>
      <c r="L54" s="103">
        <f>K54/F54</f>
        <v>3.1211617840854173</v>
      </c>
      <c r="M54" s="79"/>
      <c r="N54" s="107"/>
    </row>
    <row r="55" spans="1:14" s="28" customFormat="1" ht="15" customHeight="1">
      <c r="A55" s="525">
        <v>8428</v>
      </c>
      <c r="B55" s="528" t="s">
        <v>1105</v>
      </c>
      <c r="C55" s="525" t="s">
        <v>792</v>
      </c>
      <c r="D55" s="525" t="s">
        <v>999</v>
      </c>
      <c r="E55" s="525" t="s">
        <v>1048</v>
      </c>
      <c r="F55" s="90">
        <f>5030*1.0936</f>
        <v>5500.8079999999991</v>
      </c>
      <c r="G55" s="526" t="s">
        <v>314</v>
      </c>
      <c r="H55" s="79"/>
      <c r="I55" s="80">
        <f>4.845+14.4+1.26+0.212</f>
        <v>20.717000000000002</v>
      </c>
      <c r="J55" s="81">
        <v>1695</v>
      </c>
      <c r="K55" s="81">
        <f t="shared" ref="K55" si="11">I55*J55</f>
        <v>35115.315000000002</v>
      </c>
      <c r="L55" s="102"/>
      <c r="M55" s="79"/>
      <c r="N55" s="107"/>
    </row>
    <row r="56" spans="1:14" s="28" customFormat="1" ht="15" customHeight="1">
      <c r="A56" s="525"/>
      <c r="B56" s="525"/>
      <c r="C56" s="525"/>
      <c r="D56" s="525"/>
      <c r="E56" s="525"/>
      <c r="F56" s="87"/>
      <c r="G56" s="91" t="s">
        <v>281</v>
      </c>
      <c r="H56" s="79"/>
      <c r="I56" s="80">
        <f>0.99+2.32+0.438+0.075</f>
        <v>3.823</v>
      </c>
      <c r="J56" s="81">
        <v>1035</v>
      </c>
      <c r="K56" s="81">
        <f t="shared" ref="K56:K59" si="12">I56*J56</f>
        <v>3956.8049999999998</v>
      </c>
      <c r="L56" s="102"/>
      <c r="M56" s="79"/>
      <c r="N56" s="107"/>
    </row>
    <row r="57" spans="1:14" s="28" customFormat="1" ht="15" customHeight="1">
      <c r="A57" s="525"/>
      <c r="B57" s="525"/>
      <c r="C57" s="525"/>
      <c r="D57" s="525"/>
      <c r="E57" s="525"/>
      <c r="F57" s="87"/>
      <c r="G57" s="91" t="s">
        <v>282</v>
      </c>
      <c r="H57" s="79"/>
      <c r="I57" s="80">
        <f>6.363+16.8+2.52+0.375</f>
        <v>26.058</v>
      </c>
      <c r="J57" s="81">
        <v>840</v>
      </c>
      <c r="K57" s="81">
        <f t="shared" si="12"/>
        <v>21888.720000000001</v>
      </c>
      <c r="L57" s="102"/>
      <c r="M57" s="79"/>
      <c r="N57" s="107"/>
    </row>
    <row r="58" spans="1:14" s="28" customFormat="1" ht="15" customHeight="1">
      <c r="A58" s="525"/>
      <c r="B58" s="525"/>
      <c r="C58" s="525"/>
      <c r="D58" s="525"/>
      <c r="E58" s="525"/>
      <c r="F58" s="87"/>
      <c r="G58" s="525" t="s">
        <v>184</v>
      </c>
      <c r="H58" s="525"/>
      <c r="I58" s="80">
        <f>2.4+9</f>
        <v>11.4</v>
      </c>
      <c r="J58" s="81">
        <v>336</v>
      </c>
      <c r="K58" s="94">
        <f t="shared" si="12"/>
        <v>3830.4</v>
      </c>
      <c r="L58" s="102"/>
      <c r="M58" s="79"/>
      <c r="N58" s="107"/>
    </row>
    <row r="59" spans="1:14" s="28" customFormat="1" ht="15" customHeight="1">
      <c r="A59" s="525"/>
      <c r="B59" s="525"/>
      <c r="C59" s="525"/>
      <c r="D59" s="525"/>
      <c r="E59" s="525"/>
      <c r="F59" s="87"/>
      <c r="G59" s="95" t="s">
        <v>185</v>
      </c>
      <c r="H59" s="79"/>
      <c r="I59" s="96">
        <f>0.5+1.8</f>
        <v>2.2999999999999998</v>
      </c>
      <c r="J59" s="81">
        <v>490</v>
      </c>
      <c r="K59" s="81">
        <f t="shared" si="12"/>
        <v>1127</v>
      </c>
      <c r="L59" s="102"/>
      <c r="M59" s="79"/>
      <c r="N59" s="107"/>
    </row>
    <row r="60" spans="1:14" s="28" customFormat="1" ht="15" customHeight="1">
      <c r="A60" s="120"/>
      <c r="B60" s="120"/>
      <c r="C60" s="120"/>
      <c r="D60" s="120"/>
      <c r="E60" s="244" t="s">
        <v>9</v>
      </c>
      <c r="F60" s="108">
        <f>SUM(F55:F59)</f>
        <v>5500.8079999999991</v>
      </c>
      <c r="G60" s="244"/>
      <c r="H60" s="244"/>
      <c r="I60" s="80"/>
      <c r="J60" s="81"/>
      <c r="K60" s="103">
        <f>SUM(K55:K59)</f>
        <v>65918.240000000005</v>
      </c>
      <c r="L60" s="103">
        <f>K60/F60</f>
        <v>11.9833740788626</v>
      </c>
      <c r="M60" s="79"/>
      <c r="N60" s="107"/>
    </row>
    <row r="61" spans="1:14" s="28" customFormat="1" ht="15" customHeight="1">
      <c r="A61" s="120">
        <v>8427</v>
      </c>
      <c r="B61" s="525" t="s">
        <v>998</v>
      </c>
      <c r="C61" s="525" t="s">
        <v>792</v>
      </c>
      <c r="D61" s="525" t="s">
        <v>999</v>
      </c>
      <c r="E61" s="525" t="s">
        <v>102</v>
      </c>
      <c r="F61" s="90">
        <f>10900*1.0936</f>
        <v>11920.24</v>
      </c>
      <c r="G61" s="91" t="s">
        <v>196</v>
      </c>
      <c r="H61" s="79"/>
      <c r="I61" s="80">
        <f>5.2+0.416+0.351+4.448</f>
        <v>10.415000000000001</v>
      </c>
      <c r="J61" s="81">
        <v>888</v>
      </c>
      <c r="K61" s="81">
        <f t="shared" ref="K61:K69" si="13">I61*J61</f>
        <v>9248.52</v>
      </c>
      <c r="L61" s="102"/>
      <c r="M61" s="79"/>
      <c r="N61" s="107"/>
    </row>
    <row r="62" spans="1:14" s="28" customFormat="1" ht="15" customHeight="1">
      <c r="A62" s="120"/>
      <c r="B62" s="525"/>
      <c r="C62" s="525"/>
      <c r="D62" s="525"/>
      <c r="E62" s="525"/>
      <c r="F62" s="87"/>
      <c r="G62" s="91" t="s">
        <v>281</v>
      </c>
      <c r="H62" s="79"/>
      <c r="I62" s="80">
        <f>4.2+0.126+3.2</f>
        <v>7.5260000000000007</v>
      </c>
      <c r="J62" s="81">
        <v>1035</v>
      </c>
      <c r="K62" s="81">
        <f t="shared" si="13"/>
        <v>7789.4100000000008</v>
      </c>
      <c r="L62" s="102"/>
      <c r="M62" s="79"/>
      <c r="N62" s="107"/>
    </row>
    <row r="63" spans="1:14" s="28" customFormat="1" ht="15" customHeight="1">
      <c r="A63" s="531"/>
      <c r="B63" s="531"/>
      <c r="C63" s="531"/>
      <c r="D63" s="531"/>
      <c r="E63" s="531"/>
      <c r="F63" s="87"/>
      <c r="G63" s="532" t="s">
        <v>183</v>
      </c>
      <c r="H63" s="79"/>
      <c r="I63" s="80">
        <v>0.01</v>
      </c>
      <c r="J63" s="81">
        <v>1600</v>
      </c>
      <c r="K63" s="81">
        <f t="shared" si="13"/>
        <v>16</v>
      </c>
      <c r="L63" s="102"/>
      <c r="M63" s="79"/>
      <c r="N63" s="107"/>
    </row>
    <row r="64" spans="1:14" s="28" customFormat="1" ht="15" customHeight="1">
      <c r="A64" s="531"/>
      <c r="B64" s="531"/>
      <c r="C64" s="531"/>
      <c r="D64" s="531"/>
      <c r="E64" s="531"/>
      <c r="F64" s="87"/>
      <c r="G64" s="93" t="s">
        <v>315</v>
      </c>
      <c r="H64" s="79"/>
      <c r="I64" s="80">
        <v>0.25</v>
      </c>
      <c r="J64" s="81">
        <v>2184</v>
      </c>
      <c r="K64" s="81">
        <f t="shared" si="13"/>
        <v>546</v>
      </c>
      <c r="L64" s="102"/>
      <c r="M64" s="79"/>
      <c r="N64" s="107"/>
    </row>
    <row r="65" spans="1:14" s="28" customFormat="1" ht="15" customHeight="1">
      <c r="A65" s="120"/>
      <c r="B65" s="525"/>
      <c r="C65" s="525"/>
      <c r="D65" s="525"/>
      <c r="E65" s="525"/>
      <c r="F65" s="87"/>
      <c r="G65" s="91" t="s">
        <v>282</v>
      </c>
      <c r="H65" s="79"/>
      <c r="I65" s="80">
        <f>18.4+0.587+14.08</f>
        <v>33.067</v>
      </c>
      <c r="J65" s="81">
        <v>840</v>
      </c>
      <c r="K65" s="81">
        <f t="shared" si="13"/>
        <v>27776.28</v>
      </c>
      <c r="L65" s="102"/>
      <c r="M65" s="79"/>
      <c r="N65" s="107"/>
    </row>
    <row r="66" spans="1:14" s="28" customFormat="1" ht="15" customHeight="1">
      <c r="A66" s="528"/>
      <c r="B66" s="528"/>
      <c r="C66" s="528"/>
      <c r="D66" s="528"/>
      <c r="E66" s="528"/>
      <c r="F66" s="87"/>
      <c r="G66" s="91" t="s">
        <v>279</v>
      </c>
      <c r="H66" s="79"/>
      <c r="I66" s="80">
        <f>0.03+0.1</f>
        <v>0.13</v>
      </c>
      <c r="J66" s="81">
        <v>689</v>
      </c>
      <c r="K66" s="81">
        <f t="shared" si="13"/>
        <v>89.570000000000007</v>
      </c>
      <c r="L66" s="79"/>
      <c r="M66" s="79"/>
      <c r="N66" s="107"/>
    </row>
    <row r="67" spans="1:14" s="28" customFormat="1" ht="15" customHeight="1">
      <c r="A67" s="528"/>
      <c r="B67" s="528"/>
      <c r="C67" s="528"/>
      <c r="D67" s="528"/>
      <c r="E67" s="528"/>
      <c r="F67" s="87"/>
      <c r="G67" s="91" t="s">
        <v>193</v>
      </c>
      <c r="H67" s="79"/>
      <c r="I67" s="80">
        <f>0.16+0.35</f>
        <v>0.51</v>
      </c>
      <c r="J67" s="81">
        <v>1150</v>
      </c>
      <c r="K67" s="81">
        <f t="shared" si="13"/>
        <v>586.5</v>
      </c>
      <c r="L67" s="79"/>
      <c r="M67" s="79"/>
      <c r="N67" s="107"/>
    </row>
    <row r="68" spans="1:14" s="28" customFormat="1" ht="15" customHeight="1">
      <c r="A68" s="120"/>
      <c r="B68" s="525"/>
      <c r="C68" s="525"/>
      <c r="D68" s="525"/>
      <c r="E68" s="525"/>
      <c r="F68" s="87"/>
      <c r="G68" s="525" t="s">
        <v>184</v>
      </c>
      <c r="H68" s="525"/>
      <c r="I68" s="80">
        <f>10+8</f>
        <v>18</v>
      </c>
      <c r="J68" s="81">
        <v>336</v>
      </c>
      <c r="K68" s="94">
        <f t="shared" si="13"/>
        <v>6048</v>
      </c>
      <c r="L68" s="102"/>
      <c r="M68" s="79"/>
      <c r="N68" s="107"/>
    </row>
    <row r="69" spans="1:14" s="28" customFormat="1" ht="15" customHeight="1">
      <c r="A69" s="120"/>
      <c r="B69" s="525"/>
      <c r="C69" s="525"/>
      <c r="D69" s="525"/>
      <c r="E69" s="525"/>
      <c r="F69" s="87"/>
      <c r="G69" s="95" t="s">
        <v>185</v>
      </c>
      <c r="H69" s="79"/>
      <c r="I69" s="96">
        <f>2+1.6</f>
        <v>3.6</v>
      </c>
      <c r="J69" s="81">
        <v>490</v>
      </c>
      <c r="K69" s="81">
        <f t="shared" si="13"/>
        <v>1764</v>
      </c>
      <c r="L69" s="102"/>
      <c r="M69" s="79"/>
      <c r="N69" s="107"/>
    </row>
    <row r="70" spans="1:14" s="28" customFormat="1" ht="15" customHeight="1">
      <c r="A70" s="120"/>
      <c r="B70" s="120"/>
      <c r="C70" s="120"/>
      <c r="D70" s="120"/>
      <c r="E70" s="244" t="s">
        <v>9</v>
      </c>
      <c r="F70" s="108">
        <f>SUM(F61:F69)</f>
        <v>11920.24</v>
      </c>
      <c r="G70" s="244"/>
      <c r="H70" s="244"/>
      <c r="I70" s="80"/>
      <c r="J70" s="81"/>
      <c r="K70" s="103">
        <f>SUM(K61:K69)</f>
        <v>53864.28</v>
      </c>
      <c r="L70" s="103">
        <f>K70/F70</f>
        <v>4.5187244552123111</v>
      </c>
      <c r="M70" s="79"/>
      <c r="N70" s="107"/>
    </row>
    <row r="71" spans="1:14" s="28" customFormat="1" ht="15" customHeight="1">
      <c r="A71" s="120">
        <v>8430</v>
      </c>
      <c r="B71" s="525" t="s">
        <v>1073</v>
      </c>
      <c r="C71" s="525" t="s">
        <v>121</v>
      </c>
      <c r="D71" s="525" t="s">
        <v>74</v>
      </c>
      <c r="E71" s="525" t="s">
        <v>132</v>
      </c>
      <c r="F71" s="90">
        <f>420*1.0936</f>
        <v>459.31199999999995</v>
      </c>
      <c r="G71" s="93" t="s">
        <v>190</v>
      </c>
      <c r="H71" s="79"/>
      <c r="I71" s="80">
        <f>0.325+0.12+0.15+0.18</f>
        <v>0.77499999999999991</v>
      </c>
      <c r="J71" s="81">
        <v>644</v>
      </c>
      <c r="K71" s="81">
        <f t="shared" ref="K71:K83" si="14">I71*J71</f>
        <v>499.09999999999997</v>
      </c>
      <c r="L71" s="79"/>
      <c r="M71" s="79"/>
      <c r="N71" s="107"/>
    </row>
    <row r="72" spans="1:14" s="28" customFormat="1" ht="15" customHeight="1">
      <c r="A72" s="120"/>
      <c r="B72" s="120"/>
      <c r="C72" s="120"/>
      <c r="D72" s="120"/>
      <c r="E72" s="525" t="s">
        <v>232</v>
      </c>
      <c r="F72" s="120"/>
      <c r="G72" s="91" t="s">
        <v>192</v>
      </c>
      <c r="H72" s="79"/>
      <c r="I72" s="80">
        <f>0.565+0.145+0.118</f>
        <v>0.82799999999999996</v>
      </c>
      <c r="J72" s="81">
        <v>1126</v>
      </c>
      <c r="K72" s="81">
        <f t="shared" si="14"/>
        <v>932.32799999999997</v>
      </c>
      <c r="L72" s="79"/>
      <c r="M72" s="180" t="s">
        <v>908</v>
      </c>
      <c r="N72" s="107"/>
    </row>
    <row r="73" spans="1:14" s="28" customFormat="1" ht="15" customHeight="1">
      <c r="A73" s="120"/>
      <c r="B73" s="120"/>
      <c r="C73" s="120"/>
      <c r="D73" s="120"/>
      <c r="E73" s="120"/>
      <c r="F73" s="87"/>
      <c r="G73" s="91" t="s">
        <v>199</v>
      </c>
      <c r="H73" s="79"/>
      <c r="I73" s="80">
        <f>2.905+0.8+0.65</f>
        <v>4.3550000000000004</v>
      </c>
      <c r="J73" s="81">
        <v>530</v>
      </c>
      <c r="K73" s="81">
        <f t="shared" si="14"/>
        <v>2308.15</v>
      </c>
      <c r="L73" s="79"/>
      <c r="M73" s="180" t="s">
        <v>909</v>
      </c>
      <c r="N73" s="107"/>
    </row>
    <row r="74" spans="1:14" s="28" customFormat="1" ht="15" customHeight="1">
      <c r="A74" s="528"/>
      <c r="B74" s="528"/>
      <c r="C74" s="528"/>
      <c r="D74" s="528"/>
      <c r="E74" s="528"/>
      <c r="F74" s="87"/>
      <c r="G74" s="91" t="s">
        <v>279</v>
      </c>
      <c r="H74" s="79"/>
      <c r="I74" s="80">
        <f>0.39+0.115</f>
        <v>0.505</v>
      </c>
      <c r="J74" s="81">
        <v>689</v>
      </c>
      <c r="K74" s="81">
        <f t="shared" si="14"/>
        <v>347.94499999999999</v>
      </c>
      <c r="L74" s="79"/>
      <c r="M74" s="180" t="s">
        <v>910</v>
      </c>
      <c r="N74" s="107"/>
    </row>
    <row r="75" spans="1:14" s="28" customFormat="1" ht="15" customHeight="1">
      <c r="A75" s="528"/>
      <c r="B75" s="528"/>
      <c r="C75" s="528"/>
      <c r="D75" s="528"/>
      <c r="E75" s="528"/>
      <c r="F75" s="87"/>
      <c r="G75" s="91" t="s">
        <v>193</v>
      </c>
      <c r="H75" s="79"/>
      <c r="I75" s="80">
        <f>0.3+0.1</f>
        <v>0.4</v>
      </c>
      <c r="J75" s="81">
        <v>1150</v>
      </c>
      <c r="K75" s="81">
        <f t="shared" si="14"/>
        <v>460</v>
      </c>
      <c r="L75" s="79"/>
      <c r="M75" s="180" t="s">
        <v>908</v>
      </c>
      <c r="N75" s="107"/>
    </row>
    <row r="76" spans="1:14" s="28" customFormat="1" ht="15" customHeight="1">
      <c r="A76" s="528"/>
      <c r="B76" s="528"/>
      <c r="C76" s="528"/>
      <c r="D76" s="528"/>
      <c r="E76" s="528"/>
      <c r="F76" s="87"/>
      <c r="G76" s="529" t="s">
        <v>314</v>
      </c>
      <c r="H76" s="79"/>
      <c r="I76" s="80">
        <v>0.08</v>
      </c>
      <c r="J76" s="81">
        <v>1695</v>
      </c>
      <c r="K76" s="81">
        <f t="shared" si="14"/>
        <v>135.6</v>
      </c>
      <c r="L76" s="79"/>
      <c r="M76" s="180" t="s">
        <v>912</v>
      </c>
      <c r="N76" s="107"/>
    </row>
    <row r="77" spans="1:14" s="28" customFormat="1" ht="15" customHeight="1">
      <c r="A77" s="543"/>
      <c r="B77" s="543"/>
      <c r="C77" s="543"/>
      <c r="D77" s="543"/>
      <c r="E77" s="543"/>
      <c r="F77" s="87"/>
      <c r="G77" s="91" t="s">
        <v>196</v>
      </c>
      <c r="H77" s="79"/>
      <c r="I77" s="80">
        <v>0.375</v>
      </c>
      <c r="J77" s="81">
        <v>888</v>
      </c>
      <c r="K77" s="81">
        <f t="shared" si="14"/>
        <v>333</v>
      </c>
      <c r="L77" s="102"/>
      <c r="M77" s="180" t="s">
        <v>911</v>
      </c>
      <c r="N77" s="107"/>
    </row>
    <row r="78" spans="1:14" s="28" customFormat="1" ht="15" customHeight="1">
      <c r="A78" s="543"/>
      <c r="B78" s="543"/>
      <c r="C78" s="543"/>
      <c r="D78" s="543"/>
      <c r="E78" s="543"/>
      <c r="F78" s="87"/>
      <c r="G78" s="544" t="s">
        <v>183</v>
      </c>
      <c r="H78" s="79"/>
      <c r="I78" s="80">
        <v>0.5</v>
      </c>
      <c r="J78" s="81">
        <v>1600</v>
      </c>
      <c r="K78" s="81">
        <f t="shared" si="14"/>
        <v>800</v>
      </c>
      <c r="L78" s="79"/>
      <c r="M78" s="180" t="s">
        <v>909</v>
      </c>
      <c r="N78" s="107"/>
    </row>
    <row r="79" spans="1:14" s="28" customFormat="1" ht="15" customHeight="1">
      <c r="A79" s="543"/>
      <c r="B79" s="543"/>
      <c r="C79" s="543"/>
      <c r="D79" s="543"/>
      <c r="E79" s="543"/>
      <c r="F79" s="87"/>
      <c r="G79" s="93" t="s">
        <v>315</v>
      </c>
      <c r="H79" s="79"/>
      <c r="I79" s="554">
        <f>12.5+1.5</f>
        <v>14</v>
      </c>
      <c r="J79" s="81">
        <v>2184</v>
      </c>
      <c r="K79" s="81">
        <f t="shared" si="14"/>
        <v>30576</v>
      </c>
      <c r="L79" s="79"/>
      <c r="M79" s="180" t="s">
        <v>911</v>
      </c>
      <c r="N79" s="107"/>
    </row>
    <row r="80" spans="1:14" s="28" customFormat="1" ht="15" customHeight="1">
      <c r="A80" s="543"/>
      <c r="B80" s="543"/>
      <c r="C80" s="543"/>
      <c r="D80" s="543"/>
      <c r="E80" s="543"/>
      <c r="F80" s="87"/>
      <c r="G80" s="544" t="s">
        <v>460</v>
      </c>
      <c r="H80" s="79"/>
      <c r="I80" s="80">
        <v>0.2</v>
      </c>
      <c r="J80" s="81">
        <v>920</v>
      </c>
      <c r="K80" s="81">
        <f t="shared" si="14"/>
        <v>184</v>
      </c>
      <c r="L80" s="79"/>
      <c r="M80" s="79"/>
      <c r="N80" s="107"/>
    </row>
    <row r="81" spans="1:14" s="28" customFormat="1" ht="15" customHeight="1">
      <c r="A81" s="120"/>
      <c r="B81" s="120"/>
      <c r="C81" s="120"/>
      <c r="D81" s="120"/>
      <c r="E81" s="120"/>
      <c r="F81" s="87"/>
      <c r="G81" s="525" t="s">
        <v>184</v>
      </c>
      <c r="H81" s="525"/>
      <c r="I81" s="80">
        <v>1.2</v>
      </c>
      <c r="J81" s="81">
        <v>336</v>
      </c>
      <c r="K81" s="94">
        <f t="shared" si="14"/>
        <v>403.2</v>
      </c>
      <c r="L81" s="79"/>
      <c r="M81" s="79"/>
      <c r="N81" s="107"/>
    </row>
    <row r="82" spans="1:14" s="28" customFormat="1" ht="15" customHeight="1">
      <c r="A82" s="120"/>
      <c r="B82" s="120"/>
      <c r="C82" s="120"/>
      <c r="D82" s="120"/>
      <c r="E82" s="120"/>
      <c r="F82" s="87"/>
      <c r="G82" s="95" t="s">
        <v>185</v>
      </c>
      <c r="H82" s="79"/>
      <c r="I82" s="96">
        <v>0.24</v>
      </c>
      <c r="J82" s="81">
        <v>490</v>
      </c>
      <c r="K82" s="81">
        <f t="shared" si="14"/>
        <v>117.6</v>
      </c>
      <c r="L82" s="79"/>
      <c r="M82" s="79"/>
      <c r="N82" s="107"/>
    </row>
    <row r="83" spans="1:14" s="28" customFormat="1" ht="15" customHeight="1">
      <c r="A83" s="543"/>
      <c r="B83" s="543"/>
      <c r="C83" s="543"/>
      <c r="D83" s="543"/>
      <c r="E83" s="543"/>
      <c r="F83" s="87"/>
      <c r="G83" s="543" t="s">
        <v>28</v>
      </c>
      <c r="H83" s="79"/>
      <c r="I83" s="80">
        <v>50</v>
      </c>
      <c r="J83" s="81">
        <v>17</v>
      </c>
      <c r="K83" s="81">
        <f t="shared" si="14"/>
        <v>850</v>
      </c>
      <c r="L83" s="79"/>
      <c r="M83" s="79"/>
      <c r="N83" s="107"/>
    </row>
    <row r="84" spans="1:14" s="28" customFormat="1" ht="15" customHeight="1">
      <c r="A84" s="120"/>
      <c r="B84" s="120"/>
      <c r="C84" s="120"/>
      <c r="D84" s="120"/>
      <c r="E84" s="244" t="s">
        <v>9</v>
      </c>
      <c r="F84" s="108">
        <f>SUM(F71:F83)</f>
        <v>459.31199999999995</v>
      </c>
      <c r="G84" s="244"/>
      <c r="H84" s="244"/>
      <c r="I84" s="80"/>
      <c r="J84" s="81"/>
      <c r="K84" s="103">
        <f>SUM(K71:K83)</f>
        <v>37946.922999999995</v>
      </c>
      <c r="L84" s="152">
        <f>K84/F84</f>
        <v>82.616876981224095</v>
      </c>
      <c r="M84" s="79"/>
      <c r="N84" s="107"/>
    </row>
    <row r="85" spans="1:14" s="28" customFormat="1" ht="15" customHeight="1">
      <c r="A85" s="525">
        <v>8429</v>
      </c>
      <c r="B85" s="525" t="s">
        <v>1073</v>
      </c>
      <c r="C85" s="525" t="s">
        <v>121</v>
      </c>
      <c r="D85" s="525" t="s">
        <v>74</v>
      </c>
      <c r="E85" s="525" t="s">
        <v>261</v>
      </c>
      <c r="F85" s="90">
        <f>320*1.0936</f>
        <v>349.952</v>
      </c>
      <c r="G85" s="93" t="s">
        <v>190</v>
      </c>
      <c r="H85" s="79"/>
      <c r="I85" s="80">
        <f>0.59+0.16</f>
        <v>0.75</v>
      </c>
      <c r="J85" s="81">
        <v>644</v>
      </c>
      <c r="K85" s="81">
        <f t="shared" ref="K85:K89" si="15">I85*J85</f>
        <v>483</v>
      </c>
      <c r="L85" s="79"/>
      <c r="M85" s="79"/>
      <c r="N85" s="107"/>
    </row>
    <row r="86" spans="1:14" s="28" customFormat="1" ht="15" customHeight="1">
      <c r="A86" s="525"/>
      <c r="B86" s="525"/>
      <c r="C86" s="525"/>
      <c r="D86" s="525"/>
      <c r="E86" s="525"/>
      <c r="F86" s="525"/>
      <c r="G86" s="526" t="s">
        <v>183</v>
      </c>
      <c r="H86" s="79"/>
      <c r="I86" s="80">
        <f>0.18+0.042</f>
        <v>0.222</v>
      </c>
      <c r="J86" s="81">
        <v>1600</v>
      </c>
      <c r="K86" s="81">
        <f t="shared" si="15"/>
        <v>355.2</v>
      </c>
      <c r="L86" s="79"/>
      <c r="M86" s="79"/>
      <c r="N86" s="107"/>
    </row>
    <row r="87" spans="1:14" s="28" customFormat="1" ht="15" customHeight="1">
      <c r="A87" s="525"/>
      <c r="B87" s="525"/>
      <c r="C87" s="525"/>
      <c r="D87" s="525"/>
      <c r="E87" s="525"/>
      <c r="F87" s="87"/>
      <c r="G87" s="93" t="s">
        <v>315</v>
      </c>
      <c r="H87" s="79"/>
      <c r="I87" s="80">
        <f>0.838+0.2</f>
        <v>1.038</v>
      </c>
      <c r="J87" s="81">
        <v>2184</v>
      </c>
      <c r="K87" s="81">
        <f t="shared" si="15"/>
        <v>2266.9920000000002</v>
      </c>
      <c r="L87" s="79"/>
      <c r="M87" s="79"/>
      <c r="N87" s="107"/>
    </row>
    <row r="88" spans="1:14" s="28" customFormat="1" ht="15" customHeight="1">
      <c r="A88" s="525"/>
      <c r="B88" s="525"/>
      <c r="C88" s="525"/>
      <c r="D88" s="525"/>
      <c r="E88" s="525"/>
      <c r="F88" s="87"/>
      <c r="G88" s="525" t="s">
        <v>184</v>
      </c>
      <c r="H88" s="79"/>
      <c r="I88" s="80">
        <v>1</v>
      </c>
      <c r="J88" s="81">
        <v>336</v>
      </c>
      <c r="K88" s="81">
        <f t="shared" si="15"/>
        <v>336</v>
      </c>
      <c r="L88" s="79"/>
      <c r="M88" s="79"/>
      <c r="N88" s="107"/>
    </row>
    <row r="89" spans="1:14" s="28" customFormat="1" ht="15" customHeight="1">
      <c r="A89" s="525"/>
      <c r="B89" s="525"/>
      <c r="C89" s="525"/>
      <c r="D89" s="525"/>
      <c r="E89" s="525"/>
      <c r="F89" s="87"/>
      <c r="G89" s="95" t="s">
        <v>185</v>
      </c>
      <c r="H89" s="79"/>
      <c r="I89" s="96">
        <v>0.2</v>
      </c>
      <c r="J89" s="81">
        <v>490</v>
      </c>
      <c r="K89" s="81">
        <f t="shared" si="15"/>
        <v>98</v>
      </c>
      <c r="L89" s="79"/>
      <c r="M89" s="79"/>
      <c r="N89" s="107"/>
    </row>
    <row r="90" spans="1:14" s="28" customFormat="1" ht="15" customHeight="1">
      <c r="A90" s="120"/>
      <c r="B90" s="120"/>
      <c r="C90" s="120"/>
      <c r="D90" s="120"/>
      <c r="E90" s="255" t="s">
        <v>9</v>
      </c>
      <c r="F90" s="108">
        <f>SUM(F85:F89)</f>
        <v>349.952</v>
      </c>
      <c r="G90" s="255"/>
      <c r="H90" s="255"/>
      <c r="I90" s="80"/>
      <c r="J90" s="81"/>
      <c r="K90" s="103">
        <f>SUM(K85:K89)</f>
        <v>3539.192</v>
      </c>
      <c r="L90" s="103">
        <f>K90/F90</f>
        <v>10.113364118507681</v>
      </c>
      <c r="M90" s="79"/>
      <c r="N90" s="107"/>
    </row>
    <row r="91" spans="1:14" s="28" customFormat="1" ht="15" customHeight="1">
      <c r="A91" s="120">
        <v>8426</v>
      </c>
      <c r="B91" s="525" t="s">
        <v>1049</v>
      </c>
      <c r="C91" s="525" t="s">
        <v>121</v>
      </c>
      <c r="D91" s="525" t="s">
        <v>120</v>
      </c>
      <c r="E91" s="525" t="s">
        <v>931</v>
      </c>
      <c r="F91" s="90">
        <f>125*1.0936</f>
        <v>136.69999999999999</v>
      </c>
      <c r="G91" s="91" t="s">
        <v>196</v>
      </c>
      <c r="H91" s="79"/>
      <c r="I91" s="80">
        <v>0.63</v>
      </c>
      <c r="J91" s="81">
        <v>888</v>
      </c>
      <c r="K91" s="81">
        <f t="shared" ref="K91:K95" si="16">I91*J91</f>
        <v>559.44000000000005</v>
      </c>
      <c r="L91" s="102"/>
      <c r="M91" s="79"/>
      <c r="N91" s="107"/>
    </row>
    <row r="92" spans="1:14" s="28" customFormat="1" ht="15" customHeight="1">
      <c r="A92" s="120"/>
      <c r="B92" s="525"/>
      <c r="C92" s="525"/>
      <c r="D92" s="525"/>
      <c r="E92" s="525"/>
      <c r="F92" s="87"/>
      <c r="G92" s="526" t="s">
        <v>183</v>
      </c>
      <c r="H92" s="79"/>
      <c r="I92" s="80">
        <v>0.63</v>
      </c>
      <c r="J92" s="81">
        <v>1600</v>
      </c>
      <c r="K92" s="81">
        <f t="shared" si="16"/>
        <v>1008</v>
      </c>
      <c r="L92" s="79"/>
      <c r="M92" s="79"/>
      <c r="N92" s="107"/>
    </row>
    <row r="93" spans="1:14" s="28" customFormat="1" ht="15" customHeight="1">
      <c r="A93" s="120"/>
      <c r="B93" s="525"/>
      <c r="C93" s="525"/>
      <c r="D93" s="525"/>
      <c r="E93" s="525"/>
      <c r="F93" s="87"/>
      <c r="G93" s="93" t="s">
        <v>315</v>
      </c>
      <c r="H93" s="79"/>
      <c r="I93" s="80">
        <v>8.9999999999999993E-3</v>
      </c>
      <c r="J93" s="81">
        <v>2184</v>
      </c>
      <c r="K93" s="81">
        <f t="shared" si="16"/>
        <v>19.655999999999999</v>
      </c>
      <c r="L93" s="102"/>
      <c r="M93" s="79"/>
      <c r="N93" s="107"/>
    </row>
    <row r="94" spans="1:14" s="28" customFormat="1" ht="15" customHeight="1">
      <c r="A94" s="120"/>
      <c r="B94" s="525"/>
      <c r="C94" s="525"/>
      <c r="D94" s="525"/>
      <c r="E94" s="525"/>
      <c r="F94" s="87"/>
      <c r="G94" s="525" t="s">
        <v>184</v>
      </c>
      <c r="H94" s="525"/>
      <c r="I94" s="80">
        <v>0.6</v>
      </c>
      <c r="J94" s="81">
        <v>336</v>
      </c>
      <c r="K94" s="94">
        <f t="shared" si="16"/>
        <v>201.6</v>
      </c>
      <c r="L94" s="102"/>
      <c r="M94" s="79"/>
      <c r="N94" s="107"/>
    </row>
    <row r="95" spans="1:14" s="28" customFormat="1" ht="15" customHeight="1">
      <c r="A95" s="120"/>
      <c r="B95" s="525"/>
      <c r="C95" s="525"/>
      <c r="D95" s="525"/>
      <c r="E95" s="525"/>
      <c r="F95" s="87"/>
      <c r="G95" s="95" t="s">
        <v>185</v>
      </c>
      <c r="H95" s="79"/>
      <c r="I95" s="96">
        <v>0.12</v>
      </c>
      <c r="J95" s="81">
        <v>490</v>
      </c>
      <c r="K95" s="81">
        <f t="shared" si="16"/>
        <v>58.8</v>
      </c>
      <c r="L95" s="102"/>
      <c r="M95" s="79"/>
      <c r="N95" s="107"/>
    </row>
    <row r="96" spans="1:14" s="28" customFormat="1" ht="15" customHeight="1">
      <c r="A96" s="120"/>
      <c r="B96" s="120"/>
      <c r="C96" s="120"/>
      <c r="D96" s="120"/>
      <c r="E96" s="255" t="s">
        <v>9</v>
      </c>
      <c r="F96" s="108">
        <f>SUM(F91:F95)</f>
        <v>136.69999999999999</v>
      </c>
      <c r="G96" s="255"/>
      <c r="H96" s="255"/>
      <c r="I96" s="80"/>
      <c r="J96" s="81"/>
      <c r="K96" s="103">
        <f>SUM(K91:K95)</f>
        <v>1847.4959999999999</v>
      </c>
      <c r="L96" s="103">
        <f>K96/F96</f>
        <v>13.514967081199707</v>
      </c>
      <c r="M96" s="79"/>
      <c r="N96" s="107"/>
    </row>
    <row r="97" spans="1:14" s="28" customFormat="1" ht="15" customHeight="1">
      <c r="A97" s="242"/>
      <c r="B97" s="242"/>
      <c r="C97" s="242"/>
      <c r="D97" s="133" t="s">
        <v>30</v>
      </c>
      <c r="E97" s="133"/>
      <c r="F97" s="134">
        <f>F54+F60+F70+F84+F90+F96</f>
        <v>21396.284000000003</v>
      </c>
      <c r="G97" s="135"/>
      <c r="H97" s="135"/>
      <c r="I97" s="135"/>
      <c r="J97" s="135"/>
      <c r="K97" s="134">
        <f>K54+K60+K70+K84+K90+K96</f>
        <v>172570.97900000002</v>
      </c>
      <c r="L97" s="151">
        <f>K97/F97</f>
        <v>8.0654649657856474</v>
      </c>
      <c r="M97" s="137"/>
      <c r="N97" s="107"/>
    </row>
    <row r="98" spans="1:14" s="28" customFormat="1" ht="15" customHeight="1">
      <c r="A98" s="106" t="s">
        <v>40</v>
      </c>
      <c r="B98" s="106"/>
      <c r="C98" s="106"/>
      <c r="D98" s="106"/>
      <c r="E98" s="106"/>
      <c r="F98" s="107"/>
      <c r="G98" s="107"/>
      <c r="H98" s="107"/>
      <c r="I98" s="149"/>
      <c r="J98" s="107"/>
      <c r="K98" s="867" t="s">
        <v>1071</v>
      </c>
      <c r="L98" s="867"/>
      <c r="M98" s="867"/>
      <c r="N98" s="107"/>
    </row>
    <row r="99" spans="1:14" s="28" customFormat="1" ht="15" customHeight="1">
      <c r="A99" s="244" t="s">
        <v>0</v>
      </c>
      <c r="B99" s="244" t="s">
        <v>7</v>
      </c>
      <c r="C99" s="244" t="s">
        <v>13</v>
      </c>
      <c r="D99" s="244" t="s">
        <v>14</v>
      </c>
      <c r="E99" s="244" t="s">
        <v>8</v>
      </c>
      <c r="F99" s="244" t="s">
        <v>1</v>
      </c>
      <c r="G99" s="244" t="s">
        <v>2</v>
      </c>
      <c r="H99" s="244" t="s">
        <v>15</v>
      </c>
      <c r="I99" s="150" t="s">
        <v>3</v>
      </c>
      <c r="J99" s="244" t="s">
        <v>4</v>
      </c>
      <c r="K99" s="244" t="s">
        <v>5</v>
      </c>
      <c r="L99" s="244" t="s">
        <v>12</v>
      </c>
      <c r="M99" s="244" t="s">
        <v>6</v>
      </c>
      <c r="N99" s="246"/>
    </row>
    <row r="100" spans="1:14" s="28" customFormat="1" ht="15" customHeight="1">
      <c r="A100" s="120">
        <v>9929</v>
      </c>
      <c r="B100" s="525" t="s">
        <v>998</v>
      </c>
      <c r="C100" s="525" t="s">
        <v>792</v>
      </c>
      <c r="D100" s="525" t="s">
        <v>999</v>
      </c>
      <c r="E100" s="525" t="s">
        <v>102</v>
      </c>
      <c r="F100" s="90">
        <f>10900*1.0936</f>
        <v>11920.24</v>
      </c>
      <c r="G100" s="120" t="s">
        <v>27</v>
      </c>
      <c r="H100" s="79"/>
      <c r="I100" s="80">
        <f>150+75+5</f>
        <v>230</v>
      </c>
      <c r="J100" s="81">
        <v>22</v>
      </c>
      <c r="K100" s="81">
        <f t="shared" ref="K100:K102" si="17">I100*J100</f>
        <v>5060</v>
      </c>
      <c r="L100" s="120"/>
      <c r="M100" s="120"/>
      <c r="N100" s="197"/>
    </row>
    <row r="101" spans="1:14" s="28" customFormat="1" ht="15" customHeight="1">
      <c r="A101" s="120"/>
      <c r="B101" s="120"/>
      <c r="C101" s="120"/>
      <c r="D101" s="120"/>
      <c r="E101" s="120"/>
      <c r="F101" s="87"/>
      <c r="G101" s="83" t="s">
        <v>49</v>
      </c>
      <c r="H101" s="79"/>
      <c r="I101" s="80">
        <f>20+10+2</f>
        <v>32</v>
      </c>
      <c r="J101" s="81">
        <v>34</v>
      </c>
      <c r="K101" s="81">
        <f t="shared" si="17"/>
        <v>1088</v>
      </c>
      <c r="L101" s="120"/>
      <c r="M101" s="120"/>
      <c r="N101" s="197"/>
    </row>
    <row r="102" spans="1:14" s="28" customFormat="1" ht="15" customHeight="1">
      <c r="A102" s="120"/>
      <c r="B102" s="120"/>
      <c r="C102" s="120"/>
      <c r="D102" s="120"/>
      <c r="E102" s="120"/>
      <c r="F102" s="120"/>
      <c r="G102" s="120" t="s">
        <v>19</v>
      </c>
      <c r="H102" s="79"/>
      <c r="I102" s="80">
        <f>6+3+0.5</f>
        <v>9.5</v>
      </c>
      <c r="J102" s="81">
        <v>80</v>
      </c>
      <c r="K102" s="81">
        <f t="shared" si="17"/>
        <v>760</v>
      </c>
      <c r="L102" s="120"/>
      <c r="M102" s="120"/>
      <c r="N102" s="197"/>
    </row>
    <row r="103" spans="1:14" s="28" customFormat="1" ht="15" customHeight="1">
      <c r="A103" s="120"/>
      <c r="B103" s="120"/>
      <c r="C103" s="120"/>
      <c r="D103" s="120"/>
      <c r="E103" s="244" t="s">
        <v>9</v>
      </c>
      <c r="F103" s="108">
        <f>SUM(F100:F102)</f>
        <v>11920.24</v>
      </c>
      <c r="G103" s="244"/>
      <c r="H103" s="244"/>
      <c r="I103" s="80"/>
      <c r="J103" s="81"/>
      <c r="K103" s="103">
        <f>SUM(K100:K102)</f>
        <v>6908</v>
      </c>
      <c r="L103" s="103">
        <f>K103/F103</f>
        <v>0.57951853318389568</v>
      </c>
      <c r="M103" s="79"/>
      <c r="N103" s="107"/>
    </row>
    <row r="104" spans="1:14" s="28" customFormat="1" ht="15" customHeight="1">
      <c r="A104" s="120">
        <v>9948</v>
      </c>
      <c r="B104" s="525" t="s">
        <v>1049</v>
      </c>
      <c r="C104" s="525" t="s">
        <v>121</v>
      </c>
      <c r="D104" s="525" t="s">
        <v>120</v>
      </c>
      <c r="E104" s="525" t="s">
        <v>931</v>
      </c>
      <c r="F104" s="90">
        <f>1520*1.0936</f>
        <v>1662.2719999999999</v>
      </c>
      <c r="G104" s="120" t="s">
        <v>27</v>
      </c>
      <c r="H104" s="79"/>
      <c r="I104" s="80">
        <v>75</v>
      </c>
      <c r="J104" s="81">
        <v>22</v>
      </c>
      <c r="K104" s="81">
        <f t="shared" ref="K104:K106" si="18">I104*J104</f>
        <v>1650</v>
      </c>
      <c r="L104" s="120"/>
      <c r="M104" s="120"/>
      <c r="N104" s="197"/>
    </row>
    <row r="105" spans="1:14" s="28" customFormat="1" ht="15" customHeight="1">
      <c r="A105" s="120"/>
      <c r="B105" s="120"/>
      <c r="C105" s="120"/>
      <c r="D105" s="120"/>
      <c r="E105" s="120"/>
      <c r="F105" s="90"/>
      <c r="G105" s="83" t="s">
        <v>49</v>
      </c>
      <c r="H105" s="79"/>
      <c r="I105" s="80">
        <v>6</v>
      </c>
      <c r="J105" s="81">
        <v>34</v>
      </c>
      <c r="K105" s="81">
        <f t="shared" si="18"/>
        <v>204</v>
      </c>
      <c r="L105" s="120"/>
      <c r="M105" s="120"/>
      <c r="N105" s="197"/>
    </row>
    <row r="106" spans="1:14" s="28" customFormat="1" ht="15" customHeight="1">
      <c r="A106" s="120"/>
      <c r="B106" s="120"/>
      <c r="C106" s="120"/>
      <c r="D106" s="120"/>
      <c r="E106" s="120"/>
      <c r="F106" s="120"/>
      <c r="G106" s="120" t="s">
        <v>19</v>
      </c>
      <c r="H106" s="79"/>
      <c r="I106" s="80">
        <v>1.8</v>
      </c>
      <c r="J106" s="81">
        <v>80</v>
      </c>
      <c r="K106" s="81">
        <f t="shared" si="18"/>
        <v>144</v>
      </c>
      <c r="L106" s="120"/>
      <c r="M106" s="120"/>
      <c r="N106" s="197"/>
    </row>
    <row r="107" spans="1:14" s="28" customFormat="1" ht="15" customHeight="1">
      <c r="A107" s="120"/>
      <c r="B107" s="120"/>
      <c r="C107" s="120"/>
      <c r="D107" s="120"/>
      <c r="E107" s="244" t="s">
        <v>9</v>
      </c>
      <c r="F107" s="108">
        <f>SUM(F104:F106)</f>
        <v>1662.2719999999999</v>
      </c>
      <c r="G107" s="244"/>
      <c r="H107" s="244"/>
      <c r="I107" s="80"/>
      <c r="J107" s="81"/>
      <c r="K107" s="103">
        <f>SUM(K104:K106)</f>
        <v>1998</v>
      </c>
      <c r="L107" s="103">
        <f>K107/F107</f>
        <v>1.2019693527894353</v>
      </c>
      <c r="M107" s="79"/>
      <c r="N107" s="107"/>
    </row>
    <row r="108" spans="1:14" s="28" customFormat="1" ht="15" customHeight="1">
      <c r="A108" s="242"/>
      <c r="B108" s="242"/>
      <c r="C108" s="242"/>
      <c r="D108" s="133" t="s">
        <v>30</v>
      </c>
      <c r="E108" s="186"/>
      <c r="F108" s="134">
        <f>F103+F107</f>
        <v>13582.511999999999</v>
      </c>
      <c r="G108" s="135"/>
      <c r="H108" s="135"/>
      <c r="I108" s="135"/>
      <c r="J108" s="135"/>
      <c r="K108" s="134">
        <f>K103+K107</f>
        <v>8906</v>
      </c>
      <c r="L108" s="151">
        <f>K108/F108</f>
        <v>0.65569608920647382</v>
      </c>
      <c r="M108" s="137"/>
      <c r="N108" s="107"/>
    </row>
    <row r="109" spans="1:14" s="28" customFormat="1" ht="15" customHeight="1">
      <c r="A109" s="29" t="s">
        <v>11</v>
      </c>
      <c r="B109" s="29"/>
      <c r="C109" s="29"/>
      <c r="D109" s="29"/>
      <c r="E109" s="29"/>
      <c r="K109" s="867" t="s">
        <v>1071</v>
      </c>
      <c r="L109" s="867"/>
      <c r="M109" s="867"/>
    </row>
    <row r="110" spans="1:14" s="28" customFormat="1" ht="15" customHeight="1">
      <c r="A110" s="37" t="s">
        <v>0</v>
      </c>
      <c r="B110" s="37" t="s">
        <v>7</v>
      </c>
      <c r="C110" s="37" t="s">
        <v>13</v>
      </c>
      <c r="D110" s="37" t="s">
        <v>14</v>
      </c>
      <c r="E110" s="37" t="s">
        <v>8</v>
      </c>
      <c r="F110" s="37" t="s">
        <v>1</v>
      </c>
      <c r="G110" s="37" t="s">
        <v>2</v>
      </c>
      <c r="H110" s="37" t="s">
        <v>15</v>
      </c>
      <c r="I110" s="37" t="s">
        <v>3</v>
      </c>
      <c r="J110" s="37" t="s">
        <v>4</v>
      </c>
      <c r="K110" s="37" t="s">
        <v>5</v>
      </c>
      <c r="L110" s="37" t="s">
        <v>12</v>
      </c>
      <c r="M110" s="37" t="s">
        <v>6</v>
      </c>
      <c r="N110" s="30"/>
    </row>
    <row r="111" spans="1:14" s="28" customFormat="1" ht="15" customHeight="1">
      <c r="A111" s="25">
        <v>9743</v>
      </c>
      <c r="B111" s="525" t="s">
        <v>996</v>
      </c>
      <c r="C111" s="89" t="s">
        <v>766</v>
      </c>
      <c r="D111" s="89" t="s">
        <v>465</v>
      </c>
      <c r="E111" s="525" t="s">
        <v>310</v>
      </c>
      <c r="F111" s="99">
        <f>3300*1.0936</f>
        <v>3608.8799999999997</v>
      </c>
      <c r="G111" s="526" t="s">
        <v>587</v>
      </c>
      <c r="H111" s="79"/>
      <c r="I111" s="81">
        <v>7</v>
      </c>
      <c r="J111" s="81">
        <v>456</v>
      </c>
      <c r="K111" s="94">
        <f t="shared" ref="K111:K112" si="19">I111*J111</f>
        <v>3192</v>
      </c>
      <c r="L111" s="36"/>
      <c r="M111" s="36"/>
    </row>
    <row r="112" spans="1:14" s="28" customFormat="1" ht="15" customHeight="1">
      <c r="A112" s="25"/>
      <c r="B112" s="120"/>
      <c r="C112" s="120"/>
      <c r="D112" s="120"/>
      <c r="E112" s="120"/>
      <c r="F112" s="108"/>
      <c r="G112" s="95" t="s">
        <v>832</v>
      </c>
      <c r="H112" s="79"/>
      <c r="I112" s="81">
        <f>0.7+0.25+0.19</f>
        <v>1.1399999999999999</v>
      </c>
      <c r="J112" s="81">
        <v>790</v>
      </c>
      <c r="K112" s="81">
        <f t="shared" si="19"/>
        <v>900.59999999999991</v>
      </c>
      <c r="L112" s="36"/>
      <c r="M112" s="36"/>
    </row>
    <row r="113" spans="1:14" s="28" customFormat="1" ht="15" customHeight="1">
      <c r="A113" s="25"/>
      <c r="B113" s="25"/>
      <c r="C113" s="25"/>
      <c r="D113" s="25"/>
      <c r="E113" s="37" t="s">
        <v>9</v>
      </c>
      <c r="F113" s="41">
        <f>SUM(F111:F112)</f>
        <v>3608.8799999999997</v>
      </c>
      <c r="G113" s="37"/>
      <c r="H113" s="37"/>
      <c r="I113" s="40"/>
      <c r="J113" s="40"/>
      <c r="K113" s="42">
        <f>SUM(K111:K112)</f>
        <v>4092.6</v>
      </c>
      <c r="L113" s="42">
        <f>K113/F113</f>
        <v>1.1340360444237547</v>
      </c>
      <c r="M113" s="36"/>
    </row>
    <row r="114" spans="1:14" s="28" customFormat="1" ht="15" customHeight="1">
      <c r="A114" s="25">
        <v>8137</v>
      </c>
      <c r="B114" s="525" t="s">
        <v>269</v>
      </c>
      <c r="C114" s="120"/>
      <c r="D114" s="120"/>
      <c r="E114" s="120"/>
      <c r="F114" s="99">
        <f>100*1.0936</f>
        <v>109.35999999999999</v>
      </c>
      <c r="G114" s="95" t="s">
        <v>1074</v>
      </c>
      <c r="H114" s="79"/>
      <c r="I114" s="80">
        <v>3</v>
      </c>
      <c r="J114" s="81">
        <v>151</v>
      </c>
      <c r="K114" s="81">
        <f t="shared" ref="K114" si="20">I114*J114</f>
        <v>453</v>
      </c>
      <c r="L114" s="79"/>
      <c r="M114" s="36"/>
    </row>
    <row r="115" spans="1:14" s="28" customFormat="1" ht="15" customHeight="1">
      <c r="A115" s="25"/>
      <c r="B115" s="527"/>
      <c r="C115" s="527"/>
      <c r="D115" s="527"/>
      <c r="E115" s="37" t="s">
        <v>9</v>
      </c>
      <c r="F115" s="41">
        <f>SUM(F114:F114)</f>
        <v>109.35999999999999</v>
      </c>
      <c r="G115" s="37"/>
      <c r="H115" s="37"/>
      <c r="I115" s="40"/>
      <c r="J115" s="40"/>
      <c r="K115" s="42">
        <f>SUM(K114:K114)</f>
        <v>453</v>
      </c>
      <c r="L115" s="42">
        <f>K115/F115</f>
        <v>4.1422823701536213</v>
      </c>
      <c r="M115" s="36"/>
    </row>
    <row r="116" spans="1:14" s="28" customFormat="1" ht="15" customHeight="1">
      <c r="A116" s="25">
        <v>9741</v>
      </c>
      <c r="B116" s="525" t="s">
        <v>991</v>
      </c>
      <c r="C116" s="525" t="s">
        <v>992</v>
      </c>
      <c r="D116" s="525" t="s">
        <v>993</v>
      </c>
      <c r="E116" s="525" t="s">
        <v>994</v>
      </c>
      <c r="F116" s="99">
        <f>1000*1.0936</f>
        <v>1093.5999999999999</v>
      </c>
      <c r="G116" s="526" t="s">
        <v>698</v>
      </c>
      <c r="H116" s="79"/>
      <c r="I116" s="188">
        <v>1.5</v>
      </c>
      <c r="J116" s="81">
        <v>152</v>
      </c>
      <c r="K116" s="81">
        <f t="shared" ref="K116" si="21">I116*J116</f>
        <v>228</v>
      </c>
      <c r="L116" s="36"/>
      <c r="M116" s="36"/>
    </row>
    <row r="117" spans="1:14" s="28" customFormat="1" ht="15" customHeight="1">
      <c r="A117" s="25"/>
      <c r="B117" s="25"/>
      <c r="C117" s="25"/>
      <c r="D117" s="25"/>
      <c r="E117" s="37" t="s">
        <v>9</v>
      </c>
      <c r="F117" s="41">
        <f>SUM(F116)</f>
        <v>1093.5999999999999</v>
      </c>
      <c r="G117" s="37"/>
      <c r="H117" s="37"/>
      <c r="I117" s="40"/>
      <c r="J117" s="40"/>
      <c r="K117" s="42">
        <f>SUM(K116)</f>
        <v>228</v>
      </c>
      <c r="L117" s="42">
        <f>K117/F117</f>
        <v>0.20848573518653987</v>
      </c>
      <c r="M117" s="36"/>
    </row>
    <row r="118" spans="1:14" ht="15" customHeight="1">
      <c r="A118" s="28"/>
      <c r="B118" s="28"/>
      <c r="C118" s="28"/>
      <c r="D118" s="43" t="s">
        <v>30</v>
      </c>
      <c r="E118" s="43"/>
      <c r="F118" s="45">
        <f>F113+F115+F117</f>
        <v>4811.84</v>
      </c>
      <c r="G118" s="46"/>
      <c r="H118" s="46"/>
      <c r="I118" s="46"/>
      <c r="J118" s="46"/>
      <c r="K118" s="45">
        <f>K113+K115+K117</f>
        <v>4773.6000000000004</v>
      </c>
      <c r="L118" s="61">
        <f>K118/F118</f>
        <v>0.99205293609097567</v>
      </c>
      <c r="M118" s="28"/>
      <c r="N118" s="28"/>
    </row>
    <row r="119" spans="1:14" s="71" customFormat="1" ht="15" customHeight="1">
      <c r="A119" s="70" t="s">
        <v>42</v>
      </c>
      <c r="B119" s="106"/>
      <c r="C119" s="106"/>
      <c r="D119" s="106"/>
      <c r="E119" s="106"/>
      <c r="F119" s="107"/>
      <c r="G119" s="107"/>
      <c r="H119" s="107"/>
      <c r="I119" s="107"/>
      <c r="J119" s="107"/>
      <c r="K119" s="867" t="s">
        <v>1071</v>
      </c>
      <c r="L119" s="867"/>
      <c r="M119" s="867"/>
      <c r="N119" s="107"/>
    </row>
    <row r="120" spans="1:14" s="71" customFormat="1" ht="15" customHeight="1">
      <c r="A120" s="603" t="s">
        <v>0</v>
      </c>
      <c r="B120" s="603" t="s">
        <v>7</v>
      </c>
      <c r="C120" s="603" t="s">
        <v>13</v>
      </c>
      <c r="D120" s="603" t="s">
        <v>14</v>
      </c>
      <c r="E120" s="603" t="s">
        <v>8</v>
      </c>
      <c r="F120" s="603" t="s">
        <v>1</v>
      </c>
      <c r="G120" s="603" t="s">
        <v>2</v>
      </c>
      <c r="H120" s="603" t="s">
        <v>15</v>
      </c>
      <c r="I120" s="603" t="s">
        <v>3</v>
      </c>
      <c r="J120" s="603" t="s">
        <v>4</v>
      </c>
      <c r="K120" s="603" t="s">
        <v>5</v>
      </c>
      <c r="L120" s="603" t="s">
        <v>12</v>
      </c>
      <c r="M120" s="603" t="s">
        <v>6</v>
      </c>
      <c r="N120" s="246"/>
    </row>
    <row r="121" spans="1:14" s="71" customFormat="1" ht="15" customHeight="1">
      <c r="A121" s="594">
        <v>5224</v>
      </c>
      <c r="B121" s="594" t="s">
        <v>238</v>
      </c>
      <c r="C121" s="594" t="s">
        <v>121</v>
      </c>
      <c r="D121" s="594" t="s">
        <v>246</v>
      </c>
      <c r="E121" s="594" t="s">
        <v>93</v>
      </c>
      <c r="F121" s="87"/>
      <c r="G121" s="602" t="s">
        <v>209</v>
      </c>
      <c r="H121" s="79"/>
      <c r="I121" s="80"/>
      <c r="J121" s="81">
        <v>350</v>
      </c>
      <c r="K121" s="81">
        <f t="shared" ref="K121:K124" si="22">I121*J121</f>
        <v>0</v>
      </c>
      <c r="L121" s="112"/>
      <c r="M121" s="178" t="s">
        <v>95</v>
      </c>
      <c r="N121" s="107"/>
    </row>
    <row r="122" spans="1:14" s="71" customFormat="1" ht="15" customHeight="1">
      <c r="A122" s="594"/>
      <c r="B122" s="594"/>
      <c r="C122" s="594"/>
      <c r="D122" s="594"/>
      <c r="E122" s="594"/>
      <c r="F122" s="87"/>
      <c r="G122" s="602" t="s">
        <v>215</v>
      </c>
      <c r="H122" s="109"/>
      <c r="I122" s="80"/>
      <c r="J122" s="81">
        <v>750</v>
      </c>
      <c r="K122" s="81">
        <f t="shared" si="22"/>
        <v>0</v>
      </c>
      <c r="L122" s="79"/>
      <c r="M122" s="79"/>
      <c r="N122" s="107"/>
    </row>
    <row r="123" spans="1:14" s="71" customFormat="1" ht="15" customHeight="1">
      <c r="A123" s="594"/>
      <c r="B123" s="594"/>
      <c r="C123" s="594"/>
      <c r="D123" s="594"/>
      <c r="E123" s="594"/>
      <c r="F123" s="87"/>
      <c r="G123" s="602" t="s">
        <v>210</v>
      </c>
      <c r="H123" s="109"/>
      <c r="I123" s="80"/>
      <c r="J123" s="81">
        <v>890</v>
      </c>
      <c r="K123" s="81">
        <f t="shared" si="22"/>
        <v>0</v>
      </c>
      <c r="L123" s="79"/>
      <c r="M123" s="79"/>
      <c r="N123" s="107"/>
    </row>
    <row r="124" spans="1:14" s="71" customFormat="1" ht="15" customHeight="1">
      <c r="A124" s="594"/>
      <c r="B124" s="594"/>
      <c r="C124" s="594"/>
      <c r="D124" s="594"/>
      <c r="E124" s="594"/>
      <c r="F124" s="87"/>
      <c r="G124" s="602" t="s">
        <v>272</v>
      </c>
      <c r="H124" s="109"/>
      <c r="I124" s="80"/>
      <c r="J124" s="81">
        <v>700</v>
      </c>
      <c r="K124" s="81">
        <f t="shared" si="22"/>
        <v>0</v>
      </c>
      <c r="L124" s="79"/>
      <c r="M124" s="79"/>
      <c r="N124" s="107"/>
    </row>
    <row r="125" spans="1:14" s="71" customFormat="1" ht="15" customHeight="1">
      <c r="A125" s="594"/>
      <c r="B125" s="594"/>
      <c r="C125" s="594"/>
      <c r="D125" s="594"/>
      <c r="E125" s="594"/>
      <c r="F125" s="87"/>
      <c r="G125" s="598" t="s">
        <v>211</v>
      </c>
      <c r="H125" s="79"/>
      <c r="I125" s="80"/>
      <c r="J125" s="81">
        <v>120</v>
      </c>
      <c r="K125" s="81">
        <f>I125*J125</f>
        <v>0</v>
      </c>
      <c r="L125" s="79"/>
      <c r="M125" s="79"/>
      <c r="N125" s="107"/>
    </row>
    <row r="126" spans="1:14" s="71" customFormat="1" ht="15" customHeight="1">
      <c r="A126" s="594"/>
      <c r="B126" s="594"/>
      <c r="C126" s="594"/>
      <c r="D126" s="594"/>
      <c r="E126" s="594"/>
      <c r="F126" s="87"/>
      <c r="G126" s="598" t="s">
        <v>212</v>
      </c>
      <c r="H126" s="79"/>
      <c r="I126" s="80"/>
      <c r="J126" s="81">
        <v>280</v>
      </c>
      <c r="K126" s="81">
        <f t="shared" ref="K126:K129" si="23">I126*J126</f>
        <v>0</v>
      </c>
      <c r="L126" s="79"/>
      <c r="M126" s="79"/>
      <c r="N126" s="107"/>
    </row>
    <row r="127" spans="1:14" s="71" customFormat="1" ht="15" customHeight="1">
      <c r="A127" s="594"/>
      <c r="B127" s="594"/>
      <c r="C127" s="594"/>
      <c r="D127" s="594"/>
      <c r="E127" s="594"/>
      <c r="F127" s="87"/>
      <c r="G127" s="598" t="s">
        <v>213</v>
      </c>
      <c r="H127" s="79"/>
      <c r="I127" s="80"/>
      <c r="J127" s="81">
        <v>348</v>
      </c>
      <c r="K127" s="81">
        <f t="shared" si="23"/>
        <v>0</v>
      </c>
      <c r="L127" s="79"/>
      <c r="M127" s="79"/>
      <c r="N127" s="107"/>
    </row>
    <row r="128" spans="1:14" s="71" customFormat="1" ht="15" customHeight="1">
      <c r="A128" s="594"/>
      <c r="B128" s="594"/>
      <c r="C128" s="594"/>
      <c r="D128" s="594"/>
      <c r="E128" s="594"/>
      <c r="F128" s="87"/>
      <c r="G128" s="598" t="s">
        <v>45</v>
      </c>
      <c r="H128" s="79"/>
      <c r="I128" s="80"/>
      <c r="J128" s="81">
        <v>45</v>
      </c>
      <c r="K128" s="81">
        <f t="shared" si="23"/>
        <v>0</v>
      </c>
      <c r="L128" s="79"/>
      <c r="M128" s="79"/>
      <c r="N128" s="107"/>
    </row>
    <row r="129" spans="1:14" s="71" customFormat="1" ht="15" customHeight="1">
      <c r="A129" s="594"/>
      <c r="B129" s="594"/>
      <c r="C129" s="594"/>
      <c r="D129" s="594"/>
      <c r="E129" s="594"/>
      <c r="F129" s="87"/>
      <c r="G129" s="598" t="s">
        <v>214</v>
      </c>
      <c r="H129" s="79"/>
      <c r="I129" s="80"/>
      <c r="J129" s="81">
        <v>360</v>
      </c>
      <c r="K129" s="81">
        <f t="shared" si="23"/>
        <v>0</v>
      </c>
      <c r="L129" s="79"/>
      <c r="M129" s="79"/>
      <c r="N129" s="107"/>
    </row>
    <row r="130" spans="1:14" s="71" customFormat="1" ht="15" customHeight="1">
      <c r="A130" s="594"/>
      <c r="B130" s="594"/>
      <c r="C130" s="594"/>
      <c r="D130" s="594"/>
      <c r="E130" s="603" t="s">
        <v>9</v>
      </c>
      <c r="F130" s="108">
        <f>SUM(F121:F129)</f>
        <v>0</v>
      </c>
      <c r="G130" s="603"/>
      <c r="H130" s="603"/>
      <c r="I130" s="81"/>
      <c r="J130" s="81"/>
      <c r="K130" s="103">
        <f>SUM(K121:K129)</f>
        <v>0</v>
      </c>
      <c r="L130" s="158" t="e">
        <f>K130/F130</f>
        <v>#DIV/0!</v>
      </c>
      <c r="M130" s="178" t="s">
        <v>249</v>
      </c>
      <c r="N130" s="107"/>
    </row>
    <row r="131" spans="1:14" s="71" customFormat="1" ht="15" customHeight="1">
      <c r="A131" s="107"/>
      <c r="B131" s="107"/>
      <c r="C131" s="107"/>
      <c r="D131" s="133" t="s">
        <v>30</v>
      </c>
      <c r="E131" s="133"/>
      <c r="F131" s="134">
        <f>F130</f>
        <v>0</v>
      </c>
      <c r="G131" s="135"/>
      <c r="H131" s="135"/>
      <c r="I131" s="135"/>
      <c r="J131" s="135"/>
      <c r="K131" s="134">
        <f>K130</f>
        <v>0</v>
      </c>
      <c r="L131" s="151" t="e">
        <f>K131/F131</f>
        <v>#DIV/0!</v>
      </c>
      <c r="M131" s="107"/>
      <c r="N131" s="107"/>
    </row>
    <row r="132" spans="1:14" s="71" customFormat="1" ht="15" customHeight="1"/>
    <row r="133" spans="1:14" ht="15" customHeight="1"/>
    <row r="134" spans="1:14" ht="15" customHeight="1">
      <c r="B134" s="28"/>
      <c r="C134" s="28"/>
      <c r="D134" s="133" t="s">
        <v>1009</v>
      </c>
      <c r="E134" s="405">
        <f>F97</f>
        <v>21396.284000000003</v>
      </c>
      <c r="F134" s="133"/>
      <c r="G134" s="134">
        <f>K14+K29+K41+K46+K97+K108+K118+K131</f>
        <v>256464.72900000002</v>
      </c>
      <c r="H134" s="135"/>
      <c r="I134" s="135"/>
      <c r="J134" s="135"/>
      <c r="K134" s="135"/>
      <c r="L134" s="134">
        <f>G134/E134</f>
        <v>11.986414510108389</v>
      </c>
    </row>
    <row r="135" spans="1:14" ht="15" customHeight="1">
      <c r="B135" s="28"/>
      <c r="C135" s="28"/>
      <c r="D135" s="109" t="s">
        <v>855</v>
      </c>
      <c r="E135" s="406"/>
      <c r="F135" s="109"/>
      <c r="G135" s="359">
        <f>K49+K50+K51+K55+K56+K57+K61+K62+K65+K71+K72+K73+K85+K86+K87+K91+K92+K93+K74+K75+K76+K66+K67+K63+K64+K77+K78+K79+K80</f>
        <v>155566.37900000002</v>
      </c>
      <c r="H135" s="370"/>
      <c r="I135" s="359">
        <f>'11'!I243+'12'!G135</f>
        <v>882445.85500000021</v>
      </c>
      <c r="J135" s="416">
        <f>G135+M148</f>
        <v>155994.53900000002</v>
      </c>
      <c r="K135" s="360"/>
      <c r="L135" s="396"/>
    </row>
    <row r="136" spans="1:14" ht="15" customHeight="1">
      <c r="B136" s="28"/>
      <c r="C136" s="28"/>
      <c r="D136" s="323" t="s">
        <v>854</v>
      </c>
      <c r="E136" s="361"/>
      <c r="F136" s="323"/>
      <c r="G136" s="397">
        <f>G134-G135</f>
        <v>100898.35</v>
      </c>
      <c r="H136" s="398"/>
      <c r="I136" s="359">
        <f>'11'!I244+'12'!G136</f>
        <v>2140306.361</v>
      </c>
      <c r="J136" s="400"/>
      <c r="K136" s="400"/>
      <c r="L136" s="401"/>
    </row>
    <row r="137" spans="1:14" ht="15" customHeight="1">
      <c r="B137" s="28"/>
      <c r="C137" s="28"/>
      <c r="D137" s="109" t="s">
        <v>853</v>
      </c>
      <c r="E137" s="407"/>
      <c r="F137" s="109"/>
      <c r="G137" s="410">
        <f>SUM(G135:G136)</f>
        <v>256464.72900000002</v>
      </c>
      <c r="H137" s="402"/>
      <c r="I137" s="403"/>
      <c r="J137" s="402"/>
      <c r="K137" s="402"/>
      <c r="L137" s="404">
        <f>G137/E134</f>
        <v>11.986414510108389</v>
      </c>
    </row>
    <row r="138" spans="1:14" ht="15" customHeight="1">
      <c r="B138" s="28"/>
      <c r="C138" s="28"/>
      <c r="D138" s="395" t="s">
        <v>906</v>
      </c>
      <c r="E138" s="408"/>
      <c r="F138" s="109"/>
      <c r="G138" s="409">
        <f>M148</f>
        <v>428.15999999999997</v>
      </c>
      <c r="H138" s="392"/>
      <c r="I138" s="391"/>
      <c r="J138" s="391"/>
      <c r="K138" s="393"/>
    </row>
    <row r="139" spans="1:14" ht="15" customHeight="1">
      <c r="B139" s="28"/>
      <c r="C139" s="28"/>
      <c r="D139" s="29"/>
      <c r="E139" s="29"/>
      <c r="F139" s="29"/>
      <c r="G139" s="29"/>
      <c r="H139" s="30"/>
      <c r="I139" s="29"/>
      <c r="J139" s="29"/>
      <c r="K139" s="29"/>
      <c r="L139" s="29"/>
    </row>
    <row r="140" spans="1:14" ht="15" customHeight="1">
      <c r="B140" s="28"/>
      <c r="C140" s="28"/>
      <c r="D140" s="829" t="s">
        <v>852</v>
      </c>
      <c r="E140" s="829"/>
      <c r="F140" s="357">
        <f>G154</f>
        <v>114920</v>
      </c>
      <c r="G140" s="29"/>
      <c r="H140" s="500" t="s">
        <v>908</v>
      </c>
      <c r="I140" s="830" t="s">
        <v>196</v>
      </c>
      <c r="J140" s="831"/>
      <c r="K140" s="80">
        <v>4.8000000000000001E-2</v>
      </c>
      <c r="L140" s="81">
        <v>888</v>
      </c>
      <c r="M140" s="81">
        <f t="shared" ref="M140:M142" si="24">K140*L140</f>
        <v>42.624000000000002</v>
      </c>
    </row>
    <row r="141" spans="1:14" ht="15" customHeight="1">
      <c r="B141" s="28"/>
      <c r="C141" s="28"/>
      <c r="D141" s="829" t="s">
        <v>835</v>
      </c>
      <c r="E141" s="829"/>
      <c r="F141" s="357">
        <f>G146+G147</f>
        <v>0</v>
      </c>
      <c r="G141" s="29"/>
      <c r="H141" s="500" t="s">
        <v>909</v>
      </c>
      <c r="I141" s="830" t="s">
        <v>192</v>
      </c>
      <c r="J141" s="831"/>
      <c r="K141" s="80">
        <v>3.5999999999999997E-2</v>
      </c>
      <c r="L141" s="81">
        <v>1126</v>
      </c>
      <c r="M141" s="81">
        <f t="shared" si="24"/>
        <v>40.535999999999994</v>
      </c>
    </row>
    <row r="142" spans="1:14" ht="15" customHeight="1">
      <c r="B142" s="28"/>
      <c r="C142" s="28"/>
      <c r="D142" s="829" t="s">
        <v>836</v>
      </c>
      <c r="E142" s="829"/>
      <c r="F142" s="357">
        <f>SUM(F140:F141)</f>
        <v>114920</v>
      </c>
      <c r="G142" s="29"/>
      <c r="H142" s="500" t="s">
        <v>910</v>
      </c>
      <c r="I142" s="830" t="s">
        <v>193</v>
      </c>
      <c r="J142" s="831"/>
      <c r="K142" s="80">
        <v>0.3</v>
      </c>
      <c r="L142" s="81">
        <v>1150</v>
      </c>
      <c r="M142" s="81">
        <f t="shared" si="24"/>
        <v>345</v>
      </c>
    </row>
    <row r="143" spans="1:14" ht="15" customHeight="1">
      <c r="B143" s="28"/>
      <c r="C143" s="28"/>
      <c r="D143" s="368" t="s">
        <v>847</v>
      </c>
      <c r="E143" s="368"/>
      <c r="F143" s="357">
        <f>F140-G136</f>
        <v>14021.649999999994</v>
      </c>
      <c r="G143" s="29"/>
      <c r="H143" s="500" t="s">
        <v>908</v>
      </c>
      <c r="I143" s="832"/>
      <c r="J143" s="833"/>
      <c r="K143" s="80"/>
      <c r="L143" s="81"/>
      <c r="M143" s="81">
        <f t="shared" ref="M143:M145" si="25">K143*L143</f>
        <v>0</v>
      </c>
    </row>
    <row r="144" spans="1:14" ht="15" customHeight="1">
      <c r="B144" s="28"/>
      <c r="C144" s="28"/>
      <c r="D144" s="29"/>
      <c r="E144" s="29"/>
      <c r="F144" s="29"/>
      <c r="G144" s="29"/>
      <c r="H144" s="500" t="s">
        <v>912</v>
      </c>
      <c r="I144" s="834"/>
      <c r="J144" s="835"/>
      <c r="K144" s="80"/>
      <c r="L144" s="81"/>
      <c r="M144" s="81">
        <f t="shared" si="25"/>
        <v>0</v>
      </c>
    </row>
    <row r="145" spans="1:13" ht="15" customHeight="1">
      <c r="B145" s="836" t="s">
        <v>833</v>
      </c>
      <c r="C145" s="837"/>
      <c r="D145" s="273" t="s">
        <v>844</v>
      </c>
      <c r="E145" s="273" t="s">
        <v>845</v>
      </c>
      <c r="F145" s="273" t="s">
        <v>846</v>
      </c>
      <c r="G145" s="273" t="s">
        <v>5</v>
      </c>
      <c r="H145" s="500" t="s">
        <v>911</v>
      </c>
      <c r="I145" s="830"/>
      <c r="J145" s="831"/>
      <c r="K145" s="80"/>
      <c r="L145" s="81"/>
      <c r="M145" s="81">
        <f t="shared" si="25"/>
        <v>0</v>
      </c>
    </row>
    <row r="146" spans="1:13" ht="15" customHeight="1">
      <c r="B146" s="28"/>
      <c r="C146" s="28"/>
      <c r="D146" s="273" t="s">
        <v>837</v>
      </c>
      <c r="E146" s="109">
        <v>15.5</v>
      </c>
      <c r="F146" s="332"/>
      <c r="G146" s="329">
        <f>F146*E146</f>
        <v>0</v>
      </c>
      <c r="H146" s="500" t="s">
        <v>909</v>
      </c>
      <c r="I146" s="838"/>
      <c r="J146" s="839"/>
      <c r="K146" s="2"/>
      <c r="L146" s="2"/>
      <c r="M146" s="388"/>
    </row>
    <row r="147" spans="1:13" ht="15" customHeight="1">
      <c r="B147" s="28"/>
      <c r="C147" s="28"/>
      <c r="D147" s="273" t="s">
        <v>1062</v>
      </c>
      <c r="E147" s="109">
        <v>34</v>
      </c>
      <c r="F147" s="332"/>
      <c r="G147" s="329">
        <f t="shared" ref="G147:G153" si="26">F147*E147</f>
        <v>0</v>
      </c>
      <c r="H147" s="500" t="s">
        <v>911</v>
      </c>
      <c r="I147" s="841"/>
      <c r="J147" s="842"/>
      <c r="K147" s="394"/>
      <c r="L147" s="394"/>
      <c r="M147" s="2"/>
    </row>
    <row r="148" spans="1:13" ht="15" customHeight="1">
      <c r="A148" s="68"/>
      <c r="B148" s="29"/>
      <c r="C148" s="29"/>
      <c r="D148" s="322" t="s">
        <v>843</v>
      </c>
      <c r="E148" s="317"/>
      <c r="F148" s="321">
        <f>SUM(F146:F147)</f>
        <v>0</v>
      </c>
      <c r="G148" s="320">
        <f>SUM(G146:G147)</f>
        <v>0</v>
      </c>
      <c r="H148" s="29"/>
      <c r="I148" s="844" t="s">
        <v>906</v>
      </c>
      <c r="J148" s="845"/>
      <c r="K148" s="490">
        <f>SUM(K140:K147)</f>
        <v>0.38400000000000001</v>
      </c>
      <c r="L148" s="491"/>
      <c r="M148" s="489">
        <f>SUM(M140:M147)</f>
        <v>428.15999999999997</v>
      </c>
    </row>
    <row r="149" spans="1:13" ht="15" customHeight="1">
      <c r="B149" s="28"/>
      <c r="C149" s="28"/>
      <c r="D149" s="273" t="s">
        <v>839</v>
      </c>
      <c r="E149" s="109">
        <v>120</v>
      </c>
      <c r="F149" s="332">
        <v>90</v>
      </c>
      <c r="G149" s="329">
        <f t="shared" si="26"/>
        <v>10800</v>
      </c>
      <c r="H149" s="29"/>
      <c r="I149" s="29"/>
      <c r="J149" s="29"/>
      <c r="K149" s="29"/>
      <c r="L149" s="29"/>
      <c r="M149" s="263">
        <f>G135+M148</f>
        <v>155994.53900000002</v>
      </c>
    </row>
    <row r="150" spans="1:13" ht="15" customHeight="1">
      <c r="B150" s="28"/>
      <c r="C150" s="28"/>
      <c r="D150" s="273" t="s">
        <v>1067</v>
      </c>
      <c r="E150" s="109">
        <v>416</v>
      </c>
      <c r="F150" s="332">
        <v>120</v>
      </c>
      <c r="G150" s="329">
        <f t="shared" si="26"/>
        <v>49920</v>
      </c>
      <c r="H150" s="29"/>
      <c r="I150" s="29"/>
      <c r="J150" s="29"/>
      <c r="K150" s="29"/>
      <c r="L150" s="29"/>
    </row>
    <row r="151" spans="1:13" ht="15" customHeight="1">
      <c r="B151" s="28"/>
      <c r="C151" s="28"/>
      <c r="D151" s="273" t="s">
        <v>1062</v>
      </c>
      <c r="E151" s="109">
        <v>34</v>
      </c>
      <c r="F151" s="332">
        <v>100</v>
      </c>
      <c r="G151" s="329">
        <f t="shared" si="26"/>
        <v>3400</v>
      </c>
      <c r="H151" s="29"/>
      <c r="I151" s="29"/>
      <c r="J151" s="29"/>
      <c r="K151" s="29"/>
      <c r="L151" s="29"/>
    </row>
    <row r="152" spans="1:13" ht="15" customHeight="1">
      <c r="B152" s="28"/>
      <c r="C152" s="28"/>
      <c r="D152" s="273" t="s">
        <v>27</v>
      </c>
      <c r="E152" s="109">
        <v>22</v>
      </c>
      <c r="F152" s="332">
        <v>2000</v>
      </c>
      <c r="G152" s="329">
        <f t="shared" si="26"/>
        <v>44000</v>
      </c>
      <c r="H152" s="29"/>
      <c r="I152" s="29"/>
      <c r="J152" s="29"/>
      <c r="K152" s="29"/>
      <c r="L152" s="29"/>
    </row>
    <row r="153" spans="1:13" ht="15" customHeight="1">
      <c r="B153" s="28"/>
      <c r="C153" s="28"/>
      <c r="D153" s="273" t="s">
        <v>1062</v>
      </c>
      <c r="E153" s="109">
        <v>34</v>
      </c>
      <c r="F153" s="332">
        <v>200</v>
      </c>
      <c r="G153" s="329">
        <f t="shared" si="26"/>
        <v>6800</v>
      </c>
      <c r="H153" s="28"/>
      <c r="I153" s="28"/>
      <c r="J153" s="28"/>
      <c r="K153" s="28"/>
      <c r="L153" s="28"/>
    </row>
    <row r="154" spans="1:13" ht="15" customHeight="1">
      <c r="B154" s="28"/>
      <c r="C154" s="28"/>
      <c r="D154" s="331" t="s">
        <v>843</v>
      </c>
      <c r="E154" s="109"/>
      <c r="F154" s="332">
        <f>SUM(F149:F153)</f>
        <v>2510</v>
      </c>
      <c r="G154" s="329">
        <f>SUM(G149:G153)</f>
        <v>114920</v>
      </c>
    </row>
    <row r="155" spans="1:13" ht="15" customHeight="1">
      <c r="B155" s="28"/>
      <c r="C155" s="28"/>
      <c r="D155" s="322" t="s">
        <v>969</v>
      </c>
      <c r="E155" s="317"/>
      <c r="F155" s="321">
        <f>F148+F154</f>
        <v>2510</v>
      </c>
      <c r="G155" s="320">
        <f>G148+G154</f>
        <v>114920</v>
      </c>
    </row>
    <row r="156" spans="1:13" ht="15" customHeight="1"/>
    <row r="157" spans="1:13" ht="15" customHeight="1"/>
    <row r="158" spans="1:13" ht="15" customHeight="1"/>
    <row r="159" spans="1:13" ht="15" customHeight="1"/>
    <row r="160" spans="1:13" ht="15" customHeight="1"/>
    <row r="161" spans="1:14" ht="15" customHeight="1"/>
    <row r="162" spans="1:14" ht="15" customHeight="1"/>
    <row r="163" spans="1:14" s="64" customFormat="1" ht="15" customHeight="1">
      <c r="A163" s="840" t="s">
        <v>240</v>
      </c>
      <c r="B163" s="840"/>
      <c r="C163" s="840" t="s">
        <v>765</v>
      </c>
      <c r="D163" s="840"/>
      <c r="E163" s="840" t="s">
        <v>764</v>
      </c>
      <c r="F163" s="840"/>
      <c r="G163" s="380" t="s">
        <v>66</v>
      </c>
      <c r="H163" s="840" t="s">
        <v>411</v>
      </c>
      <c r="I163" s="840"/>
      <c r="J163" s="840"/>
      <c r="K163" s="840" t="s">
        <v>68</v>
      </c>
      <c r="L163" s="840"/>
      <c r="M163" s="840"/>
    </row>
    <row r="164" spans="1:14" s="64" customFormat="1" ht="15" customHeight="1">
      <c r="A164" s="524"/>
      <c r="B164" s="524"/>
      <c r="C164" s="524"/>
      <c r="D164" s="524"/>
      <c r="E164" s="524"/>
      <c r="F164" s="524"/>
      <c r="G164" s="380"/>
      <c r="H164" s="524"/>
      <c r="I164" s="524"/>
      <c r="J164" s="524"/>
      <c r="K164" s="524"/>
      <c r="L164" s="524"/>
      <c r="M164" s="524"/>
    </row>
    <row r="165" spans="1:14" s="64" customFormat="1" ht="15" customHeight="1">
      <c r="A165" s="524"/>
      <c r="B165" s="524"/>
      <c r="C165" s="524"/>
      <c r="D165" s="524"/>
      <c r="E165" s="524"/>
      <c r="F165" s="524"/>
      <c r="G165" s="380"/>
      <c r="H165" s="524"/>
      <c r="I165" s="524"/>
      <c r="J165" s="524"/>
      <c r="K165" s="524"/>
      <c r="L165" s="524"/>
      <c r="M165" s="524"/>
    </row>
    <row r="166" spans="1:14" s="64" customFormat="1" ht="15" customHeight="1">
      <c r="A166" s="524"/>
      <c r="B166" s="524"/>
      <c r="C166" s="524"/>
      <c r="D166" s="524"/>
      <c r="E166" s="524"/>
      <c r="F166" s="524"/>
      <c r="G166" s="380"/>
      <c r="H166" s="524"/>
      <c r="I166" s="524"/>
      <c r="J166" s="524"/>
      <c r="K166" s="524"/>
      <c r="L166" s="524"/>
      <c r="M166" s="524"/>
    </row>
    <row r="167" spans="1:14" ht="15" customHeight="1">
      <c r="A167" s="25"/>
      <c r="B167" s="25"/>
      <c r="C167" s="25"/>
      <c r="D167" s="25"/>
      <c r="E167" s="25"/>
      <c r="F167" s="38"/>
      <c r="G167" s="36" t="s">
        <v>57</v>
      </c>
      <c r="H167" s="36"/>
      <c r="I167" s="40"/>
      <c r="J167" s="40">
        <v>1209</v>
      </c>
      <c r="K167" s="40">
        <f>I167*J167</f>
        <v>0</v>
      </c>
      <c r="L167" s="36"/>
      <c r="M167" s="36"/>
      <c r="N167" s="28"/>
    </row>
    <row r="168" spans="1:14" ht="15" customHeight="1">
      <c r="A168" s="25"/>
      <c r="B168" s="25"/>
      <c r="C168" s="25"/>
      <c r="D168" s="25"/>
      <c r="E168" s="25"/>
      <c r="F168" s="38"/>
      <c r="G168" s="36" t="s">
        <v>41</v>
      </c>
      <c r="H168" s="36"/>
      <c r="I168" s="40"/>
      <c r="J168" s="40">
        <v>951</v>
      </c>
      <c r="K168" s="40">
        <f t="shared" ref="K168:K173" si="27">I168*J168</f>
        <v>0</v>
      </c>
      <c r="L168" s="36"/>
      <c r="M168" s="36"/>
      <c r="N168" s="28"/>
    </row>
    <row r="169" spans="1:14" ht="15" customHeight="1">
      <c r="A169" s="25"/>
      <c r="B169" s="25"/>
      <c r="C169" s="25"/>
      <c r="D169" s="25"/>
      <c r="E169" s="25"/>
      <c r="F169" s="38"/>
      <c r="G169" s="36" t="s">
        <v>56</v>
      </c>
      <c r="H169" s="36"/>
      <c r="I169" s="40"/>
      <c r="J169" s="40">
        <v>516</v>
      </c>
      <c r="K169" s="40">
        <f>I169*J169</f>
        <v>0</v>
      </c>
      <c r="L169" s="36"/>
      <c r="M169" s="36"/>
      <c r="N169" s="28"/>
    </row>
    <row r="170" spans="1:14" ht="15" customHeight="1">
      <c r="A170" s="25"/>
      <c r="B170" s="25"/>
      <c r="C170" s="25"/>
      <c r="D170" s="25"/>
      <c r="E170" s="25"/>
      <c r="F170" s="38"/>
      <c r="G170" s="36" t="s">
        <v>54</v>
      </c>
      <c r="H170" s="36"/>
      <c r="I170" s="40"/>
      <c r="J170" s="40">
        <v>195</v>
      </c>
      <c r="K170" s="40">
        <f t="shared" ref="K170" si="28">I170*J170</f>
        <v>0</v>
      </c>
      <c r="L170" s="36"/>
      <c r="M170" s="36"/>
      <c r="N170" s="28"/>
    </row>
    <row r="171" spans="1:14" ht="15" customHeight="1">
      <c r="A171" s="25"/>
      <c r="B171" s="25"/>
      <c r="C171" s="25"/>
      <c r="D171" s="25"/>
      <c r="E171" s="25"/>
      <c r="F171" s="38"/>
      <c r="G171" s="36" t="s">
        <v>51</v>
      </c>
      <c r="H171" s="36"/>
      <c r="I171" s="40"/>
      <c r="J171" s="40">
        <v>600</v>
      </c>
      <c r="K171" s="40">
        <f t="shared" si="27"/>
        <v>0</v>
      </c>
      <c r="L171" s="36"/>
      <c r="M171" s="36"/>
      <c r="N171" s="28"/>
    </row>
    <row r="172" spans="1:14" ht="15" customHeight="1">
      <c r="A172" s="25"/>
      <c r="B172" s="25"/>
      <c r="C172" s="25"/>
      <c r="D172" s="25"/>
      <c r="E172" s="25"/>
      <c r="F172" s="38"/>
      <c r="G172" s="36" t="s">
        <v>50</v>
      </c>
      <c r="H172" s="36"/>
      <c r="I172" s="40"/>
      <c r="J172" s="40">
        <v>400</v>
      </c>
      <c r="K172" s="40">
        <f t="shared" si="27"/>
        <v>0</v>
      </c>
      <c r="L172" s="36"/>
      <c r="M172" s="36"/>
      <c r="N172" s="28"/>
    </row>
    <row r="173" spans="1:14" ht="15" customHeight="1">
      <c r="A173" s="25"/>
      <c r="B173" s="25"/>
      <c r="C173" s="25"/>
      <c r="D173" s="25"/>
      <c r="E173" s="25"/>
      <c r="F173" s="38"/>
      <c r="G173" s="36" t="s">
        <v>29</v>
      </c>
      <c r="H173" s="36"/>
      <c r="I173" s="40"/>
      <c r="J173" s="40">
        <v>114</v>
      </c>
      <c r="K173" s="40">
        <f t="shared" si="27"/>
        <v>0</v>
      </c>
      <c r="L173" s="36"/>
      <c r="M173" s="36"/>
      <c r="N173" s="28"/>
    </row>
    <row r="174" spans="1:14" ht="15" customHeight="1">
      <c r="A174" s="25"/>
      <c r="B174" s="25"/>
      <c r="C174" s="25"/>
      <c r="D174" s="25"/>
      <c r="E174" s="25"/>
      <c r="F174" s="38"/>
      <c r="G174" s="36" t="s">
        <v>44</v>
      </c>
      <c r="H174" s="36"/>
      <c r="I174" s="40"/>
      <c r="J174" s="40">
        <v>400</v>
      </c>
      <c r="K174" s="40">
        <f t="shared" ref="K174:K178" si="29">I174*J174</f>
        <v>0</v>
      </c>
      <c r="L174" s="36"/>
      <c r="M174" s="36"/>
      <c r="N174" s="28"/>
    </row>
    <row r="175" spans="1:14" ht="15" customHeight="1">
      <c r="A175" s="25"/>
      <c r="B175" s="25"/>
      <c r="C175" s="25"/>
      <c r="D175" s="25"/>
      <c r="E175" s="25"/>
      <c r="F175" s="38"/>
      <c r="G175" s="36" t="s">
        <v>45</v>
      </c>
      <c r="H175" s="36"/>
      <c r="I175" s="40"/>
      <c r="J175" s="40">
        <v>32</v>
      </c>
      <c r="K175" s="40">
        <f t="shared" si="29"/>
        <v>0</v>
      </c>
      <c r="L175" s="36"/>
      <c r="M175" s="36"/>
      <c r="N175" s="28"/>
    </row>
    <row r="176" spans="1:14" ht="15" customHeight="1">
      <c r="A176" s="25"/>
      <c r="B176" s="25"/>
      <c r="C176" s="25"/>
      <c r="D176" s="25"/>
      <c r="E176" s="25"/>
      <c r="F176" s="38"/>
      <c r="G176" s="36" t="s">
        <v>28</v>
      </c>
      <c r="H176" s="36"/>
      <c r="I176" s="40"/>
      <c r="J176" s="40">
        <v>17</v>
      </c>
      <c r="K176" s="40">
        <f t="shared" si="29"/>
        <v>0</v>
      </c>
      <c r="L176" s="36"/>
      <c r="M176" s="36"/>
      <c r="N176" s="28"/>
    </row>
    <row r="177" spans="1:14">
      <c r="A177" s="25"/>
      <c r="B177" s="25"/>
      <c r="C177" s="25"/>
      <c r="D177" s="25"/>
      <c r="E177" s="25"/>
      <c r="F177" s="38"/>
      <c r="G177" s="36" t="s">
        <v>46</v>
      </c>
      <c r="H177" s="36"/>
      <c r="I177" s="40"/>
      <c r="J177" s="40">
        <v>311</v>
      </c>
      <c r="K177" s="40">
        <f t="shared" si="29"/>
        <v>0</v>
      </c>
      <c r="L177" s="36"/>
      <c r="M177" s="36"/>
      <c r="N177" s="28"/>
    </row>
    <row r="178" spans="1:14">
      <c r="A178" s="25"/>
      <c r="B178" s="25"/>
      <c r="C178" s="25"/>
      <c r="D178" s="25"/>
      <c r="E178" s="25"/>
      <c r="F178" s="38"/>
      <c r="G178" s="36" t="s">
        <v>47</v>
      </c>
      <c r="H178" s="36"/>
      <c r="I178" s="40"/>
      <c r="J178" s="40">
        <v>390</v>
      </c>
      <c r="K178" s="40">
        <f t="shared" si="29"/>
        <v>0</v>
      </c>
      <c r="L178" s="36"/>
      <c r="M178" s="36"/>
      <c r="N178" s="28"/>
    </row>
    <row r="179" spans="1:14">
      <c r="A179" s="25"/>
      <c r="B179" s="25"/>
      <c r="C179" s="25"/>
      <c r="D179" s="25"/>
      <c r="E179" s="37" t="s">
        <v>9</v>
      </c>
      <c r="F179" s="41">
        <f>SUM(F167:F178)</f>
        <v>0</v>
      </c>
      <c r="G179" s="37"/>
      <c r="H179" s="37"/>
      <c r="I179" s="40"/>
      <c r="J179" s="40"/>
      <c r="K179" s="42">
        <f>SUM(K167:K178)</f>
        <v>0</v>
      </c>
      <c r="L179" s="42" t="e">
        <f>K179/F179</f>
        <v>#DIV/0!</v>
      </c>
      <c r="M179" s="36"/>
      <c r="N179" s="28"/>
    </row>
    <row r="180" spans="1:14">
      <c r="A180" s="25"/>
      <c r="B180" s="25"/>
      <c r="C180" s="25"/>
      <c r="D180" s="25"/>
      <c r="E180" s="25"/>
      <c r="F180" s="38"/>
      <c r="G180" s="36" t="s">
        <v>56</v>
      </c>
      <c r="H180" s="36"/>
      <c r="I180" s="40"/>
      <c r="J180" s="40">
        <v>516</v>
      </c>
      <c r="K180" s="40">
        <f>I180*J180</f>
        <v>0</v>
      </c>
      <c r="L180" s="36"/>
      <c r="M180" s="36"/>
      <c r="N180" s="28"/>
    </row>
    <row r="181" spans="1:14">
      <c r="A181" s="25"/>
      <c r="B181" s="25"/>
      <c r="C181" s="25"/>
      <c r="D181" s="25"/>
      <c r="E181" s="25"/>
      <c r="F181" s="38"/>
      <c r="G181" s="36" t="s">
        <v>54</v>
      </c>
      <c r="H181" s="36"/>
      <c r="I181" s="40"/>
      <c r="J181" s="40">
        <v>195</v>
      </c>
      <c r="K181" s="40">
        <f t="shared" ref="K181:K182" si="30">I181*J181</f>
        <v>0</v>
      </c>
      <c r="L181" s="36"/>
      <c r="M181" s="36"/>
      <c r="N181" s="28"/>
    </row>
    <row r="182" spans="1:14">
      <c r="A182" s="25"/>
      <c r="B182" s="25"/>
      <c r="C182" s="25"/>
      <c r="D182" s="25"/>
      <c r="E182" s="25"/>
      <c r="F182" s="38"/>
      <c r="G182" s="36" t="s">
        <v>60</v>
      </c>
      <c r="H182" s="36"/>
      <c r="I182" s="40"/>
      <c r="J182" s="40">
        <v>463</v>
      </c>
      <c r="K182" s="40">
        <f t="shared" si="30"/>
        <v>0</v>
      </c>
      <c r="L182" s="36"/>
      <c r="M182" s="36"/>
      <c r="N182" s="28"/>
    </row>
    <row r="183" spans="1:14">
      <c r="A183" s="25"/>
      <c r="B183" s="25"/>
      <c r="C183" s="25"/>
      <c r="D183" s="25"/>
      <c r="E183" s="25"/>
      <c r="F183" s="38"/>
      <c r="G183" s="36" t="s">
        <v>58</v>
      </c>
      <c r="H183" s="36"/>
      <c r="I183" s="40"/>
      <c r="J183" s="40">
        <v>395</v>
      </c>
      <c r="K183" s="40">
        <f t="shared" ref="K183:K193" si="31">I183*J183</f>
        <v>0</v>
      </c>
      <c r="L183" s="36"/>
      <c r="M183" s="36"/>
      <c r="N183" s="28"/>
    </row>
    <row r="184" spans="1:14">
      <c r="A184" s="25"/>
      <c r="B184" s="25"/>
      <c r="C184" s="25"/>
      <c r="D184" s="25"/>
      <c r="E184" s="25"/>
      <c r="F184" s="38"/>
      <c r="G184" s="36" t="s">
        <v>51</v>
      </c>
      <c r="H184" s="36"/>
      <c r="I184" s="40"/>
      <c r="J184" s="40">
        <v>600</v>
      </c>
      <c r="K184" s="40">
        <f t="shared" si="31"/>
        <v>0</v>
      </c>
      <c r="L184" s="36"/>
      <c r="M184" s="36"/>
      <c r="N184" s="28"/>
    </row>
    <row r="185" spans="1:14">
      <c r="A185" s="25"/>
      <c r="B185" s="25"/>
      <c r="C185" s="25"/>
      <c r="D185" s="25"/>
      <c r="E185" s="25"/>
      <c r="F185" s="38"/>
      <c r="G185" s="36" t="s">
        <v>50</v>
      </c>
      <c r="H185" s="36"/>
      <c r="I185" s="40"/>
      <c r="J185" s="40">
        <v>400</v>
      </c>
      <c r="K185" s="40">
        <f t="shared" si="31"/>
        <v>0</v>
      </c>
      <c r="L185" s="36"/>
      <c r="M185" s="36"/>
      <c r="N185" s="28"/>
    </row>
    <row r="186" spans="1:14">
      <c r="A186" s="25"/>
      <c r="B186" s="25"/>
      <c r="C186" s="25"/>
      <c r="D186" s="25"/>
      <c r="E186" s="25"/>
      <c r="F186" s="38"/>
      <c r="G186" s="36" t="s">
        <v>29</v>
      </c>
      <c r="H186" s="36"/>
      <c r="I186" s="40"/>
      <c r="J186" s="40">
        <v>114</v>
      </c>
      <c r="K186" s="40">
        <f t="shared" si="31"/>
        <v>0</v>
      </c>
      <c r="L186" s="36"/>
      <c r="M186" s="36"/>
      <c r="N186" s="28"/>
    </row>
    <row r="187" spans="1:14">
      <c r="A187" s="25"/>
      <c r="B187" s="25"/>
      <c r="C187" s="25"/>
      <c r="D187" s="25"/>
      <c r="E187" s="25"/>
      <c r="F187" s="38"/>
      <c r="G187" s="36" t="s">
        <v>44</v>
      </c>
      <c r="H187" s="36"/>
      <c r="I187" s="40"/>
      <c r="J187" s="40">
        <v>400</v>
      </c>
      <c r="K187" s="40">
        <f t="shared" si="31"/>
        <v>0</v>
      </c>
      <c r="L187" s="36"/>
      <c r="M187" s="36"/>
      <c r="N187" s="28"/>
    </row>
    <row r="188" spans="1:14">
      <c r="A188" s="25"/>
      <c r="B188" s="25"/>
      <c r="C188" s="25"/>
      <c r="D188" s="25"/>
      <c r="E188" s="25"/>
      <c r="F188" s="38"/>
      <c r="G188" s="36" t="s">
        <v>45</v>
      </c>
      <c r="H188" s="36"/>
      <c r="I188" s="40"/>
      <c r="J188" s="40">
        <v>32</v>
      </c>
      <c r="K188" s="40">
        <f t="shared" si="31"/>
        <v>0</v>
      </c>
      <c r="L188" s="36"/>
      <c r="M188" s="36"/>
      <c r="N188" s="28"/>
    </row>
    <row r="189" spans="1:14">
      <c r="A189" s="25"/>
      <c r="B189" s="25"/>
      <c r="C189" s="25"/>
      <c r="D189" s="25"/>
      <c r="E189" s="25"/>
      <c r="F189" s="38"/>
      <c r="G189" s="36" t="s">
        <v>28</v>
      </c>
      <c r="H189" s="36"/>
      <c r="I189" s="40"/>
      <c r="J189" s="40">
        <v>17</v>
      </c>
      <c r="K189" s="40">
        <f t="shared" si="31"/>
        <v>0</v>
      </c>
      <c r="L189" s="36"/>
      <c r="M189" s="36"/>
      <c r="N189" s="28"/>
    </row>
    <row r="190" spans="1:14">
      <c r="A190" s="25"/>
      <c r="B190" s="25"/>
      <c r="C190" s="25"/>
      <c r="D190" s="25"/>
      <c r="E190" s="25"/>
      <c r="F190" s="38"/>
      <c r="G190" s="36" t="s">
        <v>46</v>
      </c>
      <c r="H190" s="36"/>
      <c r="I190" s="40"/>
      <c r="J190" s="40">
        <v>311</v>
      </c>
      <c r="K190" s="40">
        <f t="shared" si="31"/>
        <v>0</v>
      </c>
      <c r="L190" s="36"/>
      <c r="M190" s="36"/>
      <c r="N190" s="28"/>
    </row>
    <row r="191" spans="1:14">
      <c r="A191" s="25"/>
      <c r="B191" s="25"/>
      <c r="C191" s="25"/>
      <c r="D191" s="25"/>
      <c r="E191" s="25"/>
      <c r="F191" s="38"/>
      <c r="G191" s="36" t="s">
        <v>47</v>
      </c>
      <c r="H191" s="36"/>
      <c r="I191" s="40"/>
      <c r="J191" s="40">
        <v>390</v>
      </c>
      <c r="K191" s="40">
        <f t="shared" si="31"/>
        <v>0</v>
      </c>
      <c r="L191" s="36"/>
      <c r="M191" s="36"/>
      <c r="N191" s="28"/>
    </row>
    <row r="192" spans="1:14">
      <c r="A192" s="25"/>
      <c r="B192" s="25"/>
      <c r="C192" s="25"/>
      <c r="D192" s="25"/>
      <c r="E192" s="25"/>
      <c r="F192" s="38"/>
      <c r="G192" s="36" t="s">
        <v>53</v>
      </c>
      <c r="H192" s="36"/>
      <c r="I192" s="40"/>
      <c r="J192" s="40">
        <v>70</v>
      </c>
      <c r="K192" s="40">
        <f t="shared" si="31"/>
        <v>0</v>
      </c>
      <c r="L192" s="36"/>
      <c r="M192" s="36"/>
      <c r="N192" s="28"/>
    </row>
    <row r="193" spans="1:14">
      <c r="A193" s="25"/>
      <c r="B193" s="25"/>
      <c r="C193" s="25"/>
      <c r="D193" s="25"/>
      <c r="E193" s="25"/>
      <c r="F193" s="38"/>
      <c r="G193" s="36"/>
      <c r="H193" s="36"/>
      <c r="I193" s="40"/>
      <c r="J193" s="40"/>
      <c r="K193" s="40">
        <f t="shared" si="31"/>
        <v>0</v>
      </c>
      <c r="L193" s="36"/>
      <c r="M193" s="36"/>
      <c r="N193" s="28"/>
    </row>
    <row r="194" spans="1:14">
      <c r="A194" s="25"/>
      <c r="B194" s="25"/>
      <c r="C194" s="25"/>
      <c r="D194" s="25"/>
      <c r="E194" s="37" t="s">
        <v>9</v>
      </c>
      <c r="F194" s="41">
        <f>SUM(F180:F193)</f>
        <v>0</v>
      </c>
      <c r="G194" s="37"/>
      <c r="H194" s="37"/>
      <c r="I194" s="40"/>
      <c r="J194" s="40"/>
      <c r="K194" s="42">
        <f>SUM(K180:K193)</f>
        <v>0</v>
      </c>
      <c r="L194" s="42" t="e">
        <f>K194/F194</f>
        <v>#DIV/0!</v>
      </c>
      <c r="M194" s="36"/>
      <c r="N194" s="28"/>
    </row>
    <row r="195" spans="1:14">
      <c r="A195" s="25"/>
      <c r="B195" s="25"/>
      <c r="C195" s="25"/>
      <c r="D195" s="25"/>
      <c r="E195" s="25"/>
      <c r="F195" s="38"/>
      <c r="G195" s="36" t="s">
        <v>29</v>
      </c>
      <c r="H195" s="36"/>
      <c r="I195" s="40"/>
      <c r="J195" s="40">
        <v>114</v>
      </c>
      <c r="K195" s="40">
        <f t="shared" ref="K195:K203" si="32">I195*J195</f>
        <v>0</v>
      </c>
      <c r="L195" s="36"/>
      <c r="M195" s="36"/>
      <c r="N195" s="28"/>
    </row>
    <row r="196" spans="1:14">
      <c r="A196" s="25"/>
      <c r="B196" s="25"/>
      <c r="C196" s="25"/>
      <c r="D196" s="25"/>
      <c r="E196" s="25"/>
      <c r="F196" s="38"/>
      <c r="G196" s="36" t="s">
        <v>44</v>
      </c>
      <c r="H196" s="36"/>
      <c r="I196" s="40"/>
      <c r="J196" s="40">
        <v>400</v>
      </c>
      <c r="K196" s="40">
        <f t="shared" si="32"/>
        <v>0</v>
      </c>
      <c r="L196" s="36"/>
      <c r="M196" s="36"/>
      <c r="N196" s="28"/>
    </row>
    <row r="197" spans="1:14">
      <c r="A197" s="25"/>
      <c r="B197" s="25"/>
      <c r="C197" s="25"/>
      <c r="D197" s="25"/>
      <c r="E197" s="25"/>
      <c r="F197" s="38"/>
      <c r="G197" s="36" t="s">
        <v>45</v>
      </c>
      <c r="H197" s="36"/>
      <c r="I197" s="40"/>
      <c r="J197" s="40">
        <v>32</v>
      </c>
      <c r="K197" s="40">
        <f t="shared" si="32"/>
        <v>0</v>
      </c>
      <c r="L197" s="36"/>
      <c r="M197" s="36"/>
      <c r="N197" s="28"/>
    </row>
    <row r="198" spans="1:14">
      <c r="A198" s="25"/>
      <c r="B198" s="25"/>
      <c r="C198" s="25"/>
      <c r="D198" s="25"/>
      <c r="E198" s="25"/>
      <c r="F198" s="38"/>
      <c r="G198" s="36" t="s">
        <v>28</v>
      </c>
      <c r="H198" s="36"/>
      <c r="I198" s="40"/>
      <c r="J198" s="40">
        <v>17</v>
      </c>
      <c r="K198" s="40">
        <f t="shared" si="32"/>
        <v>0</v>
      </c>
      <c r="L198" s="36"/>
      <c r="M198" s="36"/>
      <c r="N198" s="28"/>
    </row>
    <row r="199" spans="1:14">
      <c r="A199" s="25"/>
      <c r="B199" s="25"/>
      <c r="C199" s="25"/>
      <c r="D199" s="25"/>
      <c r="E199" s="25"/>
      <c r="F199" s="38"/>
      <c r="G199" s="36" t="s">
        <v>46</v>
      </c>
      <c r="H199" s="36"/>
      <c r="I199" s="40"/>
      <c r="J199" s="40">
        <v>311</v>
      </c>
      <c r="K199" s="40">
        <f t="shared" si="32"/>
        <v>0</v>
      </c>
      <c r="L199" s="36"/>
      <c r="M199" s="36"/>
      <c r="N199" s="28"/>
    </row>
    <row r="200" spans="1:14">
      <c r="A200" s="25"/>
      <c r="B200" s="25"/>
      <c r="C200" s="25"/>
      <c r="D200" s="25"/>
      <c r="E200" s="25"/>
      <c r="F200" s="38"/>
      <c r="G200" s="36" t="s">
        <v>47</v>
      </c>
      <c r="H200" s="36"/>
      <c r="I200" s="40"/>
      <c r="J200" s="40">
        <v>390</v>
      </c>
      <c r="K200" s="40">
        <f t="shared" si="32"/>
        <v>0</v>
      </c>
      <c r="L200" s="36"/>
      <c r="M200" s="36"/>
      <c r="N200" s="28"/>
    </row>
    <row r="201" spans="1:14">
      <c r="A201" s="25"/>
      <c r="B201" s="25"/>
      <c r="C201" s="25"/>
      <c r="D201" s="25"/>
      <c r="E201" s="25"/>
      <c r="F201" s="38"/>
      <c r="G201" s="36" t="s">
        <v>52</v>
      </c>
      <c r="H201" s="36"/>
      <c r="I201" s="40"/>
      <c r="J201" s="40">
        <v>290</v>
      </c>
      <c r="K201" s="40">
        <f t="shared" si="32"/>
        <v>0</v>
      </c>
      <c r="L201" s="36"/>
      <c r="M201" s="36"/>
      <c r="N201" s="28"/>
    </row>
    <row r="202" spans="1:14">
      <c r="A202" s="25"/>
      <c r="B202" s="25"/>
      <c r="C202" s="25"/>
      <c r="D202" s="25"/>
      <c r="E202" s="25"/>
      <c r="F202" s="38"/>
      <c r="G202" s="36" t="s">
        <v>53</v>
      </c>
      <c r="H202" s="36"/>
      <c r="I202" s="40"/>
      <c r="J202" s="40">
        <v>70</v>
      </c>
      <c r="K202" s="40">
        <f t="shared" si="32"/>
        <v>0</v>
      </c>
      <c r="L202" s="36"/>
      <c r="M202" s="36"/>
      <c r="N202" s="28"/>
    </row>
    <row r="203" spans="1:14">
      <c r="A203" s="25"/>
      <c r="B203" s="25"/>
      <c r="C203" s="25"/>
      <c r="D203" s="25"/>
      <c r="E203" s="25"/>
      <c r="F203" s="38"/>
      <c r="G203" s="36"/>
      <c r="H203" s="36"/>
      <c r="I203" s="40"/>
      <c r="J203" s="40"/>
      <c r="K203" s="40">
        <f t="shared" si="32"/>
        <v>0</v>
      </c>
      <c r="L203" s="36"/>
      <c r="M203" s="36"/>
      <c r="N203" s="28"/>
    </row>
    <row r="204" spans="1:14">
      <c r="A204" s="25"/>
      <c r="B204" s="25"/>
      <c r="C204" s="25"/>
      <c r="D204" s="25"/>
      <c r="E204" s="37" t="s">
        <v>9</v>
      </c>
      <c r="F204" s="41">
        <f>SUM(F195:F203)</f>
        <v>0</v>
      </c>
      <c r="G204" s="37"/>
      <c r="H204" s="37"/>
      <c r="I204" s="40"/>
      <c r="J204" s="40"/>
      <c r="K204" s="42">
        <f>SUM(K195:K203)</f>
        <v>0</v>
      </c>
      <c r="L204" s="42" t="e">
        <f>K204/F204</f>
        <v>#DIV/0!</v>
      </c>
      <c r="M204" s="36"/>
      <c r="N204" s="28"/>
    </row>
    <row r="205" spans="1:14">
      <c r="A205" s="28"/>
      <c r="B205" s="28"/>
      <c r="C205" s="28"/>
      <c r="D205" s="43" t="s">
        <v>30</v>
      </c>
      <c r="E205" s="43"/>
      <c r="F205" s="250">
        <f>F179+F194+F204</f>
        <v>0</v>
      </c>
      <c r="G205" s="44"/>
      <c r="H205" s="44"/>
      <c r="I205" s="44"/>
      <c r="J205" s="44"/>
      <c r="K205" s="250">
        <f>K179+K194+K204</f>
        <v>0</v>
      </c>
      <c r="L205" s="42" t="e">
        <f>K205/F205</f>
        <v>#DIV/0!</v>
      </c>
      <c r="M205" s="28"/>
      <c r="N205" s="28"/>
    </row>
    <row r="206" spans="1:14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</row>
    <row r="207" spans="1:14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</row>
    <row r="208" spans="1:14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</row>
    <row r="209" spans="1:14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</row>
    <row r="210" spans="1:14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</row>
    <row r="211" spans="1:14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</row>
    <row r="212" spans="1:14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</row>
    <row r="213" spans="1:14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</row>
    <row r="214" spans="1: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</row>
    <row r="215" spans="1:14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</row>
    <row r="216" spans="1:14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</row>
    <row r="217" spans="1:14">
      <c r="A217" s="251">
        <v>12</v>
      </c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</row>
    <row r="218" spans="1:14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</row>
    <row r="219" spans="1:14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</row>
    <row r="220" spans="1:14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</row>
    <row r="221" spans="1:14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</row>
    <row r="222" spans="1:14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</row>
    <row r="223" spans="1:14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</row>
    <row r="224" spans="1:1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</row>
    <row r="225" spans="1:14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</row>
    <row r="226" spans="1:14">
      <c r="A226" s="28"/>
      <c r="B226" s="28"/>
      <c r="C226" s="28"/>
      <c r="D226" s="28"/>
      <c r="E226" s="28"/>
      <c r="F226" s="28"/>
      <c r="G226" s="25" t="s">
        <v>19</v>
      </c>
      <c r="H226" s="36"/>
      <c r="I226" s="252" t="e">
        <f>I22+#REF!+#REF!+I36+#REF!+#REF!+#REF!+#REF!+I60+#REF!++#REF!+#REF!+#REF!+#REF!+I102+#REF!+#REF!+#REF!+#REF!+#REF!+I111+#REF!+#REF!+#REF!+#REF!+#REF!</f>
        <v>#REF!</v>
      </c>
      <c r="J226" s="28"/>
      <c r="K226" s="28"/>
      <c r="L226" s="28"/>
      <c r="M226" s="28"/>
      <c r="N226" s="28"/>
    </row>
    <row r="227" spans="1:14">
      <c r="A227" s="28"/>
      <c r="B227" s="28"/>
      <c r="C227" s="28"/>
      <c r="D227" s="28"/>
      <c r="E227" s="28"/>
      <c r="F227" s="28"/>
      <c r="G227" s="25" t="s">
        <v>18</v>
      </c>
      <c r="H227" s="36"/>
      <c r="I227" s="252" t="e">
        <f>#REF!+I23+I29+#REF!+#REF!+#REF!+#REF!</f>
        <v>#REF!</v>
      </c>
      <c r="J227" s="28"/>
      <c r="K227" s="28"/>
      <c r="L227" s="28"/>
      <c r="M227" s="28"/>
      <c r="N227" s="28"/>
    </row>
    <row r="228" spans="1:14">
      <c r="A228" s="28"/>
      <c r="B228" s="28"/>
      <c r="C228" s="28"/>
      <c r="D228" s="28"/>
      <c r="E228" s="28"/>
      <c r="F228" s="28"/>
      <c r="G228" s="25" t="s">
        <v>10</v>
      </c>
      <c r="H228" s="36"/>
      <c r="I228" s="252" t="e">
        <f>#REF!+I59+#REF!+#REF!+#REF!+I118+#REF!+#REF!+#REF!+#REF!+I131+I136+I141+I149</f>
        <v>#REF!</v>
      </c>
      <c r="J228" s="28"/>
      <c r="K228" s="28"/>
      <c r="L228" s="28"/>
      <c r="M228" s="28"/>
      <c r="N228" s="28"/>
    </row>
    <row r="229" spans="1:14">
      <c r="A229" s="28"/>
      <c r="B229" s="28"/>
      <c r="C229" s="28"/>
      <c r="D229" s="28"/>
      <c r="E229" s="28"/>
      <c r="F229" s="28"/>
      <c r="G229" s="253" t="s">
        <v>103</v>
      </c>
      <c r="H229" s="36"/>
      <c r="I229" s="252" t="e">
        <f>#REF!</f>
        <v>#REF!</v>
      </c>
      <c r="J229" s="28"/>
      <c r="K229" s="28"/>
      <c r="L229" s="28"/>
      <c r="M229" s="28"/>
      <c r="N229" s="28"/>
    </row>
    <row r="230" spans="1:14">
      <c r="A230" s="28"/>
      <c r="B230" s="28"/>
      <c r="C230" s="28"/>
      <c r="D230" s="28"/>
      <c r="E230" s="28"/>
      <c r="F230" s="28"/>
      <c r="G230" s="25" t="s">
        <v>76</v>
      </c>
      <c r="H230" s="36"/>
      <c r="I230" s="252" t="e">
        <f>I45+#REF!+#REF!+#REF!+#REF!</f>
        <v>#REF!</v>
      </c>
      <c r="J230" s="28"/>
      <c r="K230" s="28"/>
      <c r="L230" s="28"/>
      <c r="M230" s="28"/>
      <c r="N230" s="28"/>
    </row>
    <row r="231" spans="1:14">
      <c r="A231" s="28"/>
      <c r="B231" s="28"/>
      <c r="C231" s="28"/>
      <c r="D231" s="28"/>
      <c r="E231" s="28"/>
      <c r="F231" s="28"/>
      <c r="G231" s="25" t="s">
        <v>17</v>
      </c>
      <c r="H231" s="36"/>
      <c r="I231" s="252" t="e">
        <f>#REF!+#REF!+#REF!+I46+#REF!+#REF!+I103+#REF!+#REF!+#REF!+#REF!+#REF!+I112+I117+#REF!+#REF!+#REF!+#REF!</f>
        <v>#REF!</v>
      </c>
      <c r="J231" s="28"/>
      <c r="K231" s="28"/>
      <c r="L231" s="28"/>
      <c r="M231" s="28"/>
      <c r="N231" s="28"/>
    </row>
    <row r="232" spans="1:14">
      <c r="A232" s="28"/>
      <c r="B232" s="28"/>
      <c r="C232" s="28"/>
      <c r="D232" s="28"/>
      <c r="E232" s="28"/>
      <c r="F232" s="28"/>
      <c r="G232" s="254" t="s">
        <v>104</v>
      </c>
      <c r="H232" s="36"/>
      <c r="I232" s="36"/>
      <c r="J232" s="28"/>
      <c r="K232" s="28"/>
      <c r="L232" s="28"/>
      <c r="M232" s="28"/>
      <c r="N232" s="28"/>
    </row>
    <row r="233" spans="1:14">
      <c r="A233" s="28"/>
      <c r="B233" s="28"/>
      <c r="C233" s="28"/>
      <c r="D233" s="28"/>
      <c r="E233" s="28"/>
      <c r="F233" s="28"/>
      <c r="G233" s="25" t="s">
        <v>25</v>
      </c>
      <c r="H233" s="36"/>
      <c r="I233" s="252" t="e">
        <f>#REF!+#REF!</f>
        <v>#REF!</v>
      </c>
      <c r="J233" s="28"/>
      <c r="K233" s="28"/>
      <c r="L233" s="28"/>
      <c r="M233" s="28"/>
      <c r="N233" s="28"/>
    </row>
    <row r="234" spans="1:14">
      <c r="A234" s="28"/>
      <c r="B234" s="28"/>
      <c r="C234" s="28"/>
      <c r="D234" s="28"/>
      <c r="E234" s="28"/>
      <c r="F234" s="28"/>
      <c r="G234" s="25" t="s">
        <v>29</v>
      </c>
      <c r="H234" s="36"/>
      <c r="I234" s="36">
        <f>0</f>
        <v>0</v>
      </c>
      <c r="J234" s="28"/>
      <c r="K234" s="28"/>
      <c r="L234" s="28"/>
      <c r="M234" s="28"/>
      <c r="N234" s="28"/>
    </row>
    <row r="235" spans="1:14">
      <c r="A235" s="28"/>
      <c r="B235" s="28"/>
      <c r="C235" s="28"/>
      <c r="D235" s="28"/>
      <c r="E235" s="28"/>
      <c r="F235" s="28"/>
      <c r="G235" s="25" t="s">
        <v>28</v>
      </c>
      <c r="H235" s="36"/>
      <c r="I235" s="252" t="e">
        <f>#REF!+#REF!+I100+#REF!+#REF!+#REF!+#REF!+#REF!+I109+I114+#REF!+#REF!+I150</f>
        <v>#REF!</v>
      </c>
      <c r="J235" s="28"/>
      <c r="K235" s="28"/>
      <c r="L235" s="28"/>
      <c r="M235" s="28"/>
      <c r="N235" s="28"/>
    </row>
    <row r="236" spans="1:14">
      <c r="A236" s="28"/>
      <c r="B236" s="28"/>
      <c r="C236" s="28"/>
      <c r="D236" s="28"/>
      <c r="E236" s="28"/>
      <c r="F236" s="28"/>
      <c r="G236" s="25" t="s">
        <v>26</v>
      </c>
      <c r="H236" s="36"/>
      <c r="I236" s="252" t="e">
        <f>#REF!+I140+I144</f>
        <v>#REF!</v>
      </c>
      <c r="J236" s="28"/>
      <c r="K236" s="28"/>
      <c r="L236" s="28"/>
      <c r="M236" s="28"/>
      <c r="N236" s="28"/>
    </row>
    <row r="237" spans="1:14">
      <c r="A237" s="28"/>
      <c r="B237" s="28"/>
      <c r="C237" s="28"/>
      <c r="D237" s="28"/>
      <c r="E237" s="28"/>
      <c r="F237" s="28"/>
      <c r="G237" s="25" t="s">
        <v>75</v>
      </c>
      <c r="H237" s="36"/>
      <c r="I237" s="252" t="e">
        <f>#REF!</f>
        <v>#REF!</v>
      </c>
      <c r="J237" s="28"/>
      <c r="K237" s="28"/>
      <c r="L237" s="28"/>
      <c r="M237" s="28"/>
      <c r="N237" s="28"/>
    </row>
    <row r="238" spans="1:14">
      <c r="A238" s="28"/>
      <c r="B238" s="28"/>
      <c r="C238" s="28"/>
      <c r="D238" s="28"/>
      <c r="E238" s="28"/>
      <c r="F238" s="28"/>
      <c r="G238" s="25" t="s">
        <v>105</v>
      </c>
      <c r="H238" s="36"/>
      <c r="I238" s="252" t="e">
        <f>#REF!+#REF!+#REF!</f>
        <v>#REF!</v>
      </c>
      <c r="J238" s="28"/>
      <c r="K238" s="28"/>
      <c r="L238" s="28"/>
      <c r="M238" s="28"/>
      <c r="N238" s="28"/>
    </row>
    <row r="239" spans="1:14">
      <c r="A239" s="28"/>
      <c r="B239" s="28"/>
      <c r="C239" s="28"/>
      <c r="D239" s="28"/>
      <c r="E239" s="28"/>
      <c r="F239" s="28"/>
      <c r="G239" s="25" t="s">
        <v>62</v>
      </c>
      <c r="H239" s="36"/>
      <c r="I239" s="252" t="e">
        <f>#REF!+#REF!+#REF!</f>
        <v>#REF!</v>
      </c>
      <c r="J239" s="28"/>
      <c r="K239" s="28"/>
      <c r="L239" s="28"/>
      <c r="M239" s="28"/>
      <c r="N239" s="28"/>
    </row>
    <row r="240" spans="1:14">
      <c r="A240" s="28"/>
      <c r="B240" s="28"/>
      <c r="C240" s="28"/>
      <c r="D240" s="28"/>
      <c r="E240" s="28"/>
      <c r="F240" s="28"/>
      <c r="G240" s="25" t="s">
        <v>111</v>
      </c>
      <c r="H240" s="36"/>
      <c r="I240" s="36"/>
      <c r="J240" s="28"/>
      <c r="K240" s="28"/>
      <c r="L240" s="28"/>
      <c r="M240" s="28"/>
      <c r="N240" s="28"/>
    </row>
    <row r="241" spans="1:14">
      <c r="A241" s="28"/>
      <c r="B241" s="28"/>
      <c r="C241" s="28"/>
      <c r="D241" s="28"/>
      <c r="E241" s="28"/>
      <c r="F241" s="28"/>
      <c r="G241" s="62" t="s">
        <v>112</v>
      </c>
      <c r="H241" s="36"/>
      <c r="I241" s="36"/>
      <c r="J241" s="28"/>
      <c r="K241" s="28"/>
      <c r="L241" s="28"/>
      <c r="M241" s="28"/>
      <c r="N241" s="28"/>
    </row>
    <row r="242" spans="1:14">
      <c r="A242" s="28"/>
      <c r="B242" s="28"/>
      <c r="C242" s="28"/>
      <c r="D242" s="28"/>
      <c r="E242" s="28"/>
      <c r="F242" s="28"/>
      <c r="G242" s="62" t="s">
        <v>106</v>
      </c>
      <c r="H242" s="36"/>
      <c r="I242" s="36"/>
      <c r="J242" s="28"/>
      <c r="K242" s="28"/>
      <c r="L242" s="28"/>
      <c r="M242" s="28"/>
      <c r="N242" s="28"/>
    </row>
    <row r="243" spans="1:14">
      <c r="A243" s="28"/>
      <c r="B243" s="28"/>
      <c r="C243" s="28"/>
      <c r="D243" s="28"/>
      <c r="E243" s="28"/>
      <c r="F243" s="28"/>
      <c r="G243" s="62" t="s">
        <v>107</v>
      </c>
      <c r="H243" s="36"/>
      <c r="I243" s="36"/>
      <c r="J243" s="28"/>
      <c r="K243" s="28"/>
      <c r="L243" s="28"/>
      <c r="M243" s="28"/>
      <c r="N243" s="28"/>
    </row>
    <row r="244" spans="1:14">
      <c r="A244" s="28"/>
      <c r="B244" s="28"/>
      <c r="C244" s="28"/>
      <c r="D244" s="28"/>
      <c r="E244" s="28"/>
      <c r="F244" s="28"/>
      <c r="G244" s="62" t="s">
        <v>108</v>
      </c>
      <c r="H244" s="36"/>
      <c r="I244" s="36"/>
      <c r="J244" s="28"/>
      <c r="K244" s="28"/>
      <c r="L244" s="28"/>
      <c r="M244" s="28"/>
      <c r="N244" s="28"/>
    </row>
    <row r="245" spans="1:14">
      <c r="G245" s="62" t="s">
        <v>109</v>
      </c>
      <c r="H245" s="2"/>
      <c r="I245" s="2"/>
    </row>
    <row r="246" spans="1:14">
      <c r="G246" s="62" t="s">
        <v>110</v>
      </c>
      <c r="H246" s="2"/>
      <c r="I246" s="2"/>
    </row>
  </sheetData>
  <mergeCells count="29">
    <mergeCell ref="A163:B163"/>
    <mergeCell ref="C163:D163"/>
    <mergeCell ref="E163:F163"/>
    <mergeCell ref="H163:J163"/>
    <mergeCell ref="K163:M163"/>
    <mergeCell ref="D142:E142"/>
    <mergeCell ref="I142:J142"/>
    <mergeCell ref="K30:M30"/>
    <mergeCell ref="K42:M42"/>
    <mergeCell ref="K47:M47"/>
    <mergeCell ref="K98:M98"/>
    <mergeCell ref="K109:M109"/>
    <mergeCell ref="K119:M119"/>
    <mergeCell ref="D140:E140"/>
    <mergeCell ref="D141:E141"/>
    <mergeCell ref="I140:J140"/>
    <mergeCell ref="I141:J141"/>
    <mergeCell ref="K4:M4"/>
    <mergeCell ref="K15:M15"/>
    <mergeCell ref="A1:M1"/>
    <mergeCell ref="A2:M2"/>
    <mergeCell ref="A3:M3"/>
    <mergeCell ref="B145:C145"/>
    <mergeCell ref="I146:J146"/>
    <mergeCell ref="I147:J147"/>
    <mergeCell ref="I148:J148"/>
    <mergeCell ref="I143:J143"/>
    <mergeCell ref="I144:J144"/>
    <mergeCell ref="I145:J145"/>
  </mergeCells>
  <pageMargins left="0.45" right="0.45" top="0.25" bottom="0.25" header="0.3" footer="0.3"/>
  <pageSetup scale="7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472"/>
  <sheetViews>
    <sheetView topLeftCell="A229" workbookViewId="0">
      <selection activeCell="G103" sqref="G103:L107"/>
    </sheetView>
  </sheetViews>
  <sheetFormatPr defaultRowHeight="15"/>
  <cols>
    <col min="2" max="2" width="13.42578125" bestFit="1" customWidth="1"/>
    <col min="3" max="3" width="14.85546875" bestFit="1" customWidth="1"/>
    <col min="4" max="4" width="19.28515625" customWidth="1"/>
    <col min="5" max="5" width="12" bestFit="1" customWidth="1"/>
    <col min="6" max="6" width="10.5703125" bestFit="1" customWidth="1"/>
    <col min="7" max="7" width="24.42578125" bestFit="1" customWidth="1"/>
    <col min="8" max="8" width="6.42578125" bestFit="1" customWidth="1"/>
    <col min="9" max="9" width="10.5703125" bestFit="1" customWidth="1"/>
    <col min="10" max="10" width="10.85546875" customWidth="1"/>
    <col min="11" max="11" width="11.5703125" bestFit="1" customWidth="1"/>
    <col min="12" max="12" width="9.5703125" bestFit="1" customWidth="1"/>
    <col min="13" max="13" width="11" customWidth="1"/>
    <col min="14" max="14" width="12.28515625" customWidth="1"/>
  </cols>
  <sheetData>
    <row r="1" spans="1:14" s="28" customFormat="1" ht="20.100000000000001" customHeight="1">
      <c r="A1" s="906" t="s">
        <v>146</v>
      </c>
      <c r="B1" s="906"/>
      <c r="C1" s="906"/>
      <c r="D1" s="906"/>
      <c r="E1" s="906"/>
      <c r="F1" s="906"/>
      <c r="G1" s="906"/>
      <c r="H1" s="906"/>
      <c r="I1" s="906"/>
      <c r="J1" s="906"/>
      <c r="K1" s="906"/>
      <c r="L1" s="906"/>
      <c r="M1" s="906"/>
      <c r="N1" s="72"/>
    </row>
    <row r="2" spans="1:14" s="28" customFormat="1" ht="20.100000000000001" customHeight="1">
      <c r="A2" s="881" t="s">
        <v>147</v>
      </c>
      <c r="B2" s="881"/>
      <c r="C2" s="881"/>
      <c r="D2" s="881"/>
      <c r="E2" s="881"/>
      <c r="F2" s="881"/>
      <c r="G2" s="881"/>
      <c r="H2" s="881"/>
      <c r="I2" s="881"/>
      <c r="J2" s="881"/>
      <c r="K2" s="881"/>
      <c r="L2" s="881"/>
      <c r="M2" s="881"/>
      <c r="N2" s="539"/>
    </row>
    <row r="3" spans="1:14" s="28" customFormat="1" ht="20.100000000000001" customHeight="1">
      <c r="A3" s="928" t="s">
        <v>148</v>
      </c>
      <c r="B3" s="928"/>
      <c r="C3" s="928"/>
      <c r="D3" s="928"/>
      <c r="E3" s="928"/>
      <c r="F3" s="928"/>
      <c r="G3" s="928"/>
      <c r="H3" s="928"/>
      <c r="I3" s="928"/>
      <c r="J3" s="928"/>
      <c r="K3" s="928"/>
      <c r="L3" s="928"/>
      <c r="M3" s="928"/>
      <c r="N3" s="540"/>
    </row>
    <row r="4" spans="1:14" s="28" customFormat="1" ht="15" customHeight="1">
      <c r="A4" s="106" t="s">
        <v>21</v>
      </c>
      <c r="B4" s="106"/>
      <c r="C4" s="106"/>
      <c r="D4" s="106"/>
      <c r="E4" s="106"/>
      <c r="F4" s="107"/>
      <c r="G4" s="107"/>
      <c r="H4" s="107"/>
      <c r="I4" s="107"/>
      <c r="J4" s="107"/>
      <c r="K4" s="867" t="s">
        <v>1011</v>
      </c>
      <c r="L4" s="867"/>
      <c r="M4" s="867"/>
      <c r="N4" s="107"/>
    </row>
    <row r="5" spans="1:14" s="28" customFormat="1" ht="15" customHeight="1">
      <c r="A5" s="244" t="s">
        <v>0</v>
      </c>
      <c r="B5" s="244" t="s">
        <v>7</v>
      </c>
      <c r="C5" s="244" t="s">
        <v>13</v>
      </c>
      <c r="D5" s="244" t="s">
        <v>14</v>
      </c>
      <c r="E5" s="244" t="s">
        <v>8</v>
      </c>
      <c r="F5" s="244" t="s">
        <v>1</v>
      </c>
      <c r="G5" s="244" t="s">
        <v>2</v>
      </c>
      <c r="H5" s="244" t="s">
        <v>15</v>
      </c>
      <c r="I5" s="244" t="s">
        <v>3</v>
      </c>
      <c r="J5" s="244" t="s">
        <v>4</v>
      </c>
      <c r="K5" s="244" t="s">
        <v>5</v>
      </c>
      <c r="L5" s="244" t="s">
        <v>12</v>
      </c>
      <c r="M5" s="244" t="s">
        <v>6</v>
      </c>
      <c r="N5" s="107"/>
    </row>
    <row r="6" spans="1:14" s="28" customFormat="1" ht="15" customHeight="1">
      <c r="A6" s="120">
        <v>1</v>
      </c>
      <c r="B6" s="513" t="s">
        <v>1041</v>
      </c>
      <c r="C6" s="89" t="s">
        <v>766</v>
      </c>
      <c r="D6" s="89" t="s">
        <v>465</v>
      </c>
      <c r="E6" s="513"/>
      <c r="F6" s="87">
        <f>3575*1.0936</f>
        <v>3909.6199999999994</v>
      </c>
      <c r="G6" s="517" t="s">
        <v>1070</v>
      </c>
      <c r="H6" s="79"/>
      <c r="I6" s="80">
        <v>5</v>
      </c>
      <c r="J6" s="81">
        <v>227</v>
      </c>
      <c r="K6" s="81">
        <f t="shared" ref="K6:K7" si="0">I6*J6</f>
        <v>1135</v>
      </c>
      <c r="L6" s="79"/>
      <c r="M6" s="156" t="e">
        <f>I6+#REF!+#REF!</f>
        <v>#REF!</v>
      </c>
      <c r="N6" s="120" t="s">
        <v>173</v>
      </c>
    </row>
    <row r="7" spans="1:14" s="28" customFormat="1" ht="15" customHeight="1">
      <c r="A7" s="120"/>
      <c r="B7" s="513" t="s">
        <v>269</v>
      </c>
      <c r="C7" s="513"/>
      <c r="D7" s="513"/>
      <c r="E7" s="513"/>
      <c r="F7" s="87">
        <f>499*1.0936</f>
        <v>545.70639999999992</v>
      </c>
      <c r="G7" s="517" t="s">
        <v>1067</v>
      </c>
      <c r="H7" s="79"/>
      <c r="I7" s="80">
        <v>3</v>
      </c>
      <c r="J7" s="81">
        <v>416</v>
      </c>
      <c r="K7" s="81">
        <f t="shared" si="0"/>
        <v>1248</v>
      </c>
      <c r="L7" s="79"/>
      <c r="M7" s="156" t="e">
        <f>I7+#REF!+#REF!+I27+#REF!+#REF!</f>
        <v>#REF!</v>
      </c>
      <c r="N7" s="120" t="s">
        <v>174</v>
      </c>
    </row>
    <row r="8" spans="1:14" s="28" customFormat="1" ht="15" customHeight="1">
      <c r="A8" s="120"/>
      <c r="B8" s="513"/>
      <c r="C8" s="513"/>
      <c r="D8" s="513"/>
      <c r="E8" s="513"/>
      <c r="F8" s="87"/>
      <c r="G8" s="517" t="s">
        <v>1065</v>
      </c>
      <c r="H8" s="79"/>
      <c r="I8" s="80">
        <v>4</v>
      </c>
      <c r="J8" s="81">
        <v>165</v>
      </c>
      <c r="K8" s="81">
        <f>I8*J8</f>
        <v>660</v>
      </c>
      <c r="L8" s="79"/>
      <c r="M8" s="156" t="e">
        <f>I8+#REF!+#REF!+I28+#REF!+#REF!</f>
        <v>#REF!</v>
      </c>
      <c r="N8" s="120" t="s">
        <v>172</v>
      </c>
    </row>
    <row r="9" spans="1:14" s="28" customFormat="1" ht="15" customHeight="1">
      <c r="A9" s="120"/>
      <c r="B9" s="120"/>
      <c r="C9" s="120"/>
      <c r="D9" s="120"/>
      <c r="E9" s="273" t="s">
        <v>9</v>
      </c>
      <c r="F9" s="108">
        <f>SUM(F6:F8)</f>
        <v>4455.326399999999</v>
      </c>
      <c r="G9" s="273"/>
      <c r="H9" s="273"/>
      <c r="I9" s="80"/>
      <c r="J9" s="81"/>
      <c r="K9" s="103">
        <f>SUM(K6:K8)</f>
        <v>3043</v>
      </c>
      <c r="L9" s="103">
        <f>K9/F9</f>
        <v>0.68300270884754943</v>
      </c>
      <c r="M9" s="156" t="e">
        <f>I25+#REF!+#REF!+I58+I61+I64</f>
        <v>#REF!</v>
      </c>
      <c r="N9" s="120" t="s">
        <v>24</v>
      </c>
    </row>
    <row r="10" spans="1:14" s="28" customFormat="1" ht="15" customHeight="1">
      <c r="A10" s="120">
        <v>2</v>
      </c>
      <c r="B10" s="513" t="s">
        <v>1029</v>
      </c>
      <c r="C10" s="513" t="s">
        <v>1040</v>
      </c>
      <c r="D10" s="513" t="s">
        <v>869</v>
      </c>
      <c r="E10" s="513"/>
      <c r="F10" s="87">
        <f>3531*1.0936</f>
        <v>3861.5015999999996</v>
      </c>
      <c r="G10" s="513" t="s">
        <v>24</v>
      </c>
      <c r="H10" s="79"/>
      <c r="I10" s="80">
        <v>60</v>
      </c>
      <c r="J10" s="81">
        <v>74</v>
      </c>
      <c r="K10" s="81">
        <f t="shared" ref="K10:K12" si="1">I10*J10</f>
        <v>4440</v>
      </c>
      <c r="L10" s="79"/>
      <c r="M10" s="156" t="e">
        <f>I26+#REF!+#REF!</f>
        <v>#REF!</v>
      </c>
      <c r="N10" s="120" t="s">
        <v>175</v>
      </c>
    </row>
    <row r="11" spans="1:14" s="28" customFormat="1" ht="15" customHeight="1">
      <c r="A11" s="120"/>
      <c r="B11" s="513" t="s">
        <v>1042</v>
      </c>
      <c r="C11" s="513" t="s">
        <v>271</v>
      </c>
      <c r="D11" s="513" t="s">
        <v>1043</v>
      </c>
      <c r="E11" s="513"/>
      <c r="F11" s="87">
        <f>635*1.0936</f>
        <v>694.43599999999992</v>
      </c>
      <c r="G11" s="88" t="s">
        <v>18</v>
      </c>
      <c r="H11" s="79"/>
      <c r="I11" s="80">
        <v>30</v>
      </c>
      <c r="J11" s="81">
        <v>46</v>
      </c>
      <c r="K11" s="81">
        <f t="shared" si="1"/>
        <v>1380</v>
      </c>
      <c r="L11" s="79"/>
      <c r="M11" s="156" t="e">
        <f>I29+#REF!+#REF!</f>
        <v>#REF!</v>
      </c>
      <c r="N11" s="83" t="s">
        <v>176</v>
      </c>
    </row>
    <row r="12" spans="1:14" s="28" customFormat="1" ht="15" customHeight="1">
      <c r="A12" s="513"/>
      <c r="B12" s="513"/>
      <c r="C12" s="513"/>
      <c r="D12" s="513"/>
      <c r="E12" s="513"/>
      <c r="F12" s="87"/>
      <c r="G12" s="517" t="s">
        <v>1067</v>
      </c>
      <c r="H12" s="79"/>
      <c r="I12" s="80">
        <v>6</v>
      </c>
      <c r="J12" s="81">
        <v>416</v>
      </c>
      <c r="K12" s="81">
        <f t="shared" si="1"/>
        <v>2496</v>
      </c>
      <c r="L12" s="79"/>
      <c r="M12" s="156" t="e">
        <f>I28+I55+#REF!</f>
        <v>#REF!</v>
      </c>
      <c r="N12" s="430" t="s">
        <v>10</v>
      </c>
    </row>
    <row r="13" spans="1:14" s="28" customFormat="1" ht="15" customHeight="1">
      <c r="A13" s="513"/>
      <c r="B13" s="513"/>
      <c r="C13" s="513"/>
      <c r="D13" s="513"/>
      <c r="E13" s="273"/>
      <c r="F13" s="108"/>
      <c r="G13" s="517" t="s">
        <v>1065</v>
      </c>
      <c r="H13" s="79"/>
      <c r="I13" s="80">
        <v>4</v>
      </c>
      <c r="J13" s="81">
        <v>165</v>
      </c>
      <c r="K13" s="81">
        <f>I13*J13</f>
        <v>660</v>
      </c>
      <c r="L13" s="103"/>
      <c r="M13" s="156"/>
      <c r="N13" s="514"/>
    </row>
    <row r="14" spans="1:14" s="28" customFormat="1" ht="15" customHeight="1">
      <c r="A14" s="513"/>
      <c r="B14" s="513"/>
      <c r="C14" s="89"/>
      <c r="D14" s="89"/>
      <c r="E14" s="513"/>
      <c r="F14" s="87"/>
      <c r="G14" s="518" t="s">
        <v>1066</v>
      </c>
      <c r="H14" s="79"/>
      <c r="I14" s="80">
        <v>5</v>
      </c>
      <c r="J14" s="81">
        <v>165</v>
      </c>
      <c r="K14" s="81">
        <f t="shared" ref="K14" si="2">I14*J14</f>
        <v>825</v>
      </c>
      <c r="L14" s="79"/>
      <c r="M14" s="156"/>
      <c r="N14" s="514"/>
    </row>
    <row r="15" spans="1:14" s="28" customFormat="1" ht="15" customHeight="1">
      <c r="A15" s="513"/>
      <c r="B15" s="513"/>
      <c r="C15" s="513"/>
      <c r="D15" s="513"/>
      <c r="E15" s="273" t="s">
        <v>9</v>
      </c>
      <c r="F15" s="108">
        <f>SUM(F10:F14)</f>
        <v>4555.9375999999993</v>
      </c>
      <c r="G15" s="273"/>
      <c r="H15" s="273"/>
      <c r="I15" s="80"/>
      <c r="J15" s="81"/>
      <c r="K15" s="103">
        <f>SUM(K10:K14)</f>
        <v>9801</v>
      </c>
      <c r="L15" s="103">
        <f>K15/F15</f>
        <v>2.151258612497239</v>
      </c>
      <c r="M15" s="156"/>
      <c r="N15" s="514"/>
    </row>
    <row r="16" spans="1:14" s="28" customFormat="1" ht="15" customHeight="1">
      <c r="A16" s="513">
        <v>3</v>
      </c>
      <c r="B16" s="513" t="s">
        <v>269</v>
      </c>
      <c r="C16" s="513"/>
      <c r="D16" s="513"/>
      <c r="E16" s="513"/>
      <c r="F16" s="87">
        <f>109*1.0936</f>
        <v>119.20239999999998</v>
      </c>
      <c r="G16" s="517" t="s">
        <v>24</v>
      </c>
      <c r="H16" s="79"/>
      <c r="I16" s="80">
        <v>25</v>
      </c>
      <c r="J16" s="81">
        <v>74</v>
      </c>
      <c r="K16" s="81">
        <f t="shared" ref="K16:K18" si="3">I16*J16</f>
        <v>1850</v>
      </c>
      <c r="L16" s="103"/>
      <c r="M16" s="156"/>
      <c r="N16" s="514"/>
    </row>
    <row r="17" spans="1:14" s="28" customFormat="1" ht="15" customHeight="1">
      <c r="A17" s="513"/>
      <c r="B17" s="513"/>
      <c r="C17" s="513"/>
      <c r="D17" s="513"/>
      <c r="E17" s="273"/>
      <c r="F17" s="108"/>
      <c r="G17" s="88" t="s">
        <v>18</v>
      </c>
      <c r="H17" s="79"/>
      <c r="I17" s="80">
        <v>11</v>
      </c>
      <c r="J17" s="81">
        <v>46</v>
      </c>
      <c r="K17" s="81">
        <f t="shared" si="3"/>
        <v>506</v>
      </c>
      <c r="L17" s="103"/>
      <c r="M17" s="156"/>
      <c r="N17" s="514"/>
    </row>
    <row r="18" spans="1:14" s="28" customFormat="1" ht="15" customHeight="1">
      <c r="A18" s="513"/>
      <c r="B18" s="513"/>
      <c r="C18" s="513"/>
      <c r="D18" s="513"/>
      <c r="E18" s="273"/>
      <c r="F18" s="108"/>
      <c r="G18" s="517" t="s">
        <v>1067</v>
      </c>
      <c r="H18" s="79"/>
      <c r="I18" s="80">
        <v>3</v>
      </c>
      <c r="J18" s="81">
        <v>416</v>
      </c>
      <c r="K18" s="81">
        <f t="shared" si="3"/>
        <v>1248</v>
      </c>
      <c r="L18" s="103"/>
      <c r="M18" s="156"/>
      <c r="N18" s="514"/>
    </row>
    <row r="19" spans="1:14" s="28" customFormat="1" ht="15" customHeight="1">
      <c r="A19" s="513"/>
      <c r="B19" s="513"/>
      <c r="C19" s="513"/>
      <c r="D19" s="513"/>
      <c r="E19" s="273"/>
      <c r="F19" s="108"/>
      <c r="G19" s="517" t="s">
        <v>1065</v>
      </c>
      <c r="H19" s="79"/>
      <c r="I19" s="80">
        <v>2</v>
      </c>
      <c r="J19" s="81">
        <v>165</v>
      </c>
      <c r="K19" s="81">
        <f>I19*J19</f>
        <v>330</v>
      </c>
      <c r="L19" s="103"/>
      <c r="M19" s="156"/>
      <c r="N19" s="514"/>
    </row>
    <row r="20" spans="1:14" s="28" customFormat="1" ht="15" customHeight="1">
      <c r="A20" s="513"/>
      <c r="B20" s="513"/>
      <c r="C20" s="513"/>
      <c r="D20" s="513"/>
      <c r="E20" s="273"/>
      <c r="F20" s="108"/>
      <c r="G20" s="518" t="s">
        <v>1066</v>
      </c>
      <c r="H20" s="79"/>
      <c r="I20" s="80">
        <v>2.5</v>
      </c>
      <c r="J20" s="81">
        <v>165</v>
      </c>
      <c r="K20" s="81">
        <f t="shared" ref="K20" si="4">I20*J20</f>
        <v>412.5</v>
      </c>
      <c r="L20" s="103"/>
      <c r="M20" s="156"/>
      <c r="N20" s="514"/>
    </row>
    <row r="21" spans="1:14" s="28" customFormat="1" ht="15" customHeight="1">
      <c r="A21" s="513"/>
      <c r="B21" s="513"/>
      <c r="C21" s="513"/>
      <c r="D21" s="265"/>
      <c r="E21" s="273" t="s">
        <v>9</v>
      </c>
      <c r="F21" s="108">
        <f>SUM(F16:F20)</f>
        <v>119.20239999999998</v>
      </c>
      <c r="G21" s="273"/>
      <c r="H21" s="273"/>
      <c r="I21" s="80"/>
      <c r="J21" s="81"/>
      <c r="K21" s="103">
        <f>SUM(K16:K20)</f>
        <v>4346.5</v>
      </c>
      <c r="L21" s="103">
        <f>K21/F21</f>
        <v>36.463192016268131</v>
      </c>
      <c r="M21" s="275"/>
      <c r="N21" s="276"/>
    </row>
    <row r="22" spans="1:14" s="28" customFormat="1" ht="15" customHeight="1">
      <c r="A22" s="107"/>
      <c r="B22" s="107"/>
      <c r="C22" s="107"/>
      <c r="D22" s="133" t="s">
        <v>30</v>
      </c>
      <c r="E22" s="133"/>
      <c r="F22" s="134">
        <f>F9+F15+F21</f>
        <v>9130.4663999999993</v>
      </c>
      <c r="G22" s="135"/>
      <c r="H22" s="135"/>
      <c r="I22" s="135"/>
      <c r="J22" s="135"/>
      <c r="K22" s="134">
        <f>K9+K15+K21</f>
        <v>17190.5</v>
      </c>
      <c r="L22" s="151">
        <f>K22/F22</f>
        <v>1.8827625278813798</v>
      </c>
      <c r="M22" s="107"/>
      <c r="N22" s="107"/>
    </row>
    <row r="23" spans="1:14" s="28" customFormat="1" ht="15" customHeight="1">
      <c r="A23" s="106" t="s">
        <v>23</v>
      </c>
      <c r="B23" s="106"/>
      <c r="C23" s="106"/>
      <c r="D23" s="106"/>
      <c r="E23" s="106"/>
      <c r="F23" s="107"/>
      <c r="G23" s="107"/>
      <c r="H23" s="107"/>
      <c r="I23" s="107"/>
      <c r="J23" s="107"/>
      <c r="K23" s="867" t="s">
        <v>1011</v>
      </c>
      <c r="L23" s="867"/>
      <c r="M23" s="867"/>
      <c r="N23" s="107"/>
    </row>
    <row r="24" spans="1:14" s="28" customFormat="1" ht="15" customHeight="1">
      <c r="A24" s="244" t="s">
        <v>0</v>
      </c>
      <c r="B24" s="244" t="s">
        <v>7</v>
      </c>
      <c r="C24" s="244" t="s">
        <v>13</v>
      </c>
      <c r="D24" s="244" t="s">
        <v>14</v>
      </c>
      <c r="E24" s="244" t="s">
        <v>8</v>
      </c>
      <c r="F24" s="244" t="s">
        <v>1</v>
      </c>
      <c r="G24" s="244" t="s">
        <v>2</v>
      </c>
      <c r="H24" s="244" t="s">
        <v>15</v>
      </c>
      <c r="I24" s="244" t="s">
        <v>3</v>
      </c>
      <c r="J24" s="244" t="s">
        <v>4</v>
      </c>
      <c r="K24" s="244" t="s">
        <v>5</v>
      </c>
      <c r="L24" s="244" t="s">
        <v>12</v>
      </c>
      <c r="M24" s="244" t="s">
        <v>6</v>
      </c>
      <c r="N24" s="107"/>
    </row>
    <row r="25" spans="1:14" s="28" customFormat="1" ht="15" customHeight="1">
      <c r="A25" s="120">
        <v>1</v>
      </c>
      <c r="B25" s="513" t="s">
        <v>1028</v>
      </c>
      <c r="C25" s="513" t="s">
        <v>302</v>
      </c>
      <c r="D25" s="513" t="s">
        <v>307</v>
      </c>
      <c r="E25" s="513"/>
      <c r="F25" s="90">
        <f>2240*1.0936</f>
        <v>2449.6639999999998</v>
      </c>
      <c r="G25" s="517" t="s">
        <v>24</v>
      </c>
      <c r="H25" s="79"/>
      <c r="I25" s="80">
        <v>30</v>
      </c>
      <c r="J25" s="81">
        <v>74</v>
      </c>
      <c r="K25" s="81">
        <f t="shared" ref="K25:K27" si="5">I25*J25</f>
        <v>2220</v>
      </c>
      <c r="L25" s="79"/>
      <c r="M25" s="162"/>
      <c r="N25" s="107"/>
    </row>
    <row r="26" spans="1:14" s="28" customFormat="1" ht="15" customHeight="1">
      <c r="A26" s="120"/>
      <c r="B26" s="513" t="s">
        <v>269</v>
      </c>
      <c r="C26" s="513"/>
      <c r="D26" s="513"/>
      <c r="E26" s="513"/>
      <c r="F26" s="87">
        <f>122*1.0936</f>
        <v>133.41919999999999</v>
      </c>
      <c r="G26" s="88" t="s">
        <v>18</v>
      </c>
      <c r="H26" s="79"/>
      <c r="I26" s="80">
        <v>15</v>
      </c>
      <c r="J26" s="81">
        <v>46</v>
      </c>
      <c r="K26" s="81">
        <f t="shared" si="5"/>
        <v>690</v>
      </c>
      <c r="L26" s="79"/>
      <c r="M26" s="79"/>
      <c r="N26" s="107"/>
    </row>
    <row r="27" spans="1:14" s="28" customFormat="1" ht="15" customHeight="1">
      <c r="A27" s="120"/>
      <c r="B27" s="120"/>
      <c r="C27" s="120"/>
      <c r="D27" s="120"/>
      <c r="E27" s="120"/>
      <c r="F27" s="87"/>
      <c r="G27" s="517" t="s">
        <v>1067</v>
      </c>
      <c r="H27" s="79"/>
      <c r="I27" s="80">
        <v>8</v>
      </c>
      <c r="J27" s="81">
        <v>416</v>
      </c>
      <c r="K27" s="81">
        <f t="shared" si="5"/>
        <v>3328</v>
      </c>
      <c r="L27" s="79"/>
      <c r="M27" s="79"/>
      <c r="N27" s="107"/>
    </row>
    <row r="28" spans="1:14" s="28" customFormat="1" ht="15" customHeight="1">
      <c r="A28" s="120"/>
      <c r="B28" s="120"/>
      <c r="C28" s="120"/>
      <c r="D28" s="120"/>
      <c r="E28" s="120"/>
      <c r="F28" s="87"/>
      <c r="G28" s="517" t="s">
        <v>1065</v>
      </c>
      <c r="H28" s="79"/>
      <c r="I28" s="80">
        <v>6</v>
      </c>
      <c r="J28" s="81">
        <v>165</v>
      </c>
      <c r="K28" s="81">
        <f>I28*J28</f>
        <v>990</v>
      </c>
      <c r="L28" s="79"/>
      <c r="M28" s="79"/>
      <c r="N28" s="107"/>
    </row>
    <row r="29" spans="1:14" s="28" customFormat="1" ht="15" customHeight="1">
      <c r="A29" s="120"/>
      <c r="B29" s="577"/>
      <c r="C29" s="89"/>
      <c r="D29" s="89"/>
      <c r="E29" s="579"/>
      <c r="F29" s="90"/>
      <c r="G29" s="518" t="s">
        <v>1066</v>
      </c>
      <c r="H29" s="79"/>
      <c r="I29" s="80">
        <v>4</v>
      </c>
      <c r="J29" s="81">
        <v>165</v>
      </c>
      <c r="K29" s="81">
        <f t="shared" ref="K29" si="6">I29*J29</f>
        <v>660</v>
      </c>
      <c r="L29" s="79"/>
      <c r="M29" s="79"/>
      <c r="N29" s="107"/>
    </row>
    <row r="30" spans="1:14" s="28" customFormat="1" ht="15" customHeight="1">
      <c r="A30" s="577"/>
      <c r="B30" s="577"/>
      <c r="C30" s="89"/>
      <c r="D30" s="89"/>
      <c r="E30" s="273" t="s">
        <v>9</v>
      </c>
      <c r="F30" s="108">
        <f>SUM(F25:F29)</f>
        <v>2583.0831999999996</v>
      </c>
      <c r="G30" s="273"/>
      <c r="H30" s="273"/>
      <c r="I30" s="80"/>
      <c r="J30" s="81"/>
      <c r="K30" s="103">
        <f>SUM(K25:K29)</f>
        <v>7888</v>
      </c>
      <c r="L30" s="103">
        <f>K30/F30</f>
        <v>3.0537150332594791</v>
      </c>
      <c r="M30" s="79"/>
      <c r="N30" s="107"/>
    </row>
    <row r="31" spans="1:14" s="28" customFormat="1" ht="15" customHeight="1">
      <c r="A31" s="577">
        <v>2</v>
      </c>
      <c r="B31" s="577" t="s">
        <v>996</v>
      </c>
      <c r="C31" s="89" t="s">
        <v>766</v>
      </c>
      <c r="D31" s="89" t="s">
        <v>465</v>
      </c>
      <c r="E31" s="579"/>
      <c r="F31" s="90">
        <f>12484*1.0936</f>
        <v>13652.502399999999</v>
      </c>
      <c r="G31" s="577" t="s">
        <v>24</v>
      </c>
      <c r="H31" s="79"/>
      <c r="I31" s="80">
        <v>250</v>
      </c>
      <c r="J31" s="81">
        <v>74</v>
      </c>
      <c r="K31" s="81">
        <f t="shared" ref="K31:K33" si="7">I31*J31</f>
        <v>18500</v>
      </c>
      <c r="L31" s="79"/>
      <c r="M31" s="79"/>
      <c r="N31" s="107"/>
    </row>
    <row r="32" spans="1:14" s="28" customFormat="1" ht="15" customHeight="1">
      <c r="A32" s="577"/>
      <c r="B32" s="577" t="s">
        <v>1035</v>
      </c>
      <c r="C32" s="89" t="s">
        <v>766</v>
      </c>
      <c r="D32" s="89" t="s">
        <v>943</v>
      </c>
      <c r="E32" s="579"/>
      <c r="F32" s="90">
        <f>3490*1.0936</f>
        <v>3816.6639999999998</v>
      </c>
      <c r="G32" s="88" t="s">
        <v>18</v>
      </c>
      <c r="H32" s="79"/>
      <c r="I32" s="80">
        <v>125</v>
      </c>
      <c r="J32" s="81">
        <v>46</v>
      </c>
      <c r="K32" s="81">
        <f t="shared" si="7"/>
        <v>5750</v>
      </c>
      <c r="L32" s="79"/>
      <c r="M32" s="79"/>
      <c r="N32" s="107"/>
    </row>
    <row r="33" spans="1:14" s="28" customFormat="1" ht="15" customHeight="1">
      <c r="A33" s="577"/>
      <c r="B33" s="577" t="s">
        <v>996</v>
      </c>
      <c r="C33" s="89" t="s">
        <v>766</v>
      </c>
      <c r="D33" s="89" t="s">
        <v>465</v>
      </c>
      <c r="E33" s="579"/>
      <c r="F33" s="90">
        <f>2368*1.0936</f>
        <v>2589.6447999999996</v>
      </c>
      <c r="G33" s="577" t="s">
        <v>1067</v>
      </c>
      <c r="H33" s="79"/>
      <c r="I33" s="80">
        <v>60</v>
      </c>
      <c r="J33" s="81">
        <v>416</v>
      </c>
      <c r="K33" s="81">
        <f t="shared" si="7"/>
        <v>24960</v>
      </c>
      <c r="L33" s="79"/>
      <c r="M33" s="79"/>
      <c r="N33" s="107"/>
    </row>
    <row r="34" spans="1:14" s="28" customFormat="1" ht="15" customHeight="1">
      <c r="A34" s="577"/>
      <c r="B34" s="577"/>
      <c r="C34" s="89"/>
      <c r="D34" s="89"/>
      <c r="E34" s="579"/>
      <c r="F34" s="90"/>
      <c r="G34" s="577" t="s">
        <v>1065</v>
      </c>
      <c r="H34" s="79"/>
      <c r="I34" s="80">
        <v>40</v>
      </c>
      <c r="J34" s="81">
        <v>165</v>
      </c>
      <c r="K34" s="81">
        <f>I34*J34</f>
        <v>6600</v>
      </c>
      <c r="L34" s="79"/>
      <c r="M34" s="79"/>
      <c r="N34" s="107"/>
    </row>
    <row r="35" spans="1:14" s="28" customFormat="1" ht="15" customHeight="1">
      <c r="A35" s="577"/>
      <c r="B35" s="577"/>
      <c r="C35" s="89"/>
      <c r="D35" s="89"/>
      <c r="E35" s="579"/>
      <c r="F35" s="90"/>
      <c r="G35" s="578" t="s">
        <v>1066</v>
      </c>
      <c r="H35" s="79"/>
      <c r="I35" s="80">
        <v>50</v>
      </c>
      <c r="J35" s="81">
        <v>165</v>
      </c>
      <c r="K35" s="81">
        <f t="shared" ref="K35" si="8">I35*J35</f>
        <v>8250</v>
      </c>
      <c r="L35" s="79"/>
      <c r="M35" s="79"/>
      <c r="N35" s="107"/>
    </row>
    <row r="36" spans="1:14" s="28" customFormat="1" ht="15" customHeight="1">
      <c r="A36" s="577"/>
      <c r="B36" s="577"/>
      <c r="C36" s="89"/>
      <c r="D36" s="89"/>
      <c r="E36" s="273" t="s">
        <v>9</v>
      </c>
      <c r="F36" s="108">
        <f>SUM(F31:F35)</f>
        <v>20058.811199999996</v>
      </c>
      <c r="G36" s="273"/>
      <c r="H36" s="273"/>
      <c r="I36" s="80"/>
      <c r="J36" s="81"/>
      <c r="K36" s="103">
        <f>SUM(K31:K35)</f>
        <v>64060</v>
      </c>
      <c r="L36" s="103">
        <f>K36/F36</f>
        <v>3.1936090011156799</v>
      </c>
      <c r="M36" s="79"/>
      <c r="N36" s="107"/>
    </row>
    <row r="37" spans="1:14" s="28" customFormat="1" ht="15" customHeight="1">
      <c r="A37" s="577"/>
      <c r="B37" s="577" t="s">
        <v>1027</v>
      </c>
      <c r="C37" s="89" t="s">
        <v>1026</v>
      </c>
      <c r="D37" s="89" t="s">
        <v>364</v>
      </c>
      <c r="E37" s="577"/>
      <c r="F37" s="90">
        <f>9269*1.0936</f>
        <v>10136.578399999999</v>
      </c>
      <c r="G37" s="577" t="s">
        <v>24</v>
      </c>
      <c r="H37" s="79"/>
      <c r="I37" s="80">
        <v>300</v>
      </c>
      <c r="J37" s="81">
        <v>74</v>
      </c>
      <c r="K37" s="81">
        <f t="shared" ref="K37:K39" si="9">I37*J37</f>
        <v>22200</v>
      </c>
      <c r="L37" s="79"/>
      <c r="M37" s="79"/>
      <c r="N37" s="107"/>
    </row>
    <row r="38" spans="1:14" s="28" customFormat="1" ht="15" customHeight="1">
      <c r="A38" s="577"/>
      <c r="B38" s="577" t="s">
        <v>1027</v>
      </c>
      <c r="C38" s="89" t="s">
        <v>1026</v>
      </c>
      <c r="D38" s="89" t="s">
        <v>364</v>
      </c>
      <c r="E38" s="577"/>
      <c r="F38" s="90">
        <f>5448*1.0936</f>
        <v>5957.9327999999996</v>
      </c>
      <c r="G38" s="88" t="s">
        <v>18</v>
      </c>
      <c r="H38" s="79"/>
      <c r="I38" s="80">
        <v>150</v>
      </c>
      <c r="J38" s="81">
        <v>46</v>
      </c>
      <c r="K38" s="81">
        <f t="shared" si="9"/>
        <v>6900</v>
      </c>
      <c r="L38" s="79"/>
      <c r="M38" s="79"/>
      <c r="N38" s="107"/>
    </row>
    <row r="39" spans="1:14" s="28" customFormat="1" ht="15" customHeight="1">
      <c r="A39" s="577"/>
      <c r="B39" s="577"/>
      <c r="C39" s="577" t="s">
        <v>1032</v>
      </c>
      <c r="D39" s="577"/>
      <c r="E39" s="579"/>
      <c r="F39" s="90">
        <f>750*1.0936</f>
        <v>820.19999999999993</v>
      </c>
      <c r="G39" s="577" t="s">
        <v>1067</v>
      </c>
      <c r="H39" s="79"/>
      <c r="I39" s="80">
        <v>70</v>
      </c>
      <c r="J39" s="81">
        <v>416</v>
      </c>
      <c r="K39" s="81">
        <f t="shared" si="9"/>
        <v>29120</v>
      </c>
      <c r="L39" s="79"/>
      <c r="M39" s="79"/>
      <c r="N39" s="107"/>
    </row>
    <row r="40" spans="1:14" s="28" customFormat="1" ht="15" customHeight="1">
      <c r="A40" s="577"/>
      <c r="B40" s="577" t="s">
        <v>1036</v>
      </c>
      <c r="C40" s="89" t="s">
        <v>1026</v>
      </c>
      <c r="D40" s="89" t="s">
        <v>364</v>
      </c>
      <c r="E40" s="577"/>
      <c r="F40" s="90">
        <f>5358*1.0936</f>
        <v>5859.5087999999996</v>
      </c>
      <c r="G40" s="577" t="s">
        <v>1065</v>
      </c>
      <c r="H40" s="79"/>
      <c r="I40" s="80">
        <v>35</v>
      </c>
      <c r="J40" s="81">
        <v>165</v>
      </c>
      <c r="K40" s="81">
        <f>I40*J40</f>
        <v>5775</v>
      </c>
      <c r="L40" s="79"/>
      <c r="M40" s="79"/>
      <c r="N40" s="107"/>
    </row>
    <row r="41" spans="1:14" s="28" customFormat="1" ht="15" customHeight="1">
      <c r="A41" s="577"/>
      <c r="B41" s="577"/>
      <c r="C41" s="89"/>
      <c r="D41" s="89"/>
      <c r="E41" s="579"/>
      <c r="F41" s="90"/>
      <c r="G41" s="578" t="s">
        <v>1066</v>
      </c>
      <c r="H41" s="79"/>
      <c r="I41" s="80">
        <v>40</v>
      </c>
      <c r="J41" s="81">
        <v>165</v>
      </c>
      <c r="K41" s="81">
        <f t="shared" ref="K41" si="10">I41*J41</f>
        <v>6600</v>
      </c>
      <c r="L41" s="79"/>
      <c r="M41" s="79"/>
      <c r="N41" s="107"/>
    </row>
    <row r="42" spans="1:14" s="28" customFormat="1" ht="15" customHeight="1">
      <c r="A42" s="577"/>
      <c r="B42" s="577"/>
      <c r="C42" s="89"/>
      <c r="D42" s="89"/>
      <c r="E42" s="273" t="s">
        <v>9</v>
      </c>
      <c r="F42" s="108">
        <f>SUM(F37:F41)</f>
        <v>22774.219999999998</v>
      </c>
      <c r="G42" s="273"/>
      <c r="H42" s="273"/>
      <c r="I42" s="80"/>
      <c r="J42" s="81"/>
      <c r="K42" s="103">
        <f>SUM(K37:K41)</f>
        <v>70595</v>
      </c>
      <c r="L42" s="103">
        <f>K42/F42</f>
        <v>3.0997768529503977</v>
      </c>
      <c r="M42" s="79"/>
      <c r="N42" s="107"/>
    </row>
    <row r="43" spans="1:14" s="28" customFormat="1" ht="15" customHeight="1">
      <c r="A43" s="577"/>
      <c r="B43" s="577" t="s">
        <v>1029</v>
      </c>
      <c r="C43" s="577" t="s">
        <v>233</v>
      </c>
      <c r="D43" s="577" t="s">
        <v>813</v>
      </c>
      <c r="E43" s="577"/>
      <c r="F43" s="90">
        <f>5220*1.0936</f>
        <v>5708.5919999999996</v>
      </c>
      <c r="G43" s="577" t="s">
        <v>24</v>
      </c>
      <c r="H43" s="79"/>
      <c r="I43" s="80">
        <v>100</v>
      </c>
      <c r="J43" s="81">
        <v>74</v>
      </c>
      <c r="K43" s="81">
        <f t="shared" ref="K43:K45" si="11">I43*J43</f>
        <v>7400</v>
      </c>
      <c r="L43" s="79"/>
      <c r="M43" s="79"/>
      <c r="N43" s="107"/>
    </row>
    <row r="44" spans="1:14" s="28" customFormat="1" ht="15" customHeight="1">
      <c r="A44" s="577"/>
      <c r="B44" s="577" t="s">
        <v>1030</v>
      </c>
      <c r="C44" s="577" t="s">
        <v>530</v>
      </c>
      <c r="D44" s="577" t="s">
        <v>1031</v>
      </c>
      <c r="E44" s="577"/>
      <c r="F44" s="90">
        <f>2927*1.0936</f>
        <v>3200.9671999999996</v>
      </c>
      <c r="G44" s="88" t="s">
        <v>18</v>
      </c>
      <c r="H44" s="79"/>
      <c r="I44" s="80">
        <v>60</v>
      </c>
      <c r="J44" s="81">
        <v>46</v>
      </c>
      <c r="K44" s="81">
        <f t="shared" si="11"/>
        <v>2760</v>
      </c>
      <c r="L44" s="79"/>
      <c r="M44" s="79"/>
      <c r="N44" s="107"/>
    </row>
    <row r="45" spans="1:14" s="28" customFormat="1" ht="15" customHeight="1">
      <c r="A45" s="577"/>
      <c r="B45" s="579" t="s">
        <v>269</v>
      </c>
      <c r="C45" s="579"/>
      <c r="D45" s="579"/>
      <c r="E45" s="579"/>
      <c r="F45" s="90">
        <f>288*1.0936</f>
        <v>314.95679999999999</v>
      </c>
      <c r="G45" s="577" t="s">
        <v>1067</v>
      </c>
      <c r="H45" s="79"/>
      <c r="I45" s="80">
        <v>35</v>
      </c>
      <c r="J45" s="81">
        <v>416</v>
      </c>
      <c r="K45" s="81">
        <f t="shared" si="11"/>
        <v>14560</v>
      </c>
      <c r="L45" s="79"/>
      <c r="M45" s="79"/>
      <c r="N45" s="107"/>
    </row>
    <row r="46" spans="1:14" s="28" customFormat="1" ht="15" customHeight="1">
      <c r="A46" s="577"/>
      <c r="B46" s="577"/>
      <c r="C46" s="89"/>
      <c r="D46" s="89"/>
      <c r="E46" s="579"/>
      <c r="F46" s="90"/>
      <c r="G46" s="577" t="s">
        <v>1065</v>
      </c>
      <c r="H46" s="79"/>
      <c r="I46" s="80">
        <v>30</v>
      </c>
      <c r="J46" s="81">
        <v>165</v>
      </c>
      <c r="K46" s="81">
        <f>I46*J46</f>
        <v>4950</v>
      </c>
      <c r="L46" s="79"/>
      <c r="M46" s="79"/>
      <c r="N46" s="107"/>
    </row>
    <row r="47" spans="1:14" s="28" customFormat="1" ht="15" customHeight="1">
      <c r="A47" s="577"/>
      <c r="B47" s="577"/>
      <c r="C47" s="89"/>
      <c r="D47" s="89"/>
      <c r="E47" s="579"/>
      <c r="F47" s="90"/>
      <c r="G47" s="578" t="s">
        <v>1066</v>
      </c>
      <c r="H47" s="79"/>
      <c r="I47" s="80">
        <v>25</v>
      </c>
      <c r="J47" s="81">
        <v>165</v>
      </c>
      <c r="K47" s="81">
        <f t="shared" ref="K47" si="12">I47*J47</f>
        <v>4125</v>
      </c>
      <c r="L47" s="79"/>
      <c r="M47" s="79"/>
      <c r="N47" s="107"/>
    </row>
    <row r="48" spans="1:14" s="28" customFormat="1" ht="15" customHeight="1">
      <c r="A48" s="577"/>
      <c r="B48" s="577"/>
      <c r="C48" s="89"/>
      <c r="D48" s="89"/>
      <c r="E48" s="273" t="s">
        <v>9</v>
      </c>
      <c r="F48" s="108">
        <f>SUM(F43:F47)</f>
        <v>9224.5159999999996</v>
      </c>
      <c r="G48" s="273"/>
      <c r="H48" s="273"/>
      <c r="I48" s="80"/>
      <c r="J48" s="81"/>
      <c r="K48" s="103">
        <f>SUM(K43:K47)</f>
        <v>33795</v>
      </c>
      <c r="L48" s="103">
        <f>K48/F48</f>
        <v>3.6636068494000122</v>
      </c>
      <c r="M48" s="79"/>
      <c r="N48" s="107"/>
    </row>
    <row r="49" spans="1:14" s="28" customFormat="1" ht="15" customHeight="1">
      <c r="A49" s="577"/>
      <c r="B49" s="577" t="s">
        <v>1028</v>
      </c>
      <c r="C49" s="577" t="s">
        <v>302</v>
      </c>
      <c r="D49" s="577" t="s">
        <v>307</v>
      </c>
      <c r="E49" s="577"/>
      <c r="F49" s="90">
        <f>3640*1.0936</f>
        <v>3980.7039999999997</v>
      </c>
      <c r="G49" s="577" t="s">
        <v>24</v>
      </c>
      <c r="H49" s="79"/>
      <c r="I49" s="80">
        <v>55</v>
      </c>
      <c r="J49" s="81">
        <v>74</v>
      </c>
      <c r="K49" s="81">
        <f t="shared" ref="K49:K51" si="13">I49*J49</f>
        <v>4070</v>
      </c>
      <c r="L49" s="79"/>
      <c r="M49" s="79"/>
      <c r="N49" s="107"/>
    </row>
    <row r="50" spans="1:14" s="28" customFormat="1" ht="15" customHeight="1">
      <c r="A50" s="577"/>
      <c r="B50" s="577"/>
      <c r="C50" s="89"/>
      <c r="D50" s="89"/>
      <c r="E50" s="579"/>
      <c r="F50" s="90"/>
      <c r="G50" s="88" t="s">
        <v>18</v>
      </c>
      <c r="H50" s="79"/>
      <c r="I50" s="80">
        <v>28</v>
      </c>
      <c r="J50" s="81">
        <v>46</v>
      </c>
      <c r="K50" s="81">
        <f t="shared" si="13"/>
        <v>1288</v>
      </c>
      <c r="L50" s="79"/>
      <c r="M50" s="79"/>
      <c r="N50" s="107"/>
    </row>
    <row r="51" spans="1:14" s="28" customFormat="1" ht="15" customHeight="1">
      <c r="A51" s="577"/>
      <c r="B51" s="577"/>
      <c r="C51" s="89"/>
      <c r="D51" s="89"/>
      <c r="E51" s="579"/>
      <c r="F51" s="90"/>
      <c r="G51" s="577" t="s">
        <v>1067</v>
      </c>
      <c r="H51" s="79"/>
      <c r="I51" s="80">
        <v>13</v>
      </c>
      <c r="J51" s="81">
        <v>416</v>
      </c>
      <c r="K51" s="81">
        <f t="shared" si="13"/>
        <v>5408</v>
      </c>
      <c r="L51" s="79"/>
      <c r="M51" s="79"/>
      <c r="N51" s="107"/>
    </row>
    <row r="52" spans="1:14" s="28" customFormat="1" ht="15" customHeight="1">
      <c r="A52" s="577"/>
      <c r="B52" s="577"/>
      <c r="C52" s="89"/>
      <c r="D52" s="89"/>
      <c r="E52" s="579"/>
      <c r="F52" s="90"/>
      <c r="G52" s="577" t="s">
        <v>1065</v>
      </c>
      <c r="H52" s="79"/>
      <c r="I52" s="80">
        <v>10</v>
      </c>
      <c r="J52" s="81">
        <v>165</v>
      </c>
      <c r="K52" s="81">
        <f>I52*J52</f>
        <v>1650</v>
      </c>
      <c r="L52" s="79"/>
      <c r="M52" s="79"/>
      <c r="N52" s="107"/>
    </row>
    <row r="53" spans="1:14" s="28" customFormat="1" ht="15" customHeight="1">
      <c r="A53" s="577"/>
      <c r="B53" s="577"/>
      <c r="C53" s="89"/>
      <c r="D53" s="89"/>
      <c r="E53" s="579"/>
      <c r="F53" s="90"/>
      <c r="G53" s="578" t="s">
        <v>1066</v>
      </c>
      <c r="H53" s="79"/>
      <c r="I53" s="80">
        <v>12</v>
      </c>
      <c r="J53" s="81">
        <v>165</v>
      </c>
      <c r="K53" s="81">
        <f t="shared" ref="K53" si="14">I53*J53</f>
        <v>1980</v>
      </c>
      <c r="L53" s="79"/>
      <c r="M53" s="79"/>
      <c r="N53" s="107"/>
    </row>
    <row r="54" spans="1:14" s="28" customFormat="1" ht="15" customHeight="1">
      <c r="A54" s="120"/>
      <c r="B54" s="120"/>
      <c r="C54" s="120"/>
      <c r="D54" s="120"/>
      <c r="E54" s="244" t="s">
        <v>9</v>
      </c>
      <c r="F54" s="108">
        <f>SUM(F49:F53)</f>
        <v>3980.7039999999997</v>
      </c>
      <c r="G54" s="244"/>
      <c r="H54" s="244"/>
      <c r="I54" s="80"/>
      <c r="J54" s="81"/>
      <c r="K54" s="103">
        <f>SUM(K49:K53)</f>
        <v>14396</v>
      </c>
      <c r="L54" s="103">
        <f>K54/F54</f>
        <v>3.6164457342218865</v>
      </c>
      <c r="M54" s="79"/>
      <c r="N54" s="107"/>
    </row>
    <row r="55" spans="1:14" s="28" customFormat="1" ht="15" customHeight="1">
      <c r="A55" s="137"/>
      <c r="B55" s="137"/>
      <c r="C55" s="137"/>
      <c r="D55" s="244" t="s">
        <v>30</v>
      </c>
      <c r="E55" s="244"/>
      <c r="F55" s="134">
        <f>F30+F36+F42+F48+F54</f>
        <v>58621.334399999992</v>
      </c>
      <c r="G55" s="195"/>
      <c r="H55" s="195"/>
      <c r="I55" s="195"/>
      <c r="J55" s="195"/>
      <c r="K55" s="134">
        <f>K30+K36+K42+K48+K54</f>
        <v>190734</v>
      </c>
      <c r="L55" s="151">
        <f>K55/F55</f>
        <v>3.2536618613717541</v>
      </c>
      <c r="M55" s="79"/>
      <c r="N55" s="107"/>
    </row>
    <row r="56" spans="1:14" s="28" customFormat="1" ht="15" customHeight="1">
      <c r="A56" s="106" t="s">
        <v>22</v>
      </c>
      <c r="B56" s="106"/>
      <c r="C56" s="106"/>
      <c r="D56" s="106"/>
      <c r="E56" s="106"/>
      <c r="F56" s="107"/>
      <c r="G56" s="107"/>
      <c r="H56" s="107"/>
      <c r="I56" s="107"/>
      <c r="J56" s="107"/>
      <c r="K56" s="867" t="s">
        <v>1011</v>
      </c>
      <c r="L56" s="867"/>
      <c r="M56" s="867"/>
      <c r="N56" s="107"/>
    </row>
    <row r="57" spans="1:14" s="28" customFormat="1" ht="15" customHeight="1">
      <c r="A57" s="244" t="s">
        <v>0</v>
      </c>
      <c r="B57" s="244" t="s">
        <v>7</v>
      </c>
      <c r="C57" s="244" t="s">
        <v>13</v>
      </c>
      <c r="D57" s="244" t="s">
        <v>14</v>
      </c>
      <c r="E57" s="244" t="s">
        <v>8</v>
      </c>
      <c r="F57" s="244" t="s">
        <v>1</v>
      </c>
      <c r="G57" s="244" t="s">
        <v>2</v>
      </c>
      <c r="H57" s="244" t="s">
        <v>15</v>
      </c>
      <c r="I57" s="244" t="s">
        <v>3</v>
      </c>
      <c r="J57" s="244" t="s">
        <v>4</v>
      </c>
      <c r="K57" s="244" t="s">
        <v>5</v>
      </c>
      <c r="L57" s="244" t="s">
        <v>12</v>
      </c>
      <c r="M57" s="244" t="s">
        <v>6</v>
      </c>
      <c r="N57" s="107"/>
    </row>
    <row r="58" spans="1:14" s="28" customFormat="1" ht="15" customHeight="1">
      <c r="A58" s="120">
        <v>1</v>
      </c>
      <c r="B58" s="513" t="s">
        <v>1037</v>
      </c>
      <c r="C58" s="89" t="s">
        <v>1033</v>
      </c>
      <c r="D58" s="89" t="s">
        <v>1034</v>
      </c>
      <c r="E58" s="513"/>
      <c r="F58" s="90">
        <f>7390*1.0936</f>
        <v>8081.7039999999997</v>
      </c>
      <c r="G58" s="120" t="s">
        <v>24</v>
      </c>
      <c r="H58" s="79"/>
      <c r="I58" s="80">
        <f>39+69</f>
        <v>108</v>
      </c>
      <c r="J58" s="81">
        <v>80</v>
      </c>
      <c r="K58" s="81">
        <f t="shared" ref="K58:K59" si="15">I58*J58</f>
        <v>8640</v>
      </c>
      <c r="L58" s="79"/>
      <c r="M58" s="162"/>
      <c r="N58" s="107"/>
    </row>
    <row r="59" spans="1:14" s="28" customFormat="1" ht="15" customHeight="1">
      <c r="A59" s="120"/>
      <c r="B59" s="120"/>
      <c r="C59" s="120"/>
      <c r="D59" s="120"/>
      <c r="E59" s="120"/>
      <c r="F59" s="87"/>
      <c r="G59" s="84" t="s">
        <v>10</v>
      </c>
      <c r="H59" s="79"/>
      <c r="I59" s="80">
        <v>30</v>
      </c>
      <c r="J59" s="81">
        <v>120</v>
      </c>
      <c r="K59" s="81">
        <f t="shared" si="15"/>
        <v>3600</v>
      </c>
      <c r="L59" s="79"/>
      <c r="M59" s="79"/>
      <c r="N59" s="107"/>
    </row>
    <row r="60" spans="1:14" s="28" customFormat="1" ht="15" customHeight="1">
      <c r="A60" s="120"/>
      <c r="B60" s="120"/>
      <c r="C60" s="120"/>
      <c r="D60" s="120"/>
      <c r="E60" s="244" t="s">
        <v>9</v>
      </c>
      <c r="F60" s="108">
        <f>SUM(F58:F59)</f>
        <v>8081.7039999999997</v>
      </c>
      <c r="G60" s="244"/>
      <c r="H60" s="244"/>
      <c r="I60" s="80"/>
      <c r="J60" s="81"/>
      <c r="K60" s="103">
        <f>SUM(K58:K59)</f>
        <v>12240</v>
      </c>
      <c r="L60" s="103">
        <f>K60/F60</f>
        <v>1.514532083827866</v>
      </c>
      <c r="M60" s="79"/>
      <c r="N60" s="107"/>
    </row>
    <row r="61" spans="1:14" s="28" customFormat="1" ht="15" customHeight="1">
      <c r="A61" s="120">
        <v>2</v>
      </c>
      <c r="B61" s="513" t="s">
        <v>1029</v>
      </c>
      <c r="C61" s="513" t="s">
        <v>1040</v>
      </c>
      <c r="D61" s="513" t="s">
        <v>869</v>
      </c>
      <c r="E61" s="513"/>
      <c r="F61" s="87">
        <f>6100*1.0936</f>
        <v>6670.9599999999991</v>
      </c>
      <c r="G61" s="120" t="s">
        <v>24</v>
      </c>
      <c r="H61" s="79"/>
      <c r="I61" s="80">
        <v>91</v>
      </c>
      <c r="J61" s="81">
        <v>74</v>
      </c>
      <c r="K61" s="81">
        <f t="shared" ref="K61:K62" si="16">I61*J61</f>
        <v>6734</v>
      </c>
      <c r="L61" s="79"/>
      <c r="M61" s="79"/>
      <c r="N61" s="107"/>
    </row>
    <row r="62" spans="1:14" s="28" customFormat="1" ht="15" customHeight="1">
      <c r="A62" s="120"/>
      <c r="B62" s="120"/>
      <c r="C62" s="120"/>
      <c r="D62" s="120"/>
      <c r="E62" s="120"/>
      <c r="F62" s="87"/>
      <c r="G62" s="84" t="s">
        <v>10</v>
      </c>
      <c r="H62" s="79"/>
      <c r="I62" s="80">
        <v>20</v>
      </c>
      <c r="J62" s="81">
        <v>120</v>
      </c>
      <c r="K62" s="81">
        <f t="shared" si="16"/>
        <v>2400</v>
      </c>
      <c r="L62" s="79"/>
      <c r="M62" s="79"/>
      <c r="N62" s="107"/>
    </row>
    <row r="63" spans="1:14" s="28" customFormat="1" ht="15" customHeight="1">
      <c r="A63" s="120"/>
      <c r="B63" s="120"/>
      <c r="C63" s="120"/>
      <c r="D63" s="120"/>
      <c r="E63" s="244" t="s">
        <v>9</v>
      </c>
      <c r="F63" s="108">
        <f>SUM(F61:F62)</f>
        <v>6670.9599999999991</v>
      </c>
      <c r="G63" s="244"/>
      <c r="H63" s="244"/>
      <c r="I63" s="80"/>
      <c r="J63" s="81"/>
      <c r="K63" s="103">
        <f>SUM(K61:K62)</f>
        <v>9134</v>
      </c>
      <c r="L63" s="103">
        <f>K63/F63</f>
        <v>1.3692182234640893</v>
      </c>
      <c r="M63" s="79"/>
      <c r="N63" s="107"/>
    </row>
    <row r="64" spans="1:14" s="28" customFormat="1" ht="15" customHeight="1">
      <c r="A64" s="120">
        <v>3</v>
      </c>
      <c r="B64" s="513" t="s">
        <v>996</v>
      </c>
      <c r="C64" s="89" t="s">
        <v>766</v>
      </c>
      <c r="D64" s="89" t="s">
        <v>465</v>
      </c>
      <c r="E64" s="512"/>
      <c r="F64" s="90">
        <f>11405*1.0936</f>
        <v>12472.508</v>
      </c>
      <c r="G64" s="120" t="s">
        <v>24</v>
      </c>
      <c r="H64" s="79"/>
      <c r="I64" s="80">
        <v>125</v>
      </c>
      <c r="J64" s="81">
        <v>74</v>
      </c>
      <c r="K64" s="81">
        <f t="shared" ref="K64:K65" si="17">I64*J64</f>
        <v>9250</v>
      </c>
      <c r="L64" s="79"/>
      <c r="M64" s="79"/>
      <c r="N64" s="107"/>
    </row>
    <row r="65" spans="1:14" s="28" customFormat="1" ht="15" customHeight="1">
      <c r="A65" s="120"/>
      <c r="B65" s="120"/>
      <c r="C65" s="120"/>
      <c r="D65" s="120"/>
      <c r="E65" s="120"/>
      <c r="F65" s="87"/>
      <c r="G65" s="84" t="s">
        <v>10</v>
      </c>
      <c r="H65" s="79"/>
      <c r="I65" s="80">
        <v>20</v>
      </c>
      <c r="J65" s="81">
        <v>120</v>
      </c>
      <c r="K65" s="81">
        <f t="shared" si="17"/>
        <v>2400</v>
      </c>
      <c r="L65" s="79"/>
      <c r="M65" s="79"/>
      <c r="N65" s="107"/>
    </row>
    <row r="66" spans="1:14" s="28" customFormat="1" ht="15" customHeight="1">
      <c r="A66" s="120"/>
      <c r="B66" s="120"/>
      <c r="C66" s="120"/>
      <c r="D66" s="120"/>
      <c r="E66" s="273" t="s">
        <v>9</v>
      </c>
      <c r="F66" s="108">
        <f>SUM(F64:F65)</f>
        <v>12472.508</v>
      </c>
      <c r="G66" s="273"/>
      <c r="H66" s="273"/>
      <c r="I66" s="80"/>
      <c r="J66" s="81"/>
      <c r="K66" s="103">
        <f>SUM(K64:K65)</f>
        <v>11650</v>
      </c>
      <c r="L66" s="103">
        <f>K66/F66</f>
        <v>0.93405432171300273</v>
      </c>
      <c r="M66" s="79"/>
      <c r="N66" s="107"/>
    </row>
    <row r="67" spans="1:14" s="28" customFormat="1" ht="15" customHeight="1">
      <c r="A67" s="120"/>
      <c r="B67" s="512" t="s">
        <v>269</v>
      </c>
      <c r="C67" s="512"/>
      <c r="D67" s="512"/>
      <c r="E67" s="512"/>
      <c r="F67" s="90">
        <f>1012*1.0936</f>
        <v>1106.7231999999999</v>
      </c>
      <c r="G67" s="513" t="s">
        <v>24</v>
      </c>
      <c r="H67" s="79"/>
      <c r="I67" s="80">
        <v>30</v>
      </c>
      <c r="J67" s="81">
        <v>74</v>
      </c>
      <c r="K67" s="81">
        <f t="shared" ref="K67:K68" si="18">I67*J67</f>
        <v>2220</v>
      </c>
      <c r="L67" s="79"/>
      <c r="M67" s="79"/>
      <c r="N67" s="107"/>
    </row>
    <row r="68" spans="1:14" s="28" customFormat="1" ht="15" customHeight="1">
      <c r="A68" s="120"/>
      <c r="B68" s="513" t="s">
        <v>942</v>
      </c>
      <c r="C68" s="513" t="s">
        <v>121</v>
      </c>
      <c r="D68" s="513" t="s">
        <v>122</v>
      </c>
      <c r="E68" s="512"/>
      <c r="F68" s="90">
        <f>850*1.0936</f>
        <v>929.56</v>
      </c>
      <c r="G68" s="430" t="s">
        <v>10</v>
      </c>
      <c r="H68" s="79"/>
      <c r="I68" s="80">
        <v>10</v>
      </c>
      <c r="J68" s="81">
        <v>120</v>
      </c>
      <c r="K68" s="81">
        <f t="shared" si="18"/>
        <v>1200</v>
      </c>
      <c r="L68" s="79"/>
      <c r="M68" s="79"/>
      <c r="N68" s="107"/>
    </row>
    <row r="69" spans="1:14" s="28" customFormat="1" ht="15" customHeight="1">
      <c r="A69" s="120"/>
      <c r="B69" s="120"/>
      <c r="C69" s="120"/>
      <c r="D69" s="120"/>
      <c r="E69" s="244" t="s">
        <v>9</v>
      </c>
      <c r="F69" s="108">
        <f>SUM(F67:F68)</f>
        <v>2036.2831999999999</v>
      </c>
      <c r="G69" s="244"/>
      <c r="H69" s="244"/>
      <c r="I69" s="80"/>
      <c r="J69" s="81"/>
      <c r="K69" s="103">
        <f>SUM(K67:K68)</f>
        <v>3420</v>
      </c>
      <c r="L69" s="103">
        <f>K69/F69</f>
        <v>1.6795306271740593</v>
      </c>
      <c r="M69" s="79"/>
      <c r="N69" s="107"/>
    </row>
    <row r="70" spans="1:14" s="28" customFormat="1" ht="15" customHeight="1">
      <c r="A70" s="107"/>
      <c r="B70" s="107"/>
      <c r="C70" s="107"/>
      <c r="D70" s="133" t="s">
        <v>30</v>
      </c>
      <c r="E70" s="133"/>
      <c r="F70" s="134">
        <f>F60+F63+F66+F69</f>
        <v>29261.455199999997</v>
      </c>
      <c r="G70" s="135"/>
      <c r="H70" s="135"/>
      <c r="I70" s="135"/>
      <c r="J70" s="135"/>
      <c r="K70" s="134">
        <f>K60+K63+K66+K69</f>
        <v>36444</v>
      </c>
      <c r="L70" s="151">
        <f>K70/F70</f>
        <v>1.2454609571160358</v>
      </c>
      <c r="M70" s="107"/>
      <c r="N70" s="107"/>
    </row>
    <row r="71" spans="1:14" s="28" customFormat="1" ht="15" customHeight="1">
      <c r="A71" s="106" t="s">
        <v>16</v>
      </c>
      <c r="B71" s="106"/>
      <c r="C71" s="106"/>
      <c r="D71" s="106"/>
      <c r="E71" s="106"/>
      <c r="F71" s="107"/>
      <c r="G71" s="107"/>
      <c r="H71" s="107"/>
      <c r="I71" s="107"/>
      <c r="J71" s="107"/>
      <c r="K71" s="867" t="s">
        <v>1011</v>
      </c>
      <c r="L71" s="867"/>
      <c r="M71" s="867"/>
      <c r="N71" s="107"/>
    </row>
    <row r="72" spans="1:14" s="28" customFormat="1" ht="15" customHeight="1">
      <c r="A72" s="244" t="s">
        <v>0</v>
      </c>
      <c r="B72" s="244" t="s">
        <v>7</v>
      </c>
      <c r="C72" s="244" t="s">
        <v>13</v>
      </c>
      <c r="D72" s="244" t="s">
        <v>14</v>
      </c>
      <c r="E72" s="244" t="s">
        <v>8</v>
      </c>
      <c r="F72" s="244" t="s">
        <v>1</v>
      </c>
      <c r="G72" s="244" t="s">
        <v>2</v>
      </c>
      <c r="H72" s="244" t="s">
        <v>15</v>
      </c>
      <c r="I72" s="244" t="s">
        <v>3</v>
      </c>
      <c r="J72" s="244" t="s">
        <v>4</v>
      </c>
      <c r="K72" s="244" t="s">
        <v>5</v>
      </c>
      <c r="L72" s="244" t="s">
        <v>12</v>
      </c>
      <c r="M72" s="244" t="s">
        <v>6</v>
      </c>
      <c r="N72" s="107"/>
    </row>
    <row r="73" spans="1:14" s="28" customFormat="1" ht="15" customHeight="1">
      <c r="A73" s="120"/>
      <c r="B73" s="120"/>
      <c r="C73" s="120"/>
      <c r="D73" s="120"/>
      <c r="E73" s="120"/>
      <c r="F73" s="87"/>
      <c r="G73" s="120" t="s">
        <v>75</v>
      </c>
      <c r="H73" s="120"/>
      <c r="I73" s="96"/>
      <c r="J73" s="94">
        <v>367</v>
      </c>
      <c r="K73" s="94">
        <f t="shared" ref="K73" si="19">I73*J73</f>
        <v>0</v>
      </c>
      <c r="L73" s="79"/>
      <c r="M73" s="162"/>
      <c r="N73" s="107"/>
    </row>
    <row r="74" spans="1:14" s="28" customFormat="1" ht="15" customHeight="1">
      <c r="A74" s="120"/>
      <c r="B74" s="120"/>
      <c r="C74" s="120"/>
      <c r="D74" s="120"/>
      <c r="E74" s="120"/>
      <c r="F74" s="87"/>
      <c r="G74" s="120" t="s">
        <v>69</v>
      </c>
      <c r="H74" s="79"/>
      <c r="I74" s="80"/>
      <c r="J74" s="81">
        <v>334</v>
      </c>
      <c r="K74" s="81">
        <f t="shared" ref="K74" si="20">I74*J74</f>
        <v>0</v>
      </c>
      <c r="L74" s="79"/>
      <c r="M74" s="79"/>
      <c r="N74" s="107"/>
    </row>
    <row r="75" spans="1:14" s="28" customFormat="1" ht="15" customHeight="1">
      <c r="A75" s="120"/>
      <c r="B75" s="120"/>
      <c r="C75" s="120"/>
      <c r="D75" s="120"/>
      <c r="E75" s="244" t="s">
        <v>9</v>
      </c>
      <c r="F75" s="108">
        <f>SUM(F74:F74)</f>
        <v>0</v>
      </c>
      <c r="G75" s="244"/>
      <c r="H75" s="244"/>
      <c r="I75" s="80"/>
      <c r="J75" s="81"/>
      <c r="K75" s="103">
        <f>SUM(K74:K74)</f>
        <v>0</v>
      </c>
      <c r="L75" s="103" t="e">
        <f>K75/F75</f>
        <v>#DIV/0!</v>
      </c>
      <c r="M75" s="79"/>
      <c r="N75" s="107"/>
    </row>
    <row r="76" spans="1:14" s="28" customFormat="1" ht="15" customHeight="1">
      <c r="A76" s="242"/>
      <c r="B76" s="242"/>
      <c r="C76" s="242"/>
      <c r="D76" s="133" t="s">
        <v>30</v>
      </c>
      <c r="E76" s="133"/>
      <c r="F76" s="134">
        <f>F75</f>
        <v>0</v>
      </c>
      <c r="G76" s="135"/>
      <c r="H76" s="135"/>
      <c r="I76" s="135"/>
      <c r="J76" s="135"/>
      <c r="K76" s="134">
        <f>K75</f>
        <v>0</v>
      </c>
      <c r="L76" s="151" t="e">
        <f>K76/F76</f>
        <v>#DIV/0!</v>
      </c>
      <c r="M76" s="137"/>
      <c r="N76" s="107"/>
    </row>
    <row r="77" spans="1:14" s="28" customFormat="1" ht="15" customHeight="1">
      <c r="A77" s="106" t="s">
        <v>72</v>
      </c>
      <c r="B77" s="106"/>
      <c r="C77" s="106"/>
      <c r="D77" s="106"/>
      <c r="E77" s="106"/>
      <c r="F77" s="107"/>
      <c r="G77" s="107"/>
      <c r="H77" s="107"/>
      <c r="I77" s="149"/>
      <c r="J77" s="107"/>
      <c r="K77" s="867" t="s">
        <v>1011</v>
      </c>
      <c r="L77" s="867"/>
      <c r="M77" s="867"/>
      <c r="N77" s="107"/>
    </row>
    <row r="78" spans="1:14" s="28" customFormat="1" ht="15" customHeight="1">
      <c r="A78" s="244" t="s">
        <v>0</v>
      </c>
      <c r="B78" s="244" t="s">
        <v>7</v>
      </c>
      <c r="C78" s="244" t="s">
        <v>13</v>
      </c>
      <c r="D78" s="244" t="s">
        <v>14</v>
      </c>
      <c r="E78" s="244" t="s">
        <v>8</v>
      </c>
      <c r="F78" s="244" t="s">
        <v>1</v>
      </c>
      <c r="G78" s="244" t="s">
        <v>2</v>
      </c>
      <c r="H78" s="244" t="s">
        <v>15</v>
      </c>
      <c r="I78" s="150" t="s">
        <v>3</v>
      </c>
      <c r="J78" s="244" t="s">
        <v>4</v>
      </c>
      <c r="K78" s="244" t="s">
        <v>5</v>
      </c>
      <c r="L78" s="244" t="s">
        <v>12</v>
      </c>
      <c r="M78" s="244" t="s">
        <v>6</v>
      </c>
      <c r="N78" s="246"/>
    </row>
    <row r="79" spans="1:14" s="28" customFormat="1" ht="15" customHeight="1">
      <c r="A79" s="120">
        <v>8415</v>
      </c>
      <c r="B79" s="513" t="s">
        <v>1037</v>
      </c>
      <c r="C79" s="89" t="s">
        <v>1033</v>
      </c>
      <c r="D79" s="89" t="s">
        <v>1034</v>
      </c>
      <c r="E79" s="513" t="s">
        <v>1044</v>
      </c>
      <c r="F79" s="90">
        <f>1800*1.0936</f>
        <v>1968.4799999999998</v>
      </c>
      <c r="G79" s="91" t="s">
        <v>196</v>
      </c>
      <c r="H79" s="79"/>
      <c r="I79" s="80">
        <f>2.28+0.612+0.727</f>
        <v>3.6189999999999998</v>
      </c>
      <c r="J79" s="81">
        <v>888</v>
      </c>
      <c r="K79" s="81">
        <f t="shared" ref="K79:K83" si="21">I79*J79</f>
        <v>3213.6719999999996</v>
      </c>
      <c r="L79" s="102"/>
      <c r="M79" s="79"/>
      <c r="N79" s="107"/>
    </row>
    <row r="80" spans="1:14" s="28" customFormat="1" ht="15" customHeight="1">
      <c r="A80" s="120"/>
      <c r="B80" s="120"/>
      <c r="C80" s="120"/>
      <c r="D80" s="120"/>
      <c r="E80" s="120"/>
      <c r="F80" s="87"/>
      <c r="G80" s="91" t="s">
        <v>195</v>
      </c>
      <c r="H80" s="79"/>
      <c r="I80" s="80">
        <f>0.63+0.212+0.239</f>
        <v>1.081</v>
      </c>
      <c r="J80" s="81">
        <v>645</v>
      </c>
      <c r="K80" s="81">
        <f t="shared" si="21"/>
        <v>697.245</v>
      </c>
      <c r="L80" s="102"/>
      <c r="M80" s="79"/>
      <c r="N80" s="107"/>
    </row>
    <row r="81" spans="1:14" s="28" customFormat="1" ht="15" customHeight="1">
      <c r="A81" s="120"/>
      <c r="B81" s="120"/>
      <c r="C81" s="120"/>
      <c r="D81" s="120"/>
      <c r="E81" s="120"/>
      <c r="F81" s="87"/>
      <c r="G81" s="91" t="s">
        <v>191</v>
      </c>
      <c r="H81" s="79"/>
      <c r="I81" s="80">
        <f>2.185+0.665+0.597</f>
        <v>3.4470000000000001</v>
      </c>
      <c r="J81" s="81">
        <v>1628</v>
      </c>
      <c r="K81" s="81">
        <f t="shared" si="21"/>
        <v>5611.7160000000003</v>
      </c>
      <c r="L81" s="102"/>
      <c r="M81" s="79"/>
      <c r="N81" s="107"/>
    </row>
    <row r="82" spans="1:14" s="28" customFormat="1" ht="15" customHeight="1">
      <c r="A82" s="120"/>
      <c r="B82" s="120"/>
      <c r="C82" s="120"/>
      <c r="D82" s="120"/>
      <c r="E82" s="120"/>
      <c r="F82" s="87"/>
      <c r="G82" s="513" t="s">
        <v>184</v>
      </c>
      <c r="H82" s="513"/>
      <c r="I82" s="80">
        <f>4.5</f>
        <v>4.5</v>
      </c>
      <c r="J82" s="81">
        <v>336</v>
      </c>
      <c r="K82" s="94">
        <f t="shared" si="21"/>
        <v>1512</v>
      </c>
      <c r="L82" s="102"/>
      <c r="M82" s="79"/>
      <c r="N82" s="107"/>
    </row>
    <row r="83" spans="1:14" s="28" customFormat="1" ht="15" customHeight="1">
      <c r="A83" s="120"/>
      <c r="B83" s="120"/>
      <c r="C83" s="120"/>
      <c r="D83" s="120"/>
      <c r="E83" s="120"/>
      <c r="F83" s="87"/>
      <c r="G83" s="95" t="s">
        <v>185</v>
      </c>
      <c r="H83" s="79"/>
      <c r="I83" s="96">
        <v>0.9</v>
      </c>
      <c r="J83" s="81">
        <v>490</v>
      </c>
      <c r="K83" s="81">
        <f t="shared" si="21"/>
        <v>441</v>
      </c>
      <c r="L83" s="102"/>
      <c r="M83" s="79"/>
      <c r="N83" s="107"/>
    </row>
    <row r="84" spans="1:14" s="28" customFormat="1" ht="15" customHeight="1">
      <c r="A84" s="120"/>
      <c r="B84" s="120"/>
      <c r="C84" s="120"/>
      <c r="D84" s="120"/>
      <c r="E84" s="244" t="s">
        <v>9</v>
      </c>
      <c r="F84" s="108">
        <f>SUM(F79:F83)</f>
        <v>1968.4799999999998</v>
      </c>
      <c r="G84" s="244"/>
      <c r="H84" s="244"/>
      <c r="I84" s="80"/>
      <c r="J84" s="81"/>
      <c r="K84" s="103">
        <f>SUM(K79:K83)</f>
        <v>11475.633</v>
      </c>
      <c r="L84" s="103">
        <f>K84/F84</f>
        <v>5.8296924530602299</v>
      </c>
      <c r="M84" s="79"/>
      <c r="N84" s="107"/>
    </row>
    <row r="85" spans="1:14" s="28" customFormat="1" ht="15" customHeight="1">
      <c r="A85" s="120">
        <v>8418</v>
      </c>
      <c r="B85" s="513" t="s">
        <v>1045</v>
      </c>
      <c r="C85" s="89" t="s">
        <v>1033</v>
      </c>
      <c r="D85" s="89" t="s">
        <v>1034</v>
      </c>
      <c r="E85" s="513" t="s">
        <v>205</v>
      </c>
      <c r="F85" s="90">
        <f>1800*1.0936</f>
        <v>1968.4799999999998</v>
      </c>
      <c r="G85" s="91" t="s">
        <v>196</v>
      </c>
      <c r="H85" s="79"/>
      <c r="I85" s="80">
        <v>4.95</v>
      </c>
      <c r="J85" s="81">
        <v>888</v>
      </c>
      <c r="K85" s="81">
        <f t="shared" ref="K85:K89" si="22">I85*J85</f>
        <v>4395.6000000000004</v>
      </c>
      <c r="L85" s="102"/>
      <c r="M85" s="79"/>
      <c r="N85" s="107"/>
    </row>
    <row r="86" spans="1:14" s="28" customFormat="1" ht="15" customHeight="1">
      <c r="A86" s="120"/>
      <c r="B86" s="120"/>
      <c r="C86" s="120"/>
      <c r="D86" s="120"/>
      <c r="E86" s="120"/>
      <c r="F86" s="120"/>
      <c r="G86" s="91" t="s">
        <v>195</v>
      </c>
      <c r="H86" s="79"/>
      <c r="I86" s="80">
        <v>1.647</v>
      </c>
      <c r="J86" s="81">
        <v>645</v>
      </c>
      <c r="K86" s="81">
        <f t="shared" si="22"/>
        <v>1062.3150000000001</v>
      </c>
      <c r="L86" s="102"/>
      <c r="M86" s="79"/>
      <c r="N86" s="107"/>
    </row>
    <row r="87" spans="1:14" s="28" customFormat="1" ht="15" customHeight="1">
      <c r="A87" s="120"/>
      <c r="B87" s="120"/>
      <c r="C87" s="120"/>
      <c r="D87" s="120"/>
      <c r="E87" s="120"/>
      <c r="F87" s="87"/>
      <c r="G87" s="91" t="s">
        <v>194</v>
      </c>
      <c r="H87" s="79"/>
      <c r="I87" s="80">
        <v>3.375</v>
      </c>
      <c r="J87" s="81">
        <v>879</v>
      </c>
      <c r="K87" s="81">
        <f t="shared" si="22"/>
        <v>2966.625</v>
      </c>
      <c r="L87" s="79"/>
      <c r="M87" s="79"/>
      <c r="N87" s="107"/>
    </row>
    <row r="88" spans="1:14" s="28" customFormat="1" ht="15" customHeight="1">
      <c r="A88" s="120"/>
      <c r="B88" s="120"/>
      <c r="C88" s="120"/>
      <c r="D88" s="120"/>
      <c r="E88" s="120"/>
      <c r="F88" s="87"/>
      <c r="G88" s="513" t="s">
        <v>184</v>
      </c>
      <c r="H88" s="513"/>
      <c r="I88" s="80">
        <v>4.5</v>
      </c>
      <c r="J88" s="81">
        <v>336</v>
      </c>
      <c r="K88" s="94">
        <f t="shared" si="22"/>
        <v>1512</v>
      </c>
      <c r="L88" s="102"/>
      <c r="M88" s="79"/>
      <c r="N88" s="107"/>
    </row>
    <row r="89" spans="1:14" s="28" customFormat="1" ht="15" customHeight="1">
      <c r="A89" s="120"/>
      <c r="B89" s="120"/>
      <c r="C89" s="120"/>
      <c r="D89" s="120"/>
      <c r="E89" s="120"/>
      <c r="F89" s="87"/>
      <c r="G89" s="95" t="s">
        <v>185</v>
      </c>
      <c r="H89" s="79"/>
      <c r="I89" s="96">
        <v>0.9</v>
      </c>
      <c r="J89" s="81">
        <v>490</v>
      </c>
      <c r="K89" s="81">
        <f t="shared" si="22"/>
        <v>441</v>
      </c>
      <c r="L89" s="102"/>
      <c r="M89" s="79"/>
      <c r="N89" s="107"/>
    </row>
    <row r="90" spans="1:14" s="28" customFormat="1" ht="15" customHeight="1">
      <c r="A90" s="120"/>
      <c r="B90" s="120"/>
      <c r="C90" s="120"/>
      <c r="D90" s="120"/>
      <c r="E90" s="244" t="s">
        <v>9</v>
      </c>
      <c r="F90" s="108">
        <f>SUM(F85:F89)</f>
        <v>1968.4799999999998</v>
      </c>
      <c r="G90" s="244"/>
      <c r="H90" s="244"/>
      <c r="I90" s="80"/>
      <c r="J90" s="81"/>
      <c r="K90" s="103">
        <f>SUM(K85:K89)</f>
        <v>10377.540000000001</v>
      </c>
      <c r="L90" s="103">
        <f>K90/F90</f>
        <v>5.2718544257498179</v>
      </c>
      <c r="M90" s="79"/>
      <c r="N90" s="107"/>
    </row>
    <row r="91" spans="1:14" s="28" customFormat="1" ht="15" customHeight="1">
      <c r="A91" s="120">
        <v>8413</v>
      </c>
      <c r="B91" s="513" t="s">
        <v>1046</v>
      </c>
      <c r="C91" s="89" t="s">
        <v>1033</v>
      </c>
      <c r="D91" s="89" t="s">
        <v>1034</v>
      </c>
      <c r="E91" s="513" t="s">
        <v>262</v>
      </c>
      <c r="F91" s="90">
        <f>1800*1.0936</f>
        <v>1968.4799999999998</v>
      </c>
      <c r="G91" s="91" t="s">
        <v>196</v>
      </c>
      <c r="H91" s="79"/>
      <c r="I91" s="80">
        <f>2.355+0.96</f>
        <v>3.3149999999999999</v>
      </c>
      <c r="J91" s="81">
        <v>888</v>
      </c>
      <c r="K91" s="81">
        <f t="shared" ref="K91:K95" si="23">I91*J91</f>
        <v>2943.72</v>
      </c>
      <c r="L91" s="102"/>
      <c r="M91" s="79"/>
      <c r="N91" s="107"/>
    </row>
    <row r="92" spans="1:14" s="28" customFormat="1" ht="15" customHeight="1">
      <c r="A92" s="120"/>
      <c r="B92" s="120"/>
      <c r="C92" s="120"/>
      <c r="D92" s="120"/>
      <c r="E92" s="120"/>
      <c r="F92" s="120"/>
      <c r="G92" s="91" t="s">
        <v>195</v>
      </c>
      <c r="H92" s="79"/>
      <c r="I92" s="80">
        <f>0.86+0.335</f>
        <v>1.1950000000000001</v>
      </c>
      <c r="J92" s="81">
        <v>645</v>
      </c>
      <c r="K92" s="81">
        <f t="shared" si="23"/>
        <v>770.77500000000009</v>
      </c>
      <c r="L92" s="102"/>
      <c r="M92" s="79"/>
      <c r="N92" s="107"/>
    </row>
    <row r="93" spans="1:14" s="28" customFormat="1" ht="15" customHeight="1">
      <c r="A93" s="120"/>
      <c r="B93" s="120"/>
      <c r="C93" s="120"/>
      <c r="D93" s="120"/>
      <c r="E93" s="120"/>
      <c r="F93" s="87"/>
      <c r="G93" s="91" t="s">
        <v>191</v>
      </c>
      <c r="H93" s="79"/>
      <c r="I93" s="80">
        <f>1.554+0.673</f>
        <v>2.2270000000000003</v>
      </c>
      <c r="J93" s="81">
        <v>1628</v>
      </c>
      <c r="K93" s="81">
        <f t="shared" si="23"/>
        <v>3625.5560000000005</v>
      </c>
      <c r="L93" s="102"/>
      <c r="M93" s="79"/>
      <c r="N93" s="107"/>
    </row>
    <row r="94" spans="1:14" s="28" customFormat="1" ht="15" customHeight="1">
      <c r="A94" s="120"/>
      <c r="B94" s="120"/>
      <c r="C94" s="120"/>
      <c r="D94" s="120"/>
      <c r="E94" s="120"/>
      <c r="F94" s="87"/>
      <c r="G94" s="513" t="s">
        <v>184</v>
      </c>
      <c r="H94" s="513"/>
      <c r="I94" s="80">
        <v>4.3</v>
      </c>
      <c r="J94" s="81">
        <v>336</v>
      </c>
      <c r="K94" s="94">
        <f t="shared" si="23"/>
        <v>1444.8</v>
      </c>
      <c r="L94" s="102"/>
      <c r="M94" s="79"/>
      <c r="N94" s="107"/>
    </row>
    <row r="95" spans="1:14" s="28" customFormat="1" ht="15" customHeight="1">
      <c r="A95" s="120"/>
      <c r="B95" s="120"/>
      <c r="C95" s="120"/>
      <c r="D95" s="120"/>
      <c r="E95" s="120"/>
      <c r="F95" s="87"/>
      <c r="G95" s="95" t="s">
        <v>185</v>
      </c>
      <c r="H95" s="79"/>
      <c r="I95" s="96">
        <v>0.86</v>
      </c>
      <c r="J95" s="81">
        <v>490</v>
      </c>
      <c r="K95" s="81">
        <f t="shared" si="23"/>
        <v>421.4</v>
      </c>
      <c r="L95" s="102"/>
      <c r="M95" s="79"/>
      <c r="N95" s="107"/>
    </row>
    <row r="96" spans="1:14" s="28" customFormat="1" ht="15" customHeight="1">
      <c r="A96" s="120"/>
      <c r="B96" s="120"/>
      <c r="C96" s="120"/>
      <c r="D96" s="120"/>
      <c r="E96" s="244" t="s">
        <v>9</v>
      </c>
      <c r="F96" s="108">
        <f>SUM(F91:F95)</f>
        <v>1968.4799999999998</v>
      </c>
      <c r="G96" s="244"/>
      <c r="H96" s="244"/>
      <c r="I96" s="80"/>
      <c r="J96" s="81"/>
      <c r="K96" s="103">
        <f>SUM(K91:K95)</f>
        <v>9206.2510000000002</v>
      </c>
      <c r="L96" s="103">
        <f>K96/F96</f>
        <v>4.6768323782817207</v>
      </c>
      <c r="M96" s="79"/>
      <c r="N96" s="107"/>
    </row>
    <row r="97" spans="1:14" s="28" customFormat="1" ht="15" customHeight="1">
      <c r="A97" s="120">
        <v>8422</v>
      </c>
      <c r="B97" s="513" t="s">
        <v>1047</v>
      </c>
      <c r="C97" s="89" t="s">
        <v>1033</v>
      </c>
      <c r="D97" s="89" t="s">
        <v>1034</v>
      </c>
      <c r="E97" s="513" t="s">
        <v>232</v>
      </c>
      <c r="F97" s="90">
        <f>1850*1.0936</f>
        <v>2023.1599999999999</v>
      </c>
      <c r="G97" s="91" t="s">
        <v>196</v>
      </c>
      <c r="H97" s="79"/>
      <c r="I97" s="80">
        <f>2.6+0.35+0.68</f>
        <v>3.6300000000000003</v>
      </c>
      <c r="J97" s="81">
        <v>888</v>
      </c>
      <c r="K97" s="81">
        <f t="shared" ref="K97:K101" si="24">I97*J97</f>
        <v>3223.4400000000005</v>
      </c>
      <c r="L97" s="102"/>
      <c r="M97" s="79"/>
      <c r="N97" s="107"/>
    </row>
    <row r="98" spans="1:14" s="28" customFormat="1" ht="15" customHeight="1">
      <c r="A98" s="120"/>
      <c r="B98" s="120"/>
      <c r="C98" s="120"/>
      <c r="D98" s="120"/>
      <c r="E98" s="120"/>
      <c r="F98" s="87"/>
      <c r="G98" s="91" t="s">
        <v>281</v>
      </c>
      <c r="H98" s="79"/>
      <c r="I98" s="80">
        <f>1.28+0.16+0.225</f>
        <v>1.665</v>
      </c>
      <c r="J98" s="81">
        <v>1035</v>
      </c>
      <c r="K98" s="81">
        <f t="shared" si="24"/>
        <v>1723.2750000000001</v>
      </c>
      <c r="L98" s="102"/>
      <c r="M98" s="79"/>
      <c r="N98" s="107"/>
    </row>
    <row r="99" spans="1:14" s="28" customFormat="1" ht="15" customHeight="1">
      <c r="A99" s="120"/>
      <c r="B99" s="120"/>
      <c r="C99" s="120"/>
      <c r="D99" s="120"/>
      <c r="E99" s="120"/>
      <c r="F99" s="87"/>
      <c r="G99" s="91" t="s">
        <v>532</v>
      </c>
      <c r="H99" s="79"/>
      <c r="I99" s="80">
        <f>15.4+1.925+2.7</f>
        <v>20.024999999999999</v>
      </c>
      <c r="J99" s="81">
        <v>476</v>
      </c>
      <c r="K99" s="81">
        <f t="shared" si="24"/>
        <v>9531.9</v>
      </c>
      <c r="L99" s="102"/>
      <c r="M99" s="79"/>
      <c r="N99" s="107"/>
    </row>
    <row r="100" spans="1:14" s="28" customFormat="1" ht="15" customHeight="1">
      <c r="A100" s="120"/>
      <c r="B100" s="120"/>
      <c r="C100" s="120"/>
      <c r="D100" s="120"/>
      <c r="E100" s="120"/>
      <c r="F100" s="87"/>
      <c r="G100" s="513" t="s">
        <v>184</v>
      </c>
      <c r="H100" s="513"/>
      <c r="I100" s="80">
        <f>4+0.5+0.7</f>
        <v>5.2</v>
      </c>
      <c r="J100" s="81">
        <v>336</v>
      </c>
      <c r="K100" s="94">
        <f t="shared" si="24"/>
        <v>1747.2</v>
      </c>
      <c r="L100" s="102"/>
      <c r="M100" s="79"/>
      <c r="N100" s="107"/>
    </row>
    <row r="101" spans="1:14" s="28" customFormat="1" ht="15" customHeight="1">
      <c r="A101" s="120"/>
      <c r="B101" s="120"/>
      <c r="C101" s="120"/>
      <c r="D101" s="120"/>
      <c r="E101" s="120"/>
      <c r="F101" s="87"/>
      <c r="G101" s="95" t="s">
        <v>185</v>
      </c>
      <c r="H101" s="79"/>
      <c r="I101" s="96">
        <f>0.8+0.1+0.15</f>
        <v>1.05</v>
      </c>
      <c r="J101" s="81">
        <v>490</v>
      </c>
      <c r="K101" s="81">
        <f t="shared" si="24"/>
        <v>514.5</v>
      </c>
      <c r="L101" s="102"/>
      <c r="M101" s="79"/>
      <c r="N101" s="107"/>
    </row>
    <row r="102" spans="1:14" s="28" customFormat="1" ht="15" customHeight="1">
      <c r="A102" s="120"/>
      <c r="B102" s="120"/>
      <c r="C102" s="120"/>
      <c r="D102" s="120"/>
      <c r="E102" s="244" t="s">
        <v>9</v>
      </c>
      <c r="F102" s="108">
        <f>SUM(F97:F101)</f>
        <v>2023.1599999999999</v>
      </c>
      <c r="G102" s="244"/>
      <c r="H102" s="244"/>
      <c r="I102" s="80"/>
      <c r="J102" s="81"/>
      <c r="K102" s="103">
        <f>SUM(K97:K101)</f>
        <v>16740.315000000002</v>
      </c>
      <c r="L102" s="103">
        <f>K102/F102</f>
        <v>8.2743406354415878</v>
      </c>
      <c r="M102" s="79"/>
      <c r="N102" s="107"/>
    </row>
    <row r="103" spans="1:14" s="28" customFormat="1" ht="15" customHeight="1">
      <c r="A103" s="120">
        <v>9795</v>
      </c>
      <c r="B103" s="513" t="s">
        <v>1013</v>
      </c>
      <c r="C103" s="89" t="s">
        <v>766</v>
      </c>
      <c r="D103" s="89" t="s">
        <v>465</v>
      </c>
      <c r="E103" s="513" t="s">
        <v>1012</v>
      </c>
      <c r="F103" s="222">
        <f>3950*1.0936</f>
        <v>4319.7199999999993</v>
      </c>
      <c r="G103" s="514" t="s">
        <v>405</v>
      </c>
      <c r="H103" s="79"/>
      <c r="I103" s="80">
        <v>0.188</v>
      </c>
      <c r="J103" s="81">
        <v>1708</v>
      </c>
      <c r="K103" s="81">
        <f t="shared" ref="K103:K107" si="25">I103*J103</f>
        <v>321.10399999999998</v>
      </c>
      <c r="L103" s="102"/>
      <c r="M103" s="79"/>
      <c r="N103" s="107"/>
    </row>
    <row r="104" spans="1:14" s="28" customFormat="1" ht="15" customHeight="1">
      <c r="A104" s="120"/>
      <c r="B104" s="513"/>
      <c r="C104" s="513"/>
      <c r="D104" s="513"/>
      <c r="E104" s="3"/>
      <c r="F104" s="4"/>
      <c r="G104" s="514" t="s">
        <v>183</v>
      </c>
      <c r="H104" s="79"/>
      <c r="I104" s="80">
        <v>0.11700000000000001</v>
      </c>
      <c r="J104" s="81">
        <v>1600</v>
      </c>
      <c r="K104" s="81">
        <f t="shared" si="25"/>
        <v>187.20000000000002</v>
      </c>
      <c r="L104" s="102"/>
      <c r="M104" s="79"/>
      <c r="N104" s="107"/>
    </row>
    <row r="105" spans="1:14" s="28" customFormat="1" ht="15" customHeight="1">
      <c r="A105" s="120"/>
      <c r="B105" s="513"/>
      <c r="C105" s="513"/>
      <c r="D105" s="513"/>
      <c r="E105" s="3"/>
      <c r="F105" s="4"/>
      <c r="G105" s="93" t="s">
        <v>315</v>
      </c>
      <c r="H105" s="79"/>
      <c r="I105" s="80">
        <v>0.33200000000000002</v>
      </c>
      <c r="J105" s="81">
        <v>2184</v>
      </c>
      <c r="K105" s="81">
        <f t="shared" si="25"/>
        <v>725.08800000000008</v>
      </c>
      <c r="L105" s="102"/>
      <c r="M105" s="79"/>
      <c r="N105" s="107"/>
    </row>
    <row r="106" spans="1:14" s="28" customFormat="1" ht="15" customHeight="1">
      <c r="A106" s="120"/>
      <c r="B106" s="512"/>
      <c r="C106" s="512"/>
      <c r="D106" s="512"/>
      <c r="E106" s="3"/>
      <c r="F106" s="4"/>
      <c r="G106" s="513" t="s">
        <v>184</v>
      </c>
      <c r="H106" s="79"/>
      <c r="I106" s="80">
        <v>6.5</v>
      </c>
      <c r="J106" s="81">
        <v>336</v>
      </c>
      <c r="K106" s="81">
        <f t="shared" si="25"/>
        <v>2184</v>
      </c>
      <c r="L106" s="6"/>
      <c r="M106" s="79"/>
      <c r="N106" s="107"/>
    </row>
    <row r="107" spans="1:14" s="28" customFormat="1" ht="15" customHeight="1">
      <c r="A107" s="120"/>
      <c r="B107" s="512"/>
      <c r="C107" s="512"/>
      <c r="D107" s="512"/>
      <c r="E107" s="3"/>
      <c r="F107" s="4"/>
      <c r="G107" s="95" t="s">
        <v>185</v>
      </c>
      <c r="H107" s="79"/>
      <c r="I107" s="96">
        <v>1.4</v>
      </c>
      <c r="J107" s="81">
        <v>490</v>
      </c>
      <c r="K107" s="81">
        <f t="shared" si="25"/>
        <v>686</v>
      </c>
      <c r="L107" s="6"/>
      <c r="M107" s="79"/>
      <c r="N107" s="107"/>
    </row>
    <row r="108" spans="1:14" s="28" customFormat="1" ht="15" customHeight="1">
      <c r="A108" s="120"/>
      <c r="B108" s="120"/>
      <c r="C108" s="120"/>
      <c r="D108" s="120"/>
      <c r="E108" s="244" t="s">
        <v>9</v>
      </c>
      <c r="F108" s="108">
        <f>SUM(F103:F107)</f>
        <v>4319.7199999999993</v>
      </c>
      <c r="G108" s="244"/>
      <c r="H108" s="244"/>
      <c r="I108" s="80"/>
      <c r="J108" s="81"/>
      <c r="K108" s="103">
        <f>SUM(K103:K107)</f>
        <v>4103.3919999999998</v>
      </c>
      <c r="L108" s="103">
        <f>K108/F108</f>
        <v>0.94992082820182799</v>
      </c>
      <c r="M108" s="79"/>
      <c r="N108" s="107"/>
    </row>
    <row r="109" spans="1:14" s="28" customFormat="1" ht="15" customHeight="1">
      <c r="A109" s="513">
        <v>8403</v>
      </c>
      <c r="B109" s="513" t="s">
        <v>1049</v>
      </c>
      <c r="C109" s="513" t="s">
        <v>121</v>
      </c>
      <c r="D109" s="513" t="s">
        <v>120</v>
      </c>
      <c r="E109" s="513" t="s">
        <v>931</v>
      </c>
      <c r="F109" s="90">
        <f>1520*1.0936</f>
        <v>1662.2719999999999</v>
      </c>
      <c r="G109" s="91" t="s">
        <v>196</v>
      </c>
      <c r="H109" s="79"/>
      <c r="I109" s="80">
        <f>4.4+0.075</f>
        <v>4.4750000000000005</v>
      </c>
      <c r="J109" s="81">
        <v>888</v>
      </c>
      <c r="K109" s="81">
        <f t="shared" ref="K109:K113" si="26">I109*J109</f>
        <v>3973.8000000000006</v>
      </c>
      <c r="L109" s="102"/>
      <c r="M109" s="79"/>
      <c r="N109" s="107"/>
    </row>
    <row r="110" spans="1:14" s="28" customFormat="1" ht="15" customHeight="1">
      <c r="A110" s="513"/>
      <c r="B110" s="513"/>
      <c r="C110" s="513"/>
      <c r="D110" s="513"/>
      <c r="E110" s="513"/>
      <c r="F110" s="87"/>
      <c r="G110" s="514" t="s">
        <v>183</v>
      </c>
      <c r="H110" s="79"/>
      <c r="I110" s="80">
        <f>4.4+0.075</f>
        <v>4.4750000000000005</v>
      </c>
      <c r="J110" s="81">
        <v>1600</v>
      </c>
      <c r="K110" s="81">
        <f t="shared" si="26"/>
        <v>7160.0000000000009</v>
      </c>
      <c r="L110" s="79"/>
      <c r="M110" s="79"/>
      <c r="N110" s="107"/>
    </row>
    <row r="111" spans="1:14" s="28" customFormat="1" ht="15" customHeight="1">
      <c r="A111" s="513"/>
      <c r="B111" s="513"/>
      <c r="C111" s="513"/>
      <c r="D111" s="513"/>
      <c r="E111" s="513"/>
      <c r="F111" s="87"/>
      <c r="G111" s="93" t="s">
        <v>315</v>
      </c>
      <c r="H111" s="79"/>
      <c r="I111" s="80">
        <f>0.04+0.022</f>
        <v>6.2E-2</v>
      </c>
      <c r="J111" s="81">
        <v>2184</v>
      </c>
      <c r="K111" s="81">
        <f t="shared" si="26"/>
        <v>135.40799999999999</v>
      </c>
      <c r="L111" s="102"/>
      <c r="M111" s="79"/>
      <c r="N111" s="107"/>
    </row>
    <row r="112" spans="1:14" s="28" customFormat="1" ht="15" customHeight="1">
      <c r="A112" s="513"/>
      <c r="B112" s="513"/>
      <c r="C112" s="513"/>
      <c r="D112" s="513"/>
      <c r="E112" s="513"/>
      <c r="F112" s="87"/>
      <c r="G112" s="513" t="s">
        <v>184</v>
      </c>
      <c r="H112" s="513"/>
      <c r="I112" s="80">
        <v>4</v>
      </c>
      <c r="J112" s="81">
        <v>336</v>
      </c>
      <c r="K112" s="94">
        <f t="shared" si="26"/>
        <v>1344</v>
      </c>
      <c r="L112" s="102"/>
      <c r="M112" s="79"/>
      <c r="N112" s="107"/>
    </row>
    <row r="113" spans="1:14" s="28" customFormat="1" ht="15" customHeight="1">
      <c r="A113" s="513"/>
      <c r="B113" s="513"/>
      <c r="C113" s="513"/>
      <c r="D113" s="513"/>
      <c r="E113" s="513"/>
      <c r="F113" s="87"/>
      <c r="G113" s="95" t="s">
        <v>185</v>
      </c>
      <c r="H113" s="79"/>
      <c r="I113" s="96">
        <v>0.8</v>
      </c>
      <c r="J113" s="81">
        <v>490</v>
      </c>
      <c r="K113" s="81">
        <f t="shared" si="26"/>
        <v>392</v>
      </c>
      <c r="L113" s="102"/>
      <c r="M113" s="79"/>
      <c r="N113" s="107"/>
    </row>
    <row r="114" spans="1:14" s="28" customFormat="1" ht="15" customHeight="1">
      <c r="A114" s="513"/>
      <c r="B114" s="513"/>
      <c r="C114" s="513"/>
      <c r="D114" s="513"/>
      <c r="E114" s="273" t="s">
        <v>9</v>
      </c>
      <c r="F114" s="108">
        <f>SUM(F109:F113)</f>
        <v>1662.2719999999999</v>
      </c>
      <c r="G114" s="273"/>
      <c r="H114" s="273"/>
      <c r="I114" s="80"/>
      <c r="J114" s="81"/>
      <c r="K114" s="103">
        <f>SUM(K109:K113)</f>
        <v>13005.208000000001</v>
      </c>
      <c r="L114" s="103">
        <f>K114/F114</f>
        <v>7.8237544758017945</v>
      </c>
      <c r="M114" s="79"/>
      <c r="N114" s="107"/>
    </row>
    <row r="115" spans="1:14" s="28" customFormat="1" ht="15" customHeight="1">
      <c r="A115" s="513">
        <v>8404</v>
      </c>
      <c r="B115" s="513" t="s">
        <v>1050</v>
      </c>
      <c r="C115" s="513" t="s">
        <v>121</v>
      </c>
      <c r="D115" s="513" t="s">
        <v>120</v>
      </c>
      <c r="E115" s="513" t="s">
        <v>874</v>
      </c>
      <c r="F115" s="90">
        <f>1870*1.0936</f>
        <v>2045.0319999999999</v>
      </c>
      <c r="G115" s="93" t="s">
        <v>258</v>
      </c>
      <c r="H115" s="79"/>
      <c r="I115" s="80">
        <v>0.88</v>
      </c>
      <c r="J115" s="81">
        <v>2801</v>
      </c>
      <c r="K115" s="81">
        <f t="shared" ref="K115:K119" si="27">I115*J115</f>
        <v>2464.88</v>
      </c>
      <c r="L115" s="102"/>
      <c r="M115" s="79"/>
      <c r="N115" s="107"/>
    </row>
    <row r="116" spans="1:14" s="28" customFormat="1" ht="15" customHeight="1">
      <c r="A116" s="513"/>
      <c r="B116" s="513"/>
      <c r="C116" s="513"/>
      <c r="D116" s="513"/>
      <c r="E116" s="273"/>
      <c r="F116" s="108"/>
      <c r="G116" s="93" t="s">
        <v>259</v>
      </c>
      <c r="H116" s="79"/>
      <c r="I116" s="80">
        <v>0.46400000000000002</v>
      </c>
      <c r="J116" s="81">
        <v>2704</v>
      </c>
      <c r="K116" s="81">
        <f t="shared" si="27"/>
        <v>1254.6560000000002</v>
      </c>
      <c r="L116" s="102"/>
      <c r="M116" s="79"/>
      <c r="N116" s="107"/>
    </row>
    <row r="117" spans="1:14" s="28" customFormat="1" ht="15" customHeight="1">
      <c r="A117" s="513"/>
      <c r="B117" s="513"/>
      <c r="C117" s="513"/>
      <c r="D117" s="513"/>
      <c r="E117" s="273"/>
      <c r="F117" s="108"/>
      <c r="G117" s="91" t="s">
        <v>260</v>
      </c>
      <c r="H117" s="79"/>
      <c r="I117" s="80">
        <v>0.76</v>
      </c>
      <c r="J117" s="81">
        <v>4545</v>
      </c>
      <c r="K117" s="81">
        <f t="shared" si="27"/>
        <v>3454.2</v>
      </c>
      <c r="L117" s="102"/>
      <c r="M117" s="79"/>
      <c r="N117" s="107"/>
    </row>
    <row r="118" spans="1:14" s="28" customFormat="1" ht="15" customHeight="1">
      <c r="A118" s="513"/>
      <c r="B118" s="513"/>
      <c r="C118" s="513"/>
      <c r="D118" s="513"/>
      <c r="E118" s="273"/>
      <c r="F118" s="108"/>
      <c r="G118" s="513" t="s">
        <v>184</v>
      </c>
      <c r="H118" s="79"/>
      <c r="I118" s="80">
        <v>4</v>
      </c>
      <c r="J118" s="81">
        <v>336</v>
      </c>
      <c r="K118" s="81">
        <f t="shared" si="27"/>
        <v>1344</v>
      </c>
      <c r="L118" s="102"/>
      <c r="M118" s="79"/>
      <c r="N118" s="107"/>
    </row>
    <row r="119" spans="1:14" s="28" customFormat="1" ht="15" customHeight="1">
      <c r="A119" s="513"/>
      <c r="B119" s="513"/>
      <c r="C119" s="513"/>
      <c r="D119" s="513"/>
      <c r="E119" s="273"/>
      <c r="F119" s="108"/>
      <c r="G119" s="95" t="s">
        <v>185</v>
      </c>
      <c r="H119" s="79"/>
      <c r="I119" s="96">
        <v>0.8</v>
      </c>
      <c r="J119" s="81">
        <v>490</v>
      </c>
      <c r="K119" s="81">
        <f t="shared" si="27"/>
        <v>392</v>
      </c>
      <c r="L119" s="102"/>
      <c r="M119" s="79"/>
      <c r="N119" s="107"/>
    </row>
    <row r="120" spans="1:14" s="28" customFormat="1" ht="15" customHeight="1">
      <c r="A120" s="513"/>
      <c r="B120" s="513"/>
      <c r="C120" s="513"/>
      <c r="D120" s="513"/>
      <c r="E120" s="273" t="s">
        <v>9</v>
      </c>
      <c r="F120" s="108">
        <f>SUM(F115:F119)</f>
        <v>2045.0319999999999</v>
      </c>
      <c r="G120" s="273"/>
      <c r="H120" s="273"/>
      <c r="I120" s="80"/>
      <c r="J120" s="81"/>
      <c r="K120" s="103">
        <f>SUM(K115:K119)</f>
        <v>8909.7360000000008</v>
      </c>
      <c r="L120" s="103">
        <f>K120/F120</f>
        <v>4.3567709453935199</v>
      </c>
      <c r="M120" s="79"/>
      <c r="N120" s="107"/>
    </row>
    <row r="121" spans="1:14" s="28" customFormat="1" ht="15" customHeight="1">
      <c r="A121" s="513">
        <v>8402</v>
      </c>
      <c r="B121" s="513" t="s">
        <v>1053</v>
      </c>
      <c r="C121" s="513" t="s">
        <v>121</v>
      </c>
      <c r="D121" s="513" t="s">
        <v>120</v>
      </c>
      <c r="E121" s="513" t="s">
        <v>810</v>
      </c>
      <c r="F121" s="160">
        <f>50*1.0936</f>
        <v>54.679999999999993</v>
      </c>
      <c r="G121" s="514" t="s">
        <v>405</v>
      </c>
      <c r="H121" s="79"/>
      <c r="I121" s="80">
        <f>0.558+0.089+0.05+0.03</f>
        <v>0.72700000000000009</v>
      </c>
      <c r="J121" s="81">
        <v>1708</v>
      </c>
      <c r="K121" s="81">
        <f t="shared" ref="K121:K126" si="28">I121*J121</f>
        <v>1241.7160000000001</v>
      </c>
      <c r="L121" s="102"/>
      <c r="M121" s="102"/>
      <c r="N121" s="107"/>
    </row>
    <row r="122" spans="1:14" s="28" customFormat="1" ht="15" customHeight="1">
      <c r="A122" s="513"/>
      <c r="B122" s="512"/>
      <c r="C122" s="512"/>
      <c r="D122" s="512"/>
      <c r="E122" s="512"/>
      <c r="F122" s="98"/>
      <c r="G122" s="91" t="s">
        <v>192</v>
      </c>
      <c r="H122" s="79"/>
      <c r="I122" s="80">
        <f>0.21+0.019+0.032+0.034+0.016</f>
        <v>0.31100000000000005</v>
      </c>
      <c r="J122" s="81">
        <v>1126</v>
      </c>
      <c r="K122" s="81">
        <f t="shared" si="28"/>
        <v>350.18600000000004</v>
      </c>
      <c r="L122" s="102"/>
      <c r="M122" s="102"/>
      <c r="N122" s="107"/>
    </row>
    <row r="123" spans="1:14" s="28" customFormat="1" ht="15" customHeight="1">
      <c r="A123" s="513"/>
      <c r="B123" s="512"/>
      <c r="C123" s="512"/>
      <c r="D123" s="512"/>
      <c r="E123" s="512"/>
      <c r="F123" s="98"/>
      <c r="G123" s="91" t="s">
        <v>193</v>
      </c>
      <c r="H123" s="79"/>
      <c r="I123" s="80">
        <f>1.788+0.089+0.12+0.18+0.06</f>
        <v>2.2370000000000001</v>
      </c>
      <c r="J123" s="81">
        <v>1150</v>
      </c>
      <c r="K123" s="81">
        <f t="shared" si="28"/>
        <v>2572.5500000000002</v>
      </c>
      <c r="L123" s="79"/>
      <c r="M123" s="102"/>
      <c r="N123" s="107"/>
    </row>
    <row r="124" spans="1:14" s="28" customFormat="1" ht="15" customHeight="1">
      <c r="A124" s="531"/>
      <c r="B124" s="533"/>
      <c r="C124" s="533"/>
      <c r="D124" s="533"/>
      <c r="E124" s="533"/>
      <c r="F124" s="98"/>
      <c r="G124" s="532" t="s">
        <v>314</v>
      </c>
      <c r="H124" s="79"/>
      <c r="I124" s="80">
        <f>0.024</f>
        <v>2.4E-2</v>
      </c>
      <c r="J124" s="81">
        <v>1695</v>
      </c>
      <c r="K124" s="81">
        <f t="shared" si="28"/>
        <v>40.68</v>
      </c>
      <c r="L124" s="530"/>
      <c r="M124" s="102"/>
      <c r="N124" s="107"/>
    </row>
    <row r="125" spans="1:14" s="28" customFormat="1" ht="15" customHeight="1">
      <c r="A125" s="513"/>
      <c r="B125" s="512"/>
      <c r="C125" s="512"/>
      <c r="D125" s="512"/>
      <c r="E125" s="512"/>
      <c r="F125" s="98"/>
      <c r="G125" s="513" t="s">
        <v>184</v>
      </c>
      <c r="H125" s="513"/>
      <c r="I125" s="80">
        <v>0.6</v>
      </c>
      <c r="J125" s="81">
        <v>336</v>
      </c>
      <c r="K125" s="94">
        <f t="shared" si="28"/>
        <v>201.6</v>
      </c>
      <c r="L125" s="102"/>
      <c r="M125" s="102"/>
      <c r="N125" s="107"/>
    </row>
    <row r="126" spans="1:14" s="28" customFormat="1" ht="15" customHeight="1">
      <c r="A126" s="513"/>
      <c r="B126" s="512"/>
      <c r="C126" s="512"/>
      <c r="D126" s="512"/>
      <c r="E126" s="512"/>
      <c r="F126" s="98"/>
      <c r="G126" s="95" t="s">
        <v>185</v>
      </c>
      <c r="H126" s="79"/>
      <c r="I126" s="96">
        <v>0.12</v>
      </c>
      <c r="J126" s="81">
        <v>490</v>
      </c>
      <c r="K126" s="81">
        <f t="shared" si="28"/>
        <v>58.8</v>
      </c>
      <c r="L126" s="102"/>
      <c r="M126" s="102"/>
      <c r="N126" s="107"/>
    </row>
    <row r="127" spans="1:14" s="28" customFormat="1" ht="15" customHeight="1">
      <c r="A127" s="513"/>
      <c r="B127" s="512"/>
      <c r="C127" s="512"/>
      <c r="D127" s="512"/>
      <c r="E127" s="515" t="s">
        <v>9</v>
      </c>
      <c r="F127" s="110">
        <f>SUM(F121:F126)</f>
        <v>54.679999999999993</v>
      </c>
      <c r="G127" s="515"/>
      <c r="H127" s="515"/>
      <c r="I127" s="125"/>
      <c r="J127" s="97"/>
      <c r="K127" s="111">
        <f>SUM(K121:K126)</f>
        <v>4465.5320000000011</v>
      </c>
      <c r="L127" s="111">
        <f>K127/F127</f>
        <v>81.666642282370191</v>
      </c>
      <c r="M127" s="102"/>
      <c r="N127" s="107"/>
    </row>
    <row r="128" spans="1:14" s="28" customFormat="1" ht="15" customHeight="1">
      <c r="A128" s="120">
        <v>9796</v>
      </c>
      <c r="B128" s="513" t="s">
        <v>881</v>
      </c>
      <c r="C128" s="513" t="s">
        <v>882</v>
      </c>
      <c r="D128" s="513" t="s">
        <v>1051</v>
      </c>
      <c r="E128" s="513" t="s">
        <v>1052</v>
      </c>
      <c r="F128" s="160">
        <f>660*1.0936</f>
        <v>721.77599999999995</v>
      </c>
      <c r="G128" s="514" t="s">
        <v>405</v>
      </c>
      <c r="H128" s="79"/>
      <c r="I128" s="80">
        <f>1.25+0.21</f>
        <v>1.46</v>
      </c>
      <c r="J128" s="81">
        <v>1708</v>
      </c>
      <c r="K128" s="81">
        <f t="shared" ref="K128:K132" si="29">I128*J128</f>
        <v>2493.6799999999998</v>
      </c>
      <c r="L128" s="102"/>
      <c r="M128" s="79"/>
      <c r="N128" s="107"/>
    </row>
    <row r="129" spans="1:14" s="28" customFormat="1" ht="15" customHeight="1">
      <c r="A129" s="120"/>
      <c r="B129" s="120"/>
      <c r="C129" s="120"/>
      <c r="D129" s="120"/>
      <c r="E129" s="120"/>
      <c r="F129" s="87"/>
      <c r="G129" s="91" t="s">
        <v>192</v>
      </c>
      <c r="H129" s="79"/>
      <c r="I129" s="80">
        <f>0.639+0.121</f>
        <v>0.76</v>
      </c>
      <c r="J129" s="81">
        <v>1126</v>
      </c>
      <c r="K129" s="81">
        <f t="shared" si="29"/>
        <v>855.76</v>
      </c>
      <c r="L129" s="102"/>
      <c r="M129" s="79"/>
      <c r="N129" s="107"/>
    </row>
    <row r="130" spans="1:14" s="28" customFormat="1" ht="15" customHeight="1">
      <c r="A130" s="120"/>
      <c r="B130" s="120"/>
      <c r="C130" s="120"/>
      <c r="D130" s="120"/>
      <c r="E130" s="120"/>
      <c r="F130" s="87"/>
      <c r="G130" s="91" t="s">
        <v>193</v>
      </c>
      <c r="H130" s="79"/>
      <c r="I130" s="80">
        <f>2.91+0.388</f>
        <v>3.298</v>
      </c>
      <c r="J130" s="81">
        <v>1150</v>
      </c>
      <c r="K130" s="81">
        <f t="shared" si="29"/>
        <v>3792.7000000000003</v>
      </c>
      <c r="L130" s="79"/>
      <c r="M130" s="79"/>
      <c r="N130" s="107"/>
    </row>
    <row r="131" spans="1:14" s="28" customFormat="1" ht="15" customHeight="1">
      <c r="A131" s="120"/>
      <c r="B131" s="120"/>
      <c r="C131" s="120"/>
      <c r="D131" s="120"/>
      <c r="E131" s="120"/>
      <c r="F131" s="87"/>
      <c r="G131" s="513" t="s">
        <v>184</v>
      </c>
      <c r="H131" s="513"/>
      <c r="I131" s="80">
        <v>1.5</v>
      </c>
      <c r="J131" s="81">
        <v>336</v>
      </c>
      <c r="K131" s="94">
        <f t="shared" si="29"/>
        <v>504</v>
      </c>
      <c r="L131" s="102"/>
      <c r="M131" s="79"/>
      <c r="N131" s="107"/>
    </row>
    <row r="132" spans="1:14" s="28" customFormat="1" ht="15" customHeight="1">
      <c r="A132" s="120"/>
      <c r="B132" s="120"/>
      <c r="C132" s="120"/>
      <c r="D132" s="120"/>
      <c r="E132" s="120"/>
      <c r="F132" s="87"/>
      <c r="G132" s="95" t="s">
        <v>185</v>
      </c>
      <c r="H132" s="79"/>
      <c r="I132" s="96">
        <v>0.3</v>
      </c>
      <c r="J132" s="81">
        <v>490</v>
      </c>
      <c r="K132" s="81">
        <f t="shared" si="29"/>
        <v>147</v>
      </c>
      <c r="L132" s="102"/>
      <c r="M132" s="79"/>
      <c r="N132" s="107"/>
    </row>
    <row r="133" spans="1:14" s="28" customFormat="1" ht="15" customHeight="1">
      <c r="A133" s="120"/>
      <c r="B133" s="120"/>
      <c r="C133" s="120"/>
      <c r="D133" s="120"/>
      <c r="E133" s="244" t="s">
        <v>9</v>
      </c>
      <c r="F133" s="108">
        <f>SUM(F128:F132)</f>
        <v>721.77599999999995</v>
      </c>
      <c r="G133" s="244"/>
      <c r="H133" s="244"/>
      <c r="I133" s="80"/>
      <c r="J133" s="81"/>
      <c r="K133" s="103">
        <f>SUM(K128:K132)</f>
        <v>7793.1399999999994</v>
      </c>
      <c r="L133" s="103">
        <f>K133/F133</f>
        <v>10.797172529981601</v>
      </c>
      <c r="M133" s="79"/>
      <c r="N133" s="107"/>
    </row>
    <row r="134" spans="1:14" s="28" customFormat="1" ht="15" customHeight="1">
      <c r="A134" s="120">
        <v>9890</v>
      </c>
      <c r="B134" s="513" t="s">
        <v>894</v>
      </c>
      <c r="C134" s="513" t="s">
        <v>121</v>
      </c>
      <c r="D134" s="513" t="s">
        <v>1054</v>
      </c>
      <c r="E134" s="513" t="s">
        <v>822</v>
      </c>
      <c r="F134" s="160">
        <f>30*1.0936</f>
        <v>32.808</v>
      </c>
      <c r="G134" s="514" t="s">
        <v>405</v>
      </c>
      <c r="H134" s="79"/>
      <c r="I134" s="80">
        <v>0.252</v>
      </c>
      <c r="J134" s="81">
        <v>1708</v>
      </c>
      <c r="K134" s="81">
        <f t="shared" ref="K134:K138" si="30">I134*J134</f>
        <v>430.416</v>
      </c>
      <c r="L134" s="102"/>
      <c r="M134" s="102"/>
      <c r="N134" s="107"/>
    </row>
    <row r="135" spans="1:14" s="28" customFormat="1" ht="15" customHeight="1">
      <c r="A135" s="120"/>
      <c r="B135" s="512"/>
      <c r="C135" s="512"/>
      <c r="D135" s="512"/>
      <c r="E135" s="512"/>
      <c r="F135" s="98"/>
      <c r="G135" s="91" t="s">
        <v>195</v>
      </c>
      <c r="H135" s="79"/>
      <c r="I135" s="80">
        <v>6.2E-2</v>
      </c>
      <c r="J135" s="81">
        <v>645</v>
      </c>
      <c r="K135" s="81">
        <f t="shared" si="30"/>
        <v>39.99</v>
      </c>
      <c r="L135" s="102"/>
      <c r="M135" s="102"/>
      <c r="N135" s="107"/>
    </row>
    <row r="136" spans="1:14" s="28" customFormat="1" ht="15" customHeight="1">
      <c r="A136" s="120"/>
      <c r="B136" s="512"/>
      <c r="C136" s="512"/>
      <c r="D136" s="512"/>
      <c r="E136" s="512"/>
      <c r="F136" s="98"/>
      <c r="G136" s="91" t="s">
        <v>191</v>
      </c>
      <c r="H136" s="79"/>
      <c r="I136" s="80">
        <v>0.154</v>
      </c>
      <c r="J136" s="81">
        <v>1628</v>
      </c>
      <c r="K136" s="81">
        <f t="shared" si="30"/>
        <v>250.71199999999999</v>
      </c>
      <c r="L136" s="102"/>
      <c r="M136" s="102"/>
      <c r="N136" s="107"/>
    </row>
    <row r="137" spans="1:14" s="28" customFormat="1" ht="15" customHeight="1">
      <c r="A137" s="120"/>
      <c r="B137" s="512"/>
      <c r="C137" s="512"/>
      <c r="D137" s="512"/>
      <c r="E137" s="512"/>
      <c r="F137" s="98"/>
      <c r="G137" s="513" t="s">
        <v>184</v>
      </c>
      <c r="H137" s="513"/>
      <c r="I137" s="80">
        <v>0.6</v>
      </c>
      <c r="J137" s="81">
        <v>336</v>
      </c>
      <c r="K137" s="94">
        <f t="shared" si="30"/>
        <v>201.6</v>
      </c>
      <c r="L137" s="102"/>
      <c r="M137" s="102"/>
      <c r="N137" s="107"/>
    </row>
    <row r="138" spans="1:14" s="28" customFormat="1" ht="15" customHeight="1">
      <c r="A138" s="120"/>
      <c r="B138" s="512"/>
      <c r="C138" s="512"/>
      <c r="D138" s="512"/>
      <c r="E138" s="512"/>
      <c r="F138" s="98"/>
      <c r="G138" s="95" t="s">
        <v>185</v>
      </c>
      <c r="H138" s="79"/>
      <c r="I138" s="96">
        <v>0.12</v>
      </c>
      <c r="J138" s="81">
        <v>490</v>
      </c>
      <c r="K138" s="81">
        <f t="shared" si="30"/>
        <v>58.8</v>
      </c>
      <c r="L138" s="102"/>
      <c r="M138" s="102"/>
      <c r="N138" s="107"/>
    </row>
    <row r="139" spans="1:14" s="28" customFormat="1" ht="15" customHeight="1">
      <c r="A139" s="120"/>
      <c r="B139" s="512"/>
      <c r="C139" s="512"/>
      <c r="D139" s="512"/>
      <c r="E139" s="515" t="s">
        <v>9</v>
      </c>
      <c r="F139" s="110">
        <f>SUM(F134:F138)</f>
        <v>32.808</v>
      </c>
      <c r="G139" s="515"/>
      <c r="H139" s="515"/>
      <c r="I139" s="125"/>
      <c r="J139" s="97"/>
      <c r="K139" s="111">
        <f>SUM(K134:K138)</f>
        <v>981.51799999999992</v>
      </c>
      <c r="L139" s="111">
        <f>K139/F139</f>
        <v>29.917032431114361</v>
      </c>
      <c r="M139" s="102"/>
      <c r="N139" s="107"/>
    </row>
    <row r="140" spans="1:14" s="28" customFormat="1" ht="15" customHeight="1">
      <c r="A140" s="120">
        <v>8416</v>
      </c>
      <c r="B140" s="513" t="s">
        <v>1055</v>
      </c>
      <c r="C140" s="513" t="s">
        <v>121</v>
      </c>
      <c r="D140" s="513" t="s">
        <v>120</v>
      </c>
      <c r="E140" s="513" t="s">
        <v>261</v>
      </c>
      <c r="F140" s="160">
        <f>55*1.0936</f>
        <v>60.147999999999996</v>
      </c>
      <c r="G140" s="514" t="s">
        <v>405</v>
      </c>
      <c r="H140" s="79"/>
      <c r="I140" s="80">
        <v>0.66</v>
      </c>
      <c r="J140" s="81">
        <v>1708</v>
      </c>
      <c r="K140" s="81">
        <f t="shared" ref="K140:K144" si="31">I140*J140</f>
        <v>1127.28</v>
      </c>
      <c r="L140" s="102"/>
      <c r="M140" s="79"/>
      <c r="N140" s="107"/>
    </row>
    <row r="141" spans="1:14" s="28" customFormat="1" ht="15" customHeight="1">
      <c r="A141" s="120"/>
      <c r="B141" s="120"/>
      <c r="C141" s="120"/>
      <c r="D141" s="120"/>
      <c r="E141" s="120"/>
      <c r="F141" s="87"/>
      <c r="G141" s="514" t="s">
        <v>183</v>
      </c>
      <c r="H141" s="79"/>
      <c r="I141" s="80">
        <f>0.146+0.006</f>
        <v>0.152</v>
      </c>
      <c r="J141" s="81">
        <v>1600</v>
      </c>
      <c r="K141" s="81">
        <f t="shared" si="31"/>
        <v>243.2</v>
      </c>
      <c r="L141" s="102"/>
      <c r="M141" s="79"/>
      <c r="N141" s="522"/>
    </row>
    <row r="142" spans="1:14" s="28" customFormat="1" ht="15" customHeight="1">
      <c r="A142" s="120"/>
      <c r="B142" s="120"/>
      <c r="C142" s="120"/>
      <c r="D142" s="120"/>
      <c r="E142" s="120"/>
      <c r="F142" s="87"/>
      <c r="G142" s="93" t="s">
        <v>315</v>
      </c>
      <c r="H142" s="79"/>
      <c r="I142" s="80">
        <f>0.67+0.055</f>
        <v>0.72500000000000009</v>
      </c>
      <c r="J142" s="81">
        <v>2184</v>
      </c>
      <c r="K142" s="81">
        <f t="shared" si="31"/>
        <v>1583.4</v>
      </c>
      <c r="L142" s="102"/>
      <c r="M142" s="79"/>
      <c r="N142" s="107"/>
    </row>
    <row r="143" spans="1:14" s="28" customFormat="1" ht="15" customHeight="1">
      <c r="A143" s="120"/>
      <c r="B143" s="120"/>
      <c r="C143" s="120"/>
      <c r="D143" s="120"/>
      <c r="E143" s="120"/>
      <c r="F143" s="87"/>
      <c r="G143" s="513" t="s">
        <v>184</v>
      </c>
      <c r="H143" s="79"/>
      <c r="I143" s="80">
        <v>0.5</v>
      </c>
      <c r="J143" s="81">
        <v>336</v>
      </c>
      <c r="K143" s="81">
        <f t="shared" si="31"/>
        <v>168</v>
      </c>
      <c r="L143" s="6"/>
      <c r="M143" s="79"/>
      <c r="N143" s="107"/>
    </row>
    <row r="144" spans="1:14" s="28" customFormat="1" ht="15" customHeight="1">
      <c r="A144" s="120"/>
      <c r="B144" s="120"/>
      <c r="C144" s="120"/>
      <c r="D144" s="120"/>
      <c r="E144" s="120"/>
      <c r="F144" s="87"/>
      <c r="G144" s="95" t="s">
        <v>185</v>
      </c>
      <c r="H144" s="79"/>
      <c r="I144" s="96">
        <v>0.1</v>
      </c>
      <c r="J144" s="81">
        <v>490</v>
      </c>
      <c r="K144" s="81">
        <f t="shared" si="31"/>
        <v>49</v>
      </c>
      <c r="L144" s="6"/>
      <c r="M144" s="79"/>
      <c r="N144" s="107"/>
    </row>
    <row r="145" spans="1:14" s="28" customFormat="1" ht="15" customHeight="1">
      <c r="A145" s="513"/>
      <c r="B145" s="513"/>
      <c r="C145" s="513"/>
      <c r="D145" s="513"/>
      <c r="E145" s="515" t="s">
        <v>9</v>
      </c>
      <c r="F145" s="110">
        <f>SUM(F140:F144)</f>
        <v>60.147999999999996</v>
      </c>
      <c r="G145" s="515"/>
      <c r="H145" s="515"/>
      <c r="I145" s="125"/>
      <c r="J145" s="97"/>
      <c r="K145" s="111">
        <f>SUM(K140:K144)</f>
        <v>3170.88</v>
      </c>
      <c r="L145" s="111">
        <f>K145/F145</f>
        <v>52.717962359513209</v>
      </c>
      <c r="M145" s="79"/>
      <c r="N145" s="107"/>
    </row>
    <row r="146" spans="1:14" s="28" customFormat="1" ht="15" customHeight="1">
      <c r="A146" s="513">
        <v>9799</v>
      </c>
      <c r="B146" s="513" t="s">
        <v>786</v>
      </c>
      <c r="C146" s="513" t="s">
        <v>513</v>
      </c>
      <c r="D146" s="513" t="s">
        <v>486</v>
      </c>
      <c r="E146" s="513" t="s">
        <v>1056</v>
      </c>
      <c r="F146" s="87">
        <f>220*1.0936</f>
        <v>240.59199999999998</v>
      </c>
      <c r="G146" s="93" t="s">
        <v>190</v>
      </c>
      <c r="H146" s="79"/>
      <c r="I146" s="80">
        <v>1.4259999999999999</v>
      </c>
      <c r="J146" s="81">
        <v>644</v>
      </c>
      <c r="K146" s="81">
        <f t="shared" ref="K146:K150" si="32">I146*J146</f>
        <v>918.34399999999994</v>
      </c>
      <c r="L146" s="2"/>
      <c r="M146" s="79"/>
      <c r="N146" s="107"/>
    </row>
    <row r="147" spans="1:14" s="28" customFormat="1" ht="15" customHeight="1">
      <c r="A147" s="513"/>
      <c r="B147" s="513"/>
      <c r="C147" s="513"/>
      <c r="D147" s="513"/>
      <c r="E147" s="513" t="s">
        <v>1057</v>
      </c>
      <c r="F147" s="87"/>
      <c r="G147" s="91" t="s">
        <v>192</v>
      </c>
      <c r="H147" s="79"/>
      <c r="I147" s="80">
        <v>3.3</v>
      </c>
      <c r="J147" s="81">
        <v>1126</v>
      </c>
      <c r="K147" s="81">
        <f t="shared" si="32"/>
        <v>3715.7999999999997</v>
      </c>
      <c r="L147" s="2"/>
      <c r="M147" s="79"/>
      <c r="N147" s="107"/>
    </row>
    <row r="148" spans="1:14" s="28" customFormat="1" ht="15" customHeight="1">
      <c r="A148" s="513"/>
      <c r="B148" s="513"/>
      <c r="C148" s="513"/>
      <c r="D148" s="513"/>
      <c r="E148" s="513"/>
      <c r="F148" s="87"/>
      <c r="G148" s="93" t="s">
        <v>315</v>
      </c>
      <c r="H148" s="79"/>
      <c r="I148" s="80">
        <v>0.186</v>
      </c>
      <c r="J148" s="81">
        <v>2184</v>
      </c>
      <c r="K148" s="81">
        <f t="shared" si="32"/>
        <v>406.22399999999999</v>
      </c>
      <c r="L148" s="2"/>
      <c r="M148" s="79"/>
      <c r="N148" s="107"/>
    </row>
    <row r="149" spans="1:14" s="28" customFormat="1" ht="15" customHeight="1">
      <c r="A149" s="513"/>
      <c r="B149" s="513"/>
      <c r="C149" s="513"/>
      <c r="D149" s="513"/>
      <c r="E149" s="513"/>
      <c r="F149" s="87"/>
      <c r="G149" s="513" t="s">
        <v>184</v>
      </c>
      <c r="H149" s="513"/>
      <c r="I149" s="80">
        <v>1</v>
      </c>
      <c r="J149" s="81">
        <v>336</v>
      </c>
      <c r="K149" s="94">
        <f t="shared" si="32"/>
        <v>336</v>
      </c>
      <c r="L149" s="2"/>
      <c r="M149" s="79"/>
      <c r="N149" s="107"/>
    </row>
    <row r="150" spans="1:14" s="28" customFormat="1" ht="15" customHeight="1">
      <c r="A150" s="513"/>
      <c r="B150" s="513"/>
      <c r="C150" s="513"/>
      <c r="D150" s="513"/>
      <c r="E150" s="513"/>
      <c r="F150" s="87"/>
      <c r="G150" s="95" t="s">
        <v>185</v>
      </c>
      <c r="H150" s="79"/>
      <c r="I150" s="96">
        <v>0.2</v>
      </c>
      <c r="J150" s="81">
        <v>490</v>
      </c>
      <c r="K150" s="81">
        <f t="shared" si="32"/>
        <v>98</v>
      </c>
      <c r="L150" s="2"/>
      <c r="M150" s="79"/>
      <c r="N150" s="107"/>
    </row>
    <row r="151" spans="1:14" s="28" customFormat="1" ht="15" customHeight="1">
      <c r="A151" s="513"/>
      <c r="B151" s="513"/>
      <c r="C151" s="513"/>
      <c r="D151" s="513"/>
      <c r="E151" s="515" t="s">
        <v>9</v>
      </c>
      <c r="F151" s="110">
        <f>SUM(F146:F150)</f>
        <v>240.59199999999998</v>
      </c>
      <c r="G151" s="515"/>
      <c r="H151" s="515"/>
      <c r="I151" s="125"/>
      <c r="J151" s="97"/>
      <c r="K151" s="111">
        <f>SUM(K146:K150)</f>
        <v>5474.3679999999995</v>
      </c>
      <c r="L151" s="111">
        <f>K151/F151</f>
        <v>22.753740772760523</v>
      </c>
      <c r="M151" s="79"/>
      <c r="N151" s="107"/>
    </row>
    <row r="152" spans="1:14" s="28" customFormat="1" ht="15" customHeight="1">
      <c r="A152" s="513">
        <v>8401</v>
      </c>
      <c r="B152" s="513" t="s">
        <v>520</v>
      </c>
      <c r="C152" s="513" t="s">
        <v>233</v>
      </c>
      <c r="D152" s="89" t="s">
        <v>1058</v>
      </c>
      <c r="E152" s="513" t="s">
        <v>508</v>
      </c>
      <c r="F152" s="87">
        <f>55*1.0936</f>
        <v>60.147999999999996</v>
      </c>
      <c r="G152" s="514" t="s">
        <v>405</v>
      </c>
      <c r="H152" s="79"/>
      <c r="I152" s="80">
        <v>0.09</v>
      </c>
      <c r="J152" s="81">
        <v>1708</v>
      </c>
      <c r="K152" s="81">
        <f t="shared" ref="K152:K155" si="33">I152*J152</f>
        <v>153.72</v>
      </c>
      <c r="L152" s="102"/>
      <c r="M152" s="79"/>
      <c r="N152" s="107"/>
    </row>
    <row r="153" spans="1:14" s="28" customFormat="1" ht="15" customHeight="1">
      <c r="A153" s="513"/>
      <c r="B153" s="513"/>
      <c r="C153" s="513"/>
      <c r="D153" s="513"/>
      <c r="E153" s="513"/>
      <c r="F153" s="87"/>
      <c r="G153" s="514" t="s">
        <v>183</v>
      </c>
      <c r="H153" s="79"/>
      <c r="I153" s="80">
        <v>9.6000000000000002E-2</v>
      </c>
      <c r="J153" s="81">
        <v>1600</v>
      </c>
      <c r="K153" s="81">
        <f t="shared" si="33"/>
        <v>153.6</v>
      </c>
      <c r="L153" s="102"/>
      <c r="M153" s="79"/>
      <c r="N153" s="107"/>
    </row>
    <row r="154" spans="1:14" s="28" customFormat="1" ht="15" customHeight="1">
      <c r="A154" s="513"/>
      <c r="B154" s="513"/>
      <c r="C154" s="513"/>
      <c r="D154" s="513"/>
      <c r="E154" s="513"/>
      <c r="F154" s="87"/>
      <c r="G154" s="513" t="s">
        <v>184</v>
      </c>
      <c r="H154" s="79"/>
      <c r="I154" s="80">
        <v>0.6</v>
      </c>
      <c r="J154" s="81">
        <v>336</v>
      </c>
      <c r="K154" s="81">
        <f t="shared" si="33"/>
        <v>201.6</v>
      </c>
      <c r="L154" s="6"/>
      <c r="M154" s="79"/>
      <c r="N154" s="107"/>
    </row>
    <row r="155" spans="1:14" s="28" customFormat="1" ht="15" customHeight="1">
      <c r="A155" s="513"/>
      <c r="B155" s="513"/>
      <c r="C155" s="513"/>
      <c r="D155" s="513"/>
      <c r="E155" s="513"/>
      <c r="F155" s="87"/>
      <c r="G155" s="95" t="s">
        <v>185</v>
      </c>
      <c r="H155" s="79"/>
      <c r="I155" s="96">
        <v>0.12</v>
      </c>
      <c r="J155" s="81">
        <v>490</v>
      </c>
      <c r="K155" s="81">
        <f t="shared" si="33"/>
        <v>58.8</v>
      </c>
      <c r="L155" s="6"/>
      <c r="M155" s="79"/>
      <c r="N155" s="107"/>
    </row>
    <row r="156" spans="1:14" s="28" customFormat="1" ht="15" customHeight="1">
      <c r="A156" s="513"/>
      <c r="B156" s="513"/>
      <c r="C156" s="513"/>
      <c r="D156" s="513"/>
      <c r="E156" s="515" t="s">
        <v>9</v>
      </c>
      <c r="F156" s="110">
        <f>SUM(F152:F155)</f>
        <v>60.147999999999996</v>
      </c>
      <c r="G156" s="515"/>
      <c r="H156" s="515"/>
      <c r="I156" s="125"/>
      <c r="J156" s="97"/>
      <c r="K156" s="111">
        <f>SUM(K152:K155)</f>
        <v>567.71999999999991</v>
      </c>
      <c r="L156" s="111">
        <f>K156/F156</f>
        <v>9.4387178293542586</v>
      </c>
      <c r="M156" s="79"/>
      <c r="N156" s="107"/>
    </row>
    <row r="157" spans="1:14" s="28" customFormat="1" ht="15" customHeight="1">
      <c r="A157" s="513">
        <v>9798</v>
      </c>
      <c r="B157" s="513" t="s">
        <v>1042</v>
      </c>
      <c r="C157" s="513" t="s">
        <v>1059</v>
      </c>
      <c r="D157" s="513" t="s">
        <v>1060</v>
      </c>
      <c r="E157" s="513" t="s">
        <v>102</v>
      </c>
      <c r="F157" s="87">
        <f>200*1.0936</f>
        <v>218.71999999999997</v>
      </c>
      <c r="G157" s="514" t="s">
        <v>405</v>
      </c>
      <c r="H157" s="79"/>
      <c r="I157" s="80">
        <v>0.624</v>
      </c>
      <c r="J157" s="81">
        <v>1708</v>
      </c>
      <c r="K157" s="81">
        <f t="shared" ref="K157:K161" si="34">I157*J157</f>
        <v>1065.7919999999999</v>
      </c>
      <c r="L157" s="102"/>
      <c r="M157" s="79"/>
      <c r="N157" s="107"/>
    </row>
    <row r="158" spans="1:14" s="28" customFormat="1" ht="15" customHeight="1">
      <c r="A158" s="513"/>
      <c r="B158" s="513"/>
      <c r="C158" s="513"/>
      <c r="D158" s="513"/>
      <c r="E158" s="512"/>
      <c r="F158" s="513"/>
      <c r="G158" s="91" t="s">
        <v>192</v>
      </c>
      <c r="H158" s="79"/>
      <c r="I158" s="80">
        <v>0.27200000000000002</v>
      </c>
      <c r="J158" s="81">
        <v>1126</v>
      </c>
      <c r="K158" s="81">
        <f t="shared" si="34"/>
        <v>306.27200000000005</v>
      </c>
      <c r="L158" s="79"/>
      <c r="M158" s="79"/>
      <c r="N158" s="107"/>
    </row>
    <row r="159" spans="1:14" s="28" customFormat="1" ht="15" customHeight="1">
      <c r="A159" s="513"/>
      <c r="B159" s="513"/>
      <c r="C159" s="513"/>
      <c r="D159" s="513"/>
      <c r="E159" s="3"/>
      <c r="F159" s="4"/>
      <c r="G159" s="91" t="s">
        <v>193</v>
      </c>
      <c r="H159" s="79"/>
      <c r="I159" s="80">
        <v>1.44</v>
      </c>
      <c r="J159" s="81">
        <v>1150</v>
      </c>
      <c r="K159" s="81">
        <f t="shared" si="34"/>
        <v>1656</v>
      </c>
      <c r="L159" s="102"/>
      <c r="M159" s="79"/>
      <c r="N159" s="107"/>
    </row>
    <row r="160" spans="1:14" s="28" customFormat="1" ht="15" customHeight="1">
      <c r="A160" s="513"/>
      <c r="B160" s="513"/>
      <c r="C160" s="513"/>
      <c r="D160" s="513"/>
      <c r="E160" s="3"/>
      <c r="F160" s="4"/>
      <c r="G160" s="513" t="s">
        <v>184</v>
      </c>
      <c r="H160" s="513"/>
      <c r="I160" s="80">
        <v>1</v>
      </c>
      <c r="J160" s="81">
        <v>336</v>
      </c>
      <c r="K160" s="94">
        <f t="shared" si="34"/>
        <v>336</v>
      </c>
      <c r="L160" s="102"/>
      <c r="M160" s="79"/>
      <c r="N160" s="107"/>
    </row>
    <row r="161" spans="1:14" s="28" customFormat="1" ht="15" customHeight="1">
      <c r="A161" s="513"/>
      <c r="B161" s="513"/>
      <c r="C161" s="513"/>
      <c r="D161" s="513"/>
      <c r="E161" s="3"/>
      <c r="F161" s="4"/>
      <c r="G161" s="95" t="s">
        <v>185</v>
      </c>
      <c r="H161" s="79"/>
      <c r="I161" s="96">
        <v>0.2</v>
      </c>
      <c r="J161" s="81">
        <v>490</v>
      </c>
      <c r="K161" s="81">
        <f t="shared" si="34"/>
        <v>98</v>
      </c>
      <c r="L161" s="102"/>
      <c r="M161" s="79"/>
      <c r="N161" s="107"/>
    </row>
    <row r="162" spans="1:14" s="28" customFormat="1" ht="15" customHeight="1">
      <c r="A162" s="513"/>
      <c r="B162" s="513"/>
      <c r="C162" s="513"/>
      <c r="D162" s="513"/>
      <c r="E162" s="515" t="s">
        <v>9</v>
      </c>
      <c r="F162" s="110">
        <f>SUM(F157:F161)</f>
        <v>218.71999999999997</v>
      </c>
      <c r="G162" s="515"/>
      <c r="H162" s="515"/>
      <c r="I162" s="125"/>
      <c r="J162" s="97"/>
      <c r="K162" s="111">
        <f>SUM(K157:K161)</f>
        <v>3462.0639999999999</v>
      </c>
      <c r="L162" s="111">
        <f>K162/F162</f>
        <v>15.828749085588882</v>
      </c>
      <c r="M162" s="79"/>
      <c r="N162" s="107"/>
    </row>
    <row r="163" spans="1:14" s="28" customFormat="1" ht="15" customHeight="1">
      <c r="A163" s="242"/>
      <c r="B163" s="242"/>
      <c r="C163" s="242"/>
      <c r="D163" s="133" t="s">
        <v>30</v>
      </c>
      <c r="E163" s="133"/>
      <c r="F163" s="134">
        <f>F84+F90+F96+F102+F108+F114+F120+F127+F133+F139+F145+F151+F156+F162</f>
        <v>17344.496000000006</v>
      </c>
      <c r="G163" s="135"/>
      <c r="H163" s="135"/>
      <c r="I163" s="135"/>
      <c r="J163" s="135"/>
      <c r="K163" s="134">
        <f>K84+K90+K96+K102+K108+K114+K120+K127+K133+K139+K145+K151+K156+K162</f>
        <v>99733.297000000006</v>
      </c>
      <c r="L163" s="151">
        <f>K163/F163</f>
        <v>5.7501409669096164</v>
      </c>
      <c r="M163" s="137"/>
      <c r="N163" s="107"/>
    </row>
    <row r="164" spans="1:14" s="28" customFormat="1" ht="15" customHeight="1">
      <c r="A164" s="106" t="s">
        <v>40</v>
      </c>
      <c r="B164" s="106"/>
      <c r="C164" s="106"/>
      <c r="D164" s="106"/>
      <c r="E164" s="106"/>
      <c r="F164" s="107"/>
      <c r="G164" s="107"/>
      <c r="H164" s="107"/>
      <c r="I164" s="149"/>
      <c r="J164" s="107"/>
      <c r="K164" s="867" t="s">
        <v>1011</v>
      </c>
      <c r="L164" s="867"/>
      <c r="M164" s="867"/>
      <c r="N164" s="107"/>
    </row>
    <row r="165" spans="1:14" s="28" customFormat="1" ht="15" customHeight="1">
      <c r="A165" s="244" t="s">
        <v>0</v>
      </c>
      <c r="B165" s="244" t="s">
        <v>7</v>
      </c>
      <c r="C165" s="244" t="s">
        <v>13</v>
      </c>
      <c r="D165" s="244" t="s">
        <v>14</v>
      </c>
      <c r="E165" s="244" t="s">
        <v>8</v>
      </c>
      <c r="F165" s="244" t="s">
        <v>1</v>
      </c>
      <c r="G165" s="244" t="s">
        <v>2</v>
      </c>
      <c r="H165" s="244" t="s">
        <v>15</v>
      </c>
      <c r="I165" s="150" t="s">
        <v>3</v>
      </c>
      <c r="J165" s="244" t="s">
        <v>4</v>
      </c>
      <c r="K165" s="244" t="s">
        <v>5</v>
      </c>
      <c r="L165" s="244" t="s">
        <v>12</v>
      </c>
      <c r="M165" s="244" t="s">
        <v>6</v>
      </c>
      <c r="N165" s="246"/>
    </row>
    <row r="166" spans="1:14" s="28" customFormat="1" ht="15" customHeight="1">
      <c r="A166" s="120">
        <v>9926</v>
      </c>
      <c r="B166" s="513" t="s">
        <v>998</v>
      </c>
      <c r="C166" s="513" t="s">
        <v>792</v>
      </c>
      <c r="D166" s="513" t="s">
        <v>999</v>
      </c>
      <c r="E166" s="513" t="s">
        <v>102</v>
      </c>
      <c r="F166" s="90">
        <f>700*1.0936</f>
        <v>765.52</v>
      </c>
      <c r="G166" s="120" t="s">
        <v>27</v>
      </c>
      <c r="H166" s="79"/>
      <c r="I166" s="80">
        <v>45</v>
      </c>
      <c r="J166" s="81">
        <v>22</v>
      </c>
      <c r="K166" s="81">
        <f t="shared" ref="K166:K168" si="35">I166*J166</f>
        <v>990</v>
      </c>
      <c r="L166" s="120"/>
      <c r="M166" s="120"/>
      <c r="N166" s="197"/>
    </row>
    <row r="167" spans="1:14" s="28" customFormat="1" ht="15" customHeight="1">
      <c r="A167" s="120"/>
      <c r="B167" s="120"/>
      <c r="C167" s="120"/>
      <c r="D167" s="120"/>
      <c r="E167" s="120"/>
      <c r="F167" s="87"/>
      <c r="G167" s="83" t="s">
        <v>49</v>
      </c>
      <c r="H167" s="79"/>
      <c r="I167" s="80">
        <v>6</v>
      </c>
      <c r="J167" s="81">
        <v>34</v>
      </c>
      <c r="K167" s="81">
        <f t="shared" si="35"/>
        <v>204</v>
      </c>
      <c r="L167" s="120"/>
      <c r="M167" s="120"/>
      <c r="N167" s="197"/>
    </row>
    <row r="168" spans="1:14" s="28" customFormat="1" ht="15" customHeight="1">
      <c r="A168" s="120"/>
      <c r="B168" s="120"/>
      <c r="C168" s="120"/>
      <c r="D168" s="120"/>
      <c r="E168" s="120"/>
      <c r="F168" s="120"/>
      <c r="G168" s="120" t="s">
        <v>19</v>
      </c>
      <c r="H168" s="79"/>
      <c r="I168" s="80">
        <v>0.18</v>
      </c>
      <c r="J168" s="81">
        <v>74</v>
      </c>
      <c r="K168" s="81">
        <f t="shared" si="35"/>
        <v>13.32</v>
      </c>
      <c r="L168" s="120"/>
      <c r="M168" s="120"/>
      <c r="N168" s="197"/>
    </row>
    <row r="169" spans="1:14" s="28" customFormat="1" ht="15" customHeight="1">
      <c r="A169" s="120"/>
      <c r="B169" s="120"/>
      <c r="C169" s="120"/>
      <c r="D169" s="120"/>
      <c r="E169" s="244" t="s">
        <v>9</v>
      </c>
      <c r="F169" s="108">
        <f>SUM(F166:F168)</f>
        <v>765.52</v>
      </c>
      <c r="G169" s="244"/>
      <c r="H169" s="244"/>
      <c r="I169" s="80"/>
      <c r="J169" s="81"/>
      <c r="K169" s="103">
        <f>SUM(K166:K168)</f>
        <v>1207.32</v>
      </c>
      <c r="L169" s="103">
        <f>K169/F169</f>
        <v>1.5771240463998328</v>
      </c>
      <c r="M169" s="79"/>
      <c r="N169" s="107"/>
    </row>
    <row r="170" spans="1:14" s="28" customFormat="1" ht="15" customHeight="1">
      <c r="A170" s="120">
        <v>9926</v>
      </c>
      <c r="B170" s="513" t="s">
        <v>1050</v>
      </c>
      <c r="C170" s="513" t="s">
        <v>121</v>
      </c>
      <c r="D170" s="513" t="s">
        <v>120</v>
      </c>
      <c r="E170" s="513" t="s">
        <v>874</v>
      </c>
      <c r="F170" s="90">
        <f>1870*1.0936</f>
        <v>2045.0319999999999</v>
      </c>
      <c r="G170" s="513" t="s">
        <v>27</v>
      </c>
      <c r="H170" s="79"/>
      <c r="I170" s="80">
        <v>50</v>
      </c>
      <c r="J170" s="81">
        <v>22</v>
      </c>
      <c r="K170" s="81">
        <f t="shared" ref="K170:K172" si="36">I170*J170</f>
        <v>1100</v>
      </c>
      <c r="L170" s="120"/>
      <c r="M170" s="120"/>
      <c r="N170" s="197"/>
    </row>
    <row r="171" spans="1:14" s="28" customFormat="1" ht="15" customHeight="1">
      <c r="A171" s="120"/>
      <c r="B171" s="120"/>
      <c r="C171" s="120"/>
      <c r="D171" s="120" t="s">
        <v>230</v>
      </c>
      <c r="E171" s="120"/>
      <c r="F171" s="120"/>
      <c r="G171" s="514" t="s">
        <v>49</v>
      </c>
      <c r="H171" s="79"/>
      <c r="I171" s="80">
        <v>8</v>
      </c>
      <c r="J171" s="81">
        <v>34</v>
      </c>
      <c r="K171" s="81">
        <f t="shared" si="36"/>
        <v>272</v>
      </c>
      <c r="L171" s="120"/>
      <c r="M171" s="120"/>
      <c r="N171" s="197"/>
    </row>
    <row r="172" spans="1:14" s="28" customFormat="1" ht="15" customHeight="1">
      <c r="A172" s="513"/>
      <c r="B172" s="513"/>
      <c r="C172" s="513"/>
      <c r="D172" s="513"/>
      <c r="E172" s="513"/>
      <c r="F172" s="513"/>
      <c r="G172" s="513" t="s">
        <v>19</v>
      </c>
      <c r="H172" s="79"/>
      <c r="I172" s="80">
        <v>2.4</v>
      </c>
      <c r="J172" s="81">
        <v>74</v>
      </c>
      <c r="K172" s="81">
        <f t="shared" si="36"/>
        <v>177.6</v>
      </c>
      <c r="L172" s="513"/>
      <c r="M172" s="513"/>
      <c r="N172" s="511"/>
    </row>
    <row r="173" spans="1:14" s="28" customFormat="1" ht="15" customHeight="1">
      <c r="A173" s="120"/>
      <c r="B173" s="120"/>
      <c r="C173" s="120"/>
      <c r="D173" s="120"/>
      <c r="E173" s="244" t="s">
        <v>9</v>
      </c>
      <c r="F173" s="108">
        <f>SUM(F170:F171)</f>
        <v>2045.0319999999999</v>
      </c>
      <c r="G173" s="244"/>
      <c r="H173" s="244"/>
      <c r="I173" s="80"/>
      <c r="J173" s="81"/>
      <c r="K173" s="103">
        <f>SUM(K170:K172)</f>
        <v>1549.6</v>
      </c>
      <c r="L173" s="103">
        <f>K173/F173</f>
        <v>0.75773875421020309</v>
      </c>
      <c r="M173" s="79"/>
      <c r="N173" s="107"/>
    </row>
    <row r="174" spans="1:14" s="28" customFormat="1" ht="15" customHeight="1">
      <c r="A174" s="120">
        <v>9925</v>
      </c>
      <c r="B174" s="513" t="s">
        <v>1014</v>
      </c>
      <c r="C174" s="513" t="s">
        <v>792</v>
      </c>
      <c r="D174" s="513" t="s">
        <v>1016</v>
      </c>
      <c r="E174" s="513" t="s">
        <v>1015</v>
      </c>
      <c r="F174" s="90">
        <f>7500*1.0936</f>
        <v>8202</v>
      </c>
      <c r="G174" s="120" t="s">
        <v>27</v>
      </c>
      <c r="H174" s="79"/>
      <c r="I174" s="80">
        <v>325</v>
      </c>
      <c r="J174" s="81">
        <v>22</v>
      </c>
      <c r="K174" s="81">
        <f t="shared" ref="K174:K176" si="37">I174*J174</f>
        <v>7150</v>
      </c>
      <c r="L174" s="120"/>
      <c r="M174" s="120"/>
      <c r="N174" s="197"/>
    </row>
    <row r="175" spans="1:14" s="28" customFormat="1" ht="15" customHeight="1">
      <c r="A175" s="120"/>
      <c r="B175" s="120"/>
      <c r="C175" s="120"/>
      <c r="D175" s="120"/>
      <c r="E175" s="120"/>
      <c r="F175" s="120"/>
      <c r="G175" s="83" t="s">
        <v>49</v>
      </c>
      <c r="H175" s="79"/>
      <c r="I175" s="80">
        <v>26</v>
      </c>
      <c r="J175" s="81">
        <v>34</v>
      </c>
      <c r="K175" s="81">
        <f t="shared" si="37"/>
        <v>884</v>
      </c>
      <c r="L175" s="120"/>
      <c r="M175" s="120"/>
      <c r="N175" s="197"/>
    </row>
    <row r="176" spans="1:14" s="28" customFormat="1" ht="15" customHeight="1">
      <c r="A176" s="120"/>
      <c r="B176" s="120"/>
      <c r="C176" s="120"/>
      <c r="D176" s="120"/>
      <c r="E176" s="120"/>
      <c r="F176" s="120"/>
      <c r="G176" s="120" t="s">
        <v>19</v>
      </c>
      <c r="H176" s="79"/>
      <c r="I176" s="80">
        <v>7.8</v>
      </c>
      <c r="J176" s="81">
        <v>74</v>
      </c>
      <c r="K176" s="81">
        <f t="shared" si="37"/>
        <v>577.19999999999993</v>
      </c>
      <c r="L176" s="120"/>
      <c r="M176" s="120"/>
      <c r="N176" s="197"/>
    </row>
    <row r="177" spans="1:14" s="28" customFormat="1" ht="15" customHeight="1">
      <c r="A177" s="120"/>
      <c r="B177" s="120"/>
      <c r="C177" s="120"/>
      <c r="D177" s="120"/>
      <c r="E177" s="244" t="s">
        <v>9</v>
      </c>
      <c r="F177" s="108">
        <f>SUM(F174:F176)</f>
        <v>8202</v>
      </c>
      <c r="G177" s="244"/>
      <c r="H177" s="244"/>
      <c r="I177" s="80"/>
      <c r="J177" s="81"/>
      <c r="K177" s="103">
        <f>SUM(K174:K176)</f>
        <v>8611.2000000000007</v>
      </c>
      <c r="L177" s="103">
        <f>K177/F177</f>
        <v>1.0498902706656914</v>
      </c>
      <c r="M177" s="120"/>
      <c r="N177" s="197"/>
    </row>
    <row r="178" spans="1:14" s="28" customFormat="1" ht="15" customHeight="1">
      <c r="A178" s="120">
        <v>9923</v>
      </c>
      <c r="B178" s="513" t="s">
        <v>881</v>
      </c>
      <c r="C178" s="513" t="s">
        <v>882</v>
      </c>
      <c r="D178" s="513" t="s">
        <v>1051</v>
      </c>
      <c r="E178" s="513" t="s">
        <v>1052</v>
      </c>
      <c r="F178" s="160">
        <f>660*1.0936</f>
        <v>721.77599999999995</v>
      </c>
      <c r="G178" s="120" t="s">
        <v>27</v>
      </c>
      <c r="H178" s="79"/>
      <c r="I178" s="80">
        <v>50</v>
      </c>
      <c r="J178" s="81">
        <v>22</v>
      </c>
      <c r="K178" s="81">
        <f t="shared" ref="K178:K180" si="38">I178*J178</f>
        <v>1100</v>
      </c>
      <c r="L178" s="120"/>
      <c r="M178" s="120"/>
      <c r="N178" s="197"/>
    </row>
    <row r="179" spans="1:14" s="28" customFormat="1" ht="15" customHeight="1">
      <c r="A179" s="120"/>
      <c r="B179" s="120"/>
      <c r="C179" s="120"/>
      <c r="D179" s="120"/>
      <c r="E179" s="120"/>
      <c r="F179" s="120"/>
      <c r="G179" s="83" t="s">
        <v>49</v>
      </c>
      <c r="H179" s="79"/>
      <c r="I179" s="80">
        <v>4</v>
      </c>
      <c r="J179" s="81">
        <v>34</v>
      </c>
      <c r="K179" s="81">
        <f t="shared" si="38"/>
        <v>136</v>
      </c>
      <c r="L179" s="120"/>
      <c r="M179" s="120"/>
      <c r="N179" s="197"/>
    </row>
    <row r="180" spans="1:14" s="28" customFormat="1" ht="15" customHeight="1">
      <c r="A180" s="120"/>
      <c r="B180" s="120"/>
      <c r="C180" s="120"/>
      <c r="D180" s="120"/>
      <c r="E180" s="120"/>
      <c r="F180" s="120"/>
      <c r="G180" s="120" t="s">
        <v>19</v>
      </c>
      <c r="H180" s="79"/>
      <c r="I180" s="80">
        <v>1.2</v>
      </c>
      <c r="J180" s="81">
        <v>74</v>
      </c>
      <c r="K180" s="81">
        <f t="shared" si="38"/>
        <v>88.8</v>
      </c>
      <c r="L180" s="120"/>
      <c r="M180" s="120"/>
      <c r="N180" s="197"/>
    </row>
    <row r="181" spans="1:14" s="28" customFormat="1" ht="15" customHeight="1">
      <c r="A181" s="120"/>
      <c r="B181" s="120"/>
      <c r="C181" s="120"/>
      <c r="D181" s="120"/>
      <c r="E181" s="244" t="s">
        <v>9</v>
      </c>
      <c r="F181" s="108">
        <f>SUM(F178:F180)</f>
        <v>721.77599999999995</v>
      </c>
      <c r="G181" s="244"/>
      <c r="H181" s="244"/>
      <c r="I181" s="80"/>
      <c r="J181" s="81"/>
      <c r="K181" s="103">
        <f>SUM(K178:K180)</f>
        <v>1324.8</v>
      </c>
      <c r="L181" s="103">
        <f>K181/F181</f>
        <v>1.835472501163796</v>
      </c>
      <c r="M181" s="120"/>
      <c r="N181" s="197"/>
    </row>
    <row r="182" spans="1:14" s="28" customFormat="1" ht="15" customHeight="1">
      <c r="A182" s="120">
        <v>9923</v>
      </c>
      <c r="B182" s="513" t="s">
        <v>1013</v>
      </c>
      <c r="C182" s="89" t="s">
        <v>766</v>
      </c>
      <c r="D182" s="89" t="s">
        <v>465</v>
      </c>
      <c r="E182" s="513" t="s">
        <v>1012</v>
      </c>
      <c r="F182" s="222">
        <f>3950*1.0936</f>
        <v>4319.7199999999993</v>
      </c>
      <c r="G182" s="120" t="s">
        <v>27</v>
      </c>
      <c r="H182" s="79"/>
      <c r="I182" s="80">
        <v>250</v>
      </c>
      <c r="J182" s="81">
        <v>22</v>
      </c>
      <c r="K182" s="81">
        <f t="shared" ref="K182:K185" si="39">I182*J182</f>
        <v>5500</v>
      </c>
      <c r="L182" s="120"/>
      <c r="M182" s="120"/>
      <c r="N182" s="197"/>
    </row>
    <row r="183" spans="1:14" s="28" customFormat="1" ht="15" customHeight="1">
      <c r="A183" s="120"/>
      <c r="B183" s="120"/>
      <c r="C183" s="120"/>
      <c r="D183" s="120"/>
      <c r="E183" s="120"/>
      <c r="F183" s="87"/>
      <c r="G183" s="83" t="s">
        <v>49</v>
      </c>
      <c r="H183" s="79"/>
      <c r="I183" s="80">
        <v>20</v>
      </c>
      <c r="J183" s="81">
        <v>34</v>
      </c>
      <c r="K183" s="81">
        <f t="shared" si="39"/>
        <v>680</v>
      </c>
      <c r="L183" s="120"/>
      <c r="M183" s="120"/>
      <c r="N183" s="197"/>
    </row>
    <row r="184" spans="1:14" s="28" customFormat="1" ht="15" customHeight="1">
      <c r="A184" s="120"/>
      <c r="B184" s="120"/>
      <c r="C184" s="120"/>
      <c r="D184" s="120"/>
      <c r="E184" s="120"/>
      <c r="F184" s="120"/>
      <c r="G184" s="120" t="s">
        <v>19</v>
      </c>
      <c r="H184" s="79"/>
      <c r="I184" s="80">
        <v>7.5</v>
      </c>
      <c r="J184" s="81">
        <v>74</v>
      </c>
      <c r="K184" s="81">
        <f t="shared" si="39"/>
        <v>555</v>
      </c>
      <c r="L184" s="120"/>
      <c r="M184" s="120"/>
      <c r="N184" s="197"/>
    </row>
    <row r="185" spans="1:14" s="28" customFormat="1" ht="15" customHeight="1">
      <c r="A185" s="513"/>
      <c r="B185" s="513"/>
      <c r="C185" s="513"/>
      <c r="D185" s="513"/>
      <c r="E185" s="513"/>
      <c r="F185" s="513"/>
      <c r="G185" s="95" t="s">
        <v>185</v>
      </c>
      <c r="H185" s="79"/>
      <c r="I185" s="96">
        <v>0.6</v>
      </c>
      <c r="J185" s="81">
        <v>490</v>
      </c>
      <c r="K185" s="81">
        <f t="shared" si="39"/>
        <v>294</v>
      </c>
      <c r="L185" s="513"/>
      <c r="M185" s="513"/>
      <c r="N185" s="511"/>
    </row>
    <row r="186" spans="1:14" s="28" customFormat="1" ht="15" customHeight="1">
      <c r="A186" s="513"/>
      <c r="B186" s="513"/>
      <c r="C186" s="513"/>
      <c r="D186" s="513"/>
      <c r="E186" s="273" t="s">
        <v>9</v>
      </c>
      <c r="F186" s="108">
        <f>SUM(F182:F185)</f>
        <v>4319.7199999999993</v>
      </c>
      <c r="G186" s="273"/>
      <c r="H186" s="273"/>
      <c r="I186" s="80"/>
      <c r="J186" s="81"/>
      <c r="K186" s="103">
        <f>SUM(K182:K185)</f>
        <v>7029</v>
      </c>
      <c r="L186" s="103">
        <f>K186/F186</f>
        <v>1.6271887992740273</v>
      </c>
      <c r="M186" s="513"/>
      <c r="N186" s="511"/>
    </row>
    <row r="187" spans="1:14" s="28" customFormat="1" ht="15" customHeight="1">
      <c r="A187" s="242"/>
      <c r="B187" s="242"/>
      <c r="C187" s="242"/>
      <c r="D187" s="133" t="s">
        <v>30</v>
      </c>
      <c r="E187" s="186"/>
      <c r="F187" s="134">
        <f>F169+F173+F177+F181+F186</f>
        <v>16054.047999999999</v>
      </c>
      <c r="G187" s="135"/>
      <c r="H187" s="135"/>
      <c r="I187" s="135"/>
      <c r="J187" s="135"/>
      <c r="K187" s="134">
        <f>K169+K173+K177+K181+K186</f>
        <v>19721.919999999998</v>
      </c>
      <c r="L187" s="151">
        <f>K187/F187</f>
        <v>1.2284702275712642</v>
      </c>
      <c r="M187" s="137"/>
      <c r="N187" s="107"/>
    </row>
    <row r="188" spans="1:14" s="28" customFormat="1" ht="15" customHeight="1">
      <c r="A188" s="106" t="s">
        <v>11</v>
      </c>
      <c r="B188" s="106"/>
      <c r="C188" s="106"/>
      <c r="D188" s="106"/>
      <c r="E188" s="106"/>
      <c r="F188" s="107"/>
      <c r="G188" s="107"/>
      <c r="H188" s="107"/>
      <c r="I188" s="107"/>
      <c r="J188" s="107"/>
      <c r="K188" s="867" t="s">
        <v>1011</v>
      </c>
      <c r="L188" s="867"/>
      <c r="M188" s="867"/>
      <c r="N188" s="107"/>
    </row>
    <row r="189" spans="1:14" s="28" customFormat="1" ht="15" customHeight="1">
      <c r="A189" s="244" t="s">
        <v>0</v>
      </c>
      <c r="B189" s="244" t="s">
        <v>7</v>
      </c>
      <c r="C189" s="244" t="s">
        <v>13</v>
      </c>
      <c r="D189" s="244" t="s">
        <v>14</v>
      </c>
      <c r="E189" s="244" t="s">
        <v>8</v>
      </c>
      <c r="F189" s="244" t="s">
        <v>1</v>
      </c>
      <c r="G189" s="244" t="s">
        <v>2</v>
      </c>
      <c r="H189" s="244" t="s">
        <v>15</v>
      </c>
      <c r="I189" s="244" t="s">
        <v>3</v>
      </c>
      <c r="J189" s="244" t="s">
        <v>4</v>
      </c>
      <c r="K189" s="244" t="s">
        <v>5</v>
      </c>
      <c r="L189" s="244" t="s">
        <v>12</v>
      </c>
      <c r="M189" s="244" t="s">
        <v>6</v>
      </c>
      <c r="N189" s="246"/>
    </row>
    <row r="190" spans="1:14" s="28" customFormat="1" ht="15" customHeight="1">
      <c r="A190" s="120">
        <v>9737</v>
      </c>
      <c r="B190" s="513" t="s">
        <v>954</v>
      </c>
      <c r="C190" s="513" t="s">
        <v>955</v>
      </c>
      <c r="D190" s="513" t="s">
        <v>956</v>
      </c>
      <c r="E190" s="512"/>
      <c r="F190" s="87">
        <f>5400*1.0936</f>
        <v>5905.44</v>
      </c>
      <c r="G190" s="514" t="s">
        <v>587</v>
      </c>
      <c r="H190" s="79"/>
      <c r="I190" s="80">
        <v>3</v>
      </c>
      <c r="J190" s="81">
        <v>456</v>
      </c>
      <c r="K190" s="94">
        <f t="shared" ref="K190" si="40">I190*J190</f>
        <v>1368</v>
      </c>
      <c r="L190" s="79"/>
      <c r="M190" s="79"/>
      <c r="N190" s="107"/>
    </row>
    <row r="191" spans="1:14" s="28" customFormat="1" ht="15" customHeight="1">
      <c r="A191" s="120"/>
      <c r="B191" s="120"/>
      <c r="C191" s="120"/>
      <c r="D191" s="120"/>
      <c r="E191" s="120"/>
      <c r="F191" s="87"/>
      <c r="G191" s="95"/>
      <c r="H191" s="79"/>
      <c r="I191" s="188"/>
      <c r="J191" s="81"/>
      <c r="K191" s="81">
        <f t="shared" ref="K191" si="41">I191*J191</f>
        <v>0</v>
      </c>
      <c r="L191" s="79"/>
      <c r="M191" s="79"/>
      <c r="N191" s="107"/>
    </row>
    <row r="192" spans="1:14" s="28" customFormat="1" ht="15" customHeight="1">
      <c r="A192" s="120"/>
      <c r="B192" s="120"/>
      <c r="C192" s="120"/>
      <c r="D192" s="120"/>
      <c r="E192" s="244" t="s">
        <v>9</v>
      </c>
      <c r="F192" s="108">
        <f>SUM(F190:F191)</f>
        <v>5905.44</v>
      </c>
      <c r="G192" s="244"/>
      <c r="H192" s="244"/>
      <c r="I192" s="81"/>
      <c r="J192" s="81"/>
      <c r="K192" s="103">
        <f>SUM(K190:K191)</f>
        <v>1368</v>
      </c>
      <c r="L192" s="103">
        <f>K192/F192</f>
        <v>0.23165081687393321</v>
      </c>
      <c r="M192" s="79"/>
      <c r="N192" s="107"/>
    </row>
    <row r="193" spans="1:14" s="28" customFormat="1" ht="15" customHeight="1">
      <c r="A193" s="120">
        <v>9738</v>
      </c>
      <c r="B193" s="513" t="s">
        <v>929</v>
      </c>
      <c r="C193" s="513" t="s">
        <v>513</v>
      </c>
      <c r="D193" s="513" t="s">
        <v>486</v>
      </c>
      <c r="E193" s="513" t="s">
        <v>779</v>
      </c>
      <c r="F193" s="87">
        <f>440*1.0936</f>
        <v>481.18399999999997</v>
      </c>
      <c r="G193" s="513" t="s">
        <v>202</v>
      </c>
      <c r="H193" s="79"/>
      <c r="I193" s="188">
        <v>2.5</v>
      </c>
      <c r="J193" s="81">
        <v>386</v>
      </c>
      <c r="K193" s="81">
        <f t="shared" ref="K193" si="42">I193*J193</f>
        <v>965</v>
      </c>
      <c r="L193" s="79"/>
      <c r="M193" s="79"/>
      <c r="N193" s="107"/>
    </row>
    <row r="194" spans="1:14" s="28" customFormat="1" ht="15" customHeight="1">
      <c r="A194" s="120"/>
      <c r="C194" s="281"/>
      <c r="D194" s="513"/>
      <c r="E194" s="513"/>
      <c r="F194" s="87"/>
      <c r="G194" s="173" t="s">
        <v>298</v>
      </c>
      <c r="H194" s="79"/>
      <c r="I194" s="80">
        <v>5</v>
      </c>
      <c r="J194" s="81">
        <v>435</v>
      </c>
      <c r="K194" s="94">
        <f t="shared" ref="K194:K195" si="43">I194*J194</f>
        <v>2175</v>
      </c>
      <c r="L194" s="79"/>
      <c r="M194" s="79"/>
      <c r="N194" s="107"/>
    </row>
    <row r="195" spans="1:14" s="28" customFormat="1" ht="15" customHeight="1">
      <c r="A195" s="513"/>
      <c r="B195" s="513"/>
      <c r="C195" s="513"/>
      <c r="D195" s="513"/>
      <c r="E195" s="513"/>
      <c r="F195" s="87"/>
      <c r="G195" s="173" t="s">
        <v>799</v>
      </c>
      <c r="H195" s="79"/>
      <c r="I195" s="188">
        <v>5</v>
      </c>
      <c r="J195" s="81">
        <v>350</v>
      </c>
      <c r="K195" s="94">
        <f t="shared" si="43"/>
        <v>1750</v>
      </c>
      <c r="L195" s="36"/>
      <c r="M195" s="79"/>
      <c r="N195" s="107"/>
    </row>
    <row r="196" spans="1:14" s="28" customFormat="1" ht="15" customHeight="1">
      <c r="A196" s="513"/>
      <c r="B196" s="513"/>
      <c r="C196" s="513"/>
      <c r="D196" s="513"/>
      <c r="E196" s="513"/>
      <c r="F196" s="87"/>
      <c r="G196" s="514" t="s">
        <v>798</v>
      </c>
      <c r="H196" s="79"/>
      <c r="I196" s="81">
        <v>2.5</v>
      </c>
      <c r="J196" s="81">
        <v>248</v>
      </c>
      <c r="K196" s="81">
        <f>I196*J196</f>
        <v>620</v>
      </c>
      <c r="L196" s="79"/>
      <c r="M196" s="79"/>
      <c r="N196" s="107"/>
    </row>
    <row r="197" spans="1:14" s="28" customFormat="1" ht="15" customHeight="1">
      <c r="A197" s="513"/>
      <c r="B197" s="513"/>
      <c r="C197" s="513"/>
      <c r="D197" s="513"/>
      <c r="E197" s="273" t="s">
        <v>9</v>
      </c>
      <c r="F197" s="108">
        <f>SUM(F193:F196)</f>
        <v>481.18399999999997</v>
      </c>
      <c r="G197" s="273"/>
      <c r="H197" s="273"/>
      <c r="I197" s="81"/>
      <c r="J197" s="81"/>
      <c r="K197" s="103">
        <f>SUM(K193:K196)</f>
        <v>5510</v>
      </c>
      <c r="L197" s="103">
        <f>K197/F197</f>
        <v>11.450921061381925</v>
      </c>
      <c r="M197" s="79"/>
      <c r="N197" s="107"/>
    </row>
    <row r="198" spans="1:14" s="28" customFormat="1" ht="15" customHeight="1">
      <c r="A198" s="513">
        <v>9739</v>
      </c>
      <c r="B198" s="513" t="s">
        <v>1061</v>
      </c>
      <c r="C198" s="89" t="s">
        <v>115</v>
      </c>
      <c r="D198" s="89" t="s">
        <v>113</v>
      </c>
      <c r="E198" s="513" t="s">
        <v>102</v>
      </c>
      <c r="F198" s="99">
        <f>2420*1.0936</f>
        <v>2646.5119999999997</v>
      </c>
      <c r="G198" s="173" t="s">
        <v>298</v>
      </c>
      <c r="H198" s="79"/>
      <c r="I198" s="80">
        <v>10</v>
      </c>
      <c r="J198" s="81">
        <v>435</v>
      </c>
      <c r="K198" s="94">
        <f t="shared" ref="K198" si="44">I198*J198</f>
        <v>4350</v>
      </c>
      <c r="L198" s="79"/>
      <c r="M198" s="79"/>
      <c r="N198" s="107"/>
    </row>
    <row r="199" spans="1:14" s="28" customFormat="1" ht="15" customHeight="1">
      <c r="A199" s="513"/>
      <c r="B199" s="513"/>
      <c r="C199" s="513"/>
      <c r="D199" s="513"/>
      <c r="E199" s="513"/>
      <c r="F199" s="87"/>
      <c r="G199" s="514" t="s">
        <v>512</v>
      </c>
      <c r="H199" s="79"/>
      <c r="I199" s="80">
        <v>5</v>
      </c>
      <c r="J199" s="81">
        <v>248</v>
      </c>
      <c r="K199" s="94">
        <f t="shared" ref="K199" si="45">I199*J199</f>
        <v>1240</v>
      </c>
      <c r="L199" s="79"/>
      <c r="M199" s="79"/>
      <c r="N199" s="107"/>
    </row>
    <row r="200" spans="1:14" s="28" customFormat="1" ht="15" customHeight="1">
      <c r="A200" s="513"/>
      <c r="B200" s="513"/>
      <c r="C200" s="513"/>
      <c r="D200" s="513"/>
      <c r="E200" s="273" t="s">
        <v>9</v>
      </c>
      <c r="F200" s="108">
        <f>SUM(F198:F199)</f>
        <v>2646.5119999999997</v>
      </c>
      <c r="G200" s="273"/>
      <c r="H200" s="273"/>
      <c r="I200" s="81"/>
      <c r="J200" s="81"/>
      <c r="K200" s="103">
        <f>SUM(K198:K199)</f>
        <v>5590</v>
      </c>
      <c r="L200" s="103">
        <f>K200/F200</f>
        <v>2.1122141142756958</v>
      </c>
      <c r="M200" s="79"/>
      <c r="N200" s="107"/>
    </row>
    <row r="201" spans="1:14" s="28" customFormat="1" ht="15" customHeight="1">
      <c r="A201" s="513">
        <v>9740</v>
      </c>
      <c r="B201" s="513" t="s">
        <v>1013</v>
      </c>
      <c r="C201" s="89" t="s">
        <v>766</v>
      </c>
      <c r="D201" s="89" t="s">
        <v>465</v>
      </c>
      <c r="E201" s="513" t="s">
        <v>1012</v>
      </c>
      <c r="F201" s="222">
        <f>3950*1.0936</f>
        <v>4319.7199999999993</v>
      </c>
      <c r="G201" s="173" t="s">
        <v>298</v>
      </c>
      <c r="H201" s="79"/>
      <c r="I201" s="80">
        <v>13</v>
      </c>
      <c r="J201" s="81">
        <v>435</v>
      </c>
      <c r="K201" s="94">
        <f t="shared" ref="K201:K202" si="46">I201*J201</f>
        <v>5655</v>
      </c>
      <c r="L201" s="79"/>
      <c r="M201" s="79"/>
      <c r="N201" s="107"/>
    </row>
    <row r="202" spans="1:14" s="28" customFormat="1" ht="15" customHeight="1">
      <c r="A202" s="513"/>
      <c r="B202" s="513"/>
      <c r="C202" s="513"/>
      <c r="D202" s="513"/>
      <c r="E202" s="513"/>
      <c r="F202" s="87"/>
      <c r="G202" s="514" t="s">
        <v>206</v>
      </c>
      <c r="H202" s="79"/>
      <c r="I202" s="81">
        <v>3</v>
      </c>
      <c r="J202" s="81">
        <v>375</v>
      </c>
      <c r="K202" s="81">
        <f t="shared" si="46"/>
        <v>1125</v>
      </c>
      <c r="L202" s="79"/>
      <c r="M202" s="79"/>
      <c r="N202" s="107"/>
    </row>
    <row r="203" spans="1:14" s="28" customFormat="1" ht="15" customHeight="1">
      <c r="A203" s="513"/>
      <c r="B203" s="513"/>
      <c r="C203" s="513"/>
      <c r="D203" s="513"/>
      <c r="E203" s="273" t="s">
        <v>9</v>
      </c>
      <c r="F203" s="108">
        <f>SUM(F201:F202)</f>
        <v>4319.7199999999993</v>
      </c>
      <c r="G203" s="273"/>
      <c r="H203" s="273"/>
      <c r="I203" s="81"/>
      <c r="J203" s="81"/>
      <c r="K203" s="103">
        <f>SUM(K201:K202)</f>
        <v>6780</v>
      </c>
      <c r="L203" s="103">
        <f>K203/F203</f>
        <v>1.5695461742890746</v>
      </c>
      <c r="M203" s="79"/>
      <c r="N203" s="107"/>
    </row>
    <row r="204" spans="1:14">
      <c r="A204" s="107"/>
      <c r="B204" s="107"/>
      <c r="C204" s="107"/>
      <c r="D204" s="133" t="s">
        <v>30</v>
      </c>
      <c r="E204" s="133"/>
      <c r="F204" s="134">
        <f>F192+F197+F200+F203</f>
        <v>13352.855999999998</v>
      </c>
      <c r="G204" s="135"/>
      <c r="H204" s="135"/>
      <c r="I204" s="135"/>
      <c r="J204" s="135"/>
      <c r="K204" s="134">
        <f>K192+K197+K200+K203</f>
        <v>19248</v>
      </c>
      <c r="L204" s="151">
        <f>K204/F204</f>
        <v>1.4414893712625976</v>
      </c>
      <c r="M204" s="107"/>
      <c r="N204" s="107"/>
    </row>
    <row r="205" spans="1:14">
      <c r="A205" s="106" t="s">
        <v>42</v>
      </c>
      <c r="B205" s="106"/>
      <c r="C205" s="106"/>
      <c r="D205" s="106"/>
      <c r="E205" s="106"/>
      <c r="F205" s="107"/>
      <c r="G205" s="107"/>
      <c r="H205" s="107"/>
      <c r="I205" s="107"/>
      <c r="J205" s="107"/>
      <c r="K205" s="867" t="s">
        <v>1011</v>
      </c>
      <c r="L205" s="867"/>
      <c r="M205" s="867"/>
      <c r="N205" s="107"/>
    </row>
    <row r="206" spans="1:14">
      <c r="A206" s="244" t="s">
        <v>0</v>
      </c>
      <c r="B206" s="244" t="s">
        <v>7</v>
      </c>
      <c r="C206" s="244" t="s">
        <v>13</v>
      </c>
      <c r="D206" s="244" t="s">
        <v>14</v>
      </c>
      <c r="E206" s="244" t="s">
        <v>8</v>
      </c>
      <c r="F206" s="244" t="s">
        <v>1</v>
      </c>
      <c r="G206" s="244" t="s">
        <v>2</v>
      </c>
      <c r="H206" s="244" t="s">
        <v>15</v>
      </c>
      <c r="I206" s="244" t="s">
        <v>3</v>
      </c>
      <c r="J206" s="244" t="s">
        <v>4</v>
      </c>
      <c r="K206" s="244" t="s">
        <v>5</v>
      </c>
      <c r="L206" s="244" t="s">
        <v>12</v>
      </c>
      <c r="M206" s="244" t="s">
        <v>6</v>
      </c>
      <c r="N206" s="246"/>
    </row>
    <row r="207" spans="1:14">
      <c r="A207" s="120">
        <v>7765</v>
      </c>
      <c r="B207" s="513" t="s">
        <v>293</v>
      </c>
      <c r="C207" s="513" t="s">
        <v>278</v>
      </c>
      <c r="D207" s="513" t="s">
        <v>1063</v>
      </c>
      <c r="E207" s="513" t="s">
        <v>93</v>
      </c>
      <c r="F207" s="99">
        <f>50*1.0936</f>
        <v>54.679999999999993</v>
      </c>
      <c r="G207" s="91" t="s">
        <v>123</v>
      </c>
      <c r="H207" s="513"/>
      <c r="I207" s="96">
        <v>0.38</v>
      </c>
      <c r="J207" s="81">
        <v>750</v>
      </c>
      <c r="K207" s="94">
        <f t="shared" ref="K207:K209" si="47">I207*J207</f>
        <v>285</v>
      </c>
      <c r="L207" s="102"/>
      <c r="M207" s="2"/>
      <c r="N207" s="107"/>
    </row>
    <row r="208" spans="1:14">
      <c r="A208" s="120"/>
      <c r="B208" s="3"/>
      <c r="C208" s="3"/>
      <c r="D208" s="3"/>
      <c r="E208" s="120"/>
      <c r="F208" s="4"/>
      <c r="G208" s="91" t="s">
        <v>888</v>
      </c>
      <c r="H208" s="109"/>
      <c r="I208" s="80">
        <v>0.15</v>
      </c>
      <c r="J208" s="81">
        <v>690</v>
      </c>
      <c r="K208" s="81">
        <f t="shared" si="47"/>
        <v>103.5</v>
      </c>
      <c r="L208" s="102"/>
      <c r="M208" s="2"/>
      <c r="N208" s="107"/>
    </row>
    <row r="209" spans="1:14">
      <c r="A209" s="120"/>
      <c r="B209" s="3"/>
      <c r="C209" s="3"/>
      <c r="D209" s="3"/>
      <c r="E209" s="3"/>
      <c r="F209" s="4"/>
      <c r="G209" s="91" t="s">
        <v>209</v>
      </c>
      <c r="H209" s="79"/>
      <c r="I209" s="80">
        <v>7.0000000000000007E-2</v>
      </c>
      <c r="J209" s="81">
        <v>350</v>
      </c>
      <c r="K209" s="81">
        <f t="shared" si="47"/>
        <v>24.500000000000004</v>
      </c>
      <c r="L209" s="79"/>
      <c r="M209" s="2"/>
      <c r="N209" s="107"/>
    </row>
    <row r="210" spans="1:14">
      <c r="A210" s="120"/>
      <c r="B210" s="3"/>
      <c r="C210" s="3"/>
      <c r="D210" s="3"/>
      <c r="E210" s="3"/>
      <c r="F210" s="4"/>
      <c r="G210" s="514" t="s">
        <v>211</v>
      </c>
      <c r="H210" s="79"/>
      <c r="I210" s="80">
        <v>2</v>
      </c>
      <c r="J210" s="81">
        <v>120</v>
      </c>
      <c r="K210" s="81">
        <f>I210*J210</f>
        <v>240</v>
      </c>
      <c r="L210" s="102"/>
      <c r="M210" s="2"/>
      <c r="N210" s="107"/>
    </row>
    <row r="211" spans="1:14">
      <c r="A211" s="120"/>
      <c r="B211" s="3"/>
      <c r="C211" s="3"/>
      <c r="D211" s="3"/>
      <c r="E211" s="3"/>
      <c r="F211" s="4"/>
      <c r="G211" s="514" t="s">
        <v>45</v>
      </c>
      <c r="H211" s="79"/>
      <c r="I211" s="80">
        <v>0.2</v>
      </c>
      <c r="J211" s="81">
        <v>45</v>
      </c>
      <c r="K211" s="81">
        <f t="shared" ref="K211:K214" si="48">I211*J211</f>
        <v>9</v>
      </c>
      <c r="L211" s="102"/>
      <c r="M211" s="2"/>
      <c r="N211" s="107"/>
    </row>
    <row r="212" spans="1:14">
      <c r="A212" s="120"/>
      <c r="B212" s="3"/>
      <c r="C212" s="3"/>
      <c r="D212" s="3"/>
      <c r="E212" s="3"/>
      <c r="F212" s="4"/>
      <c r="G212" s="514" t="s">
        <v>213</v>
      </c>
      <c r="H212" s="79"/>
      <c r="I212" s="80">
        <v>0.2</v>
      </c>
      <c r="J212" s="81">
        <v>348</v>
      </c>
      <c r="K212" s="81">
        <f t="shared" si="48"/>
        <v>69.600000000000009</v>
      </c>
      <c r="L212" s="102"/>
      <c r="M212" s="2"/>
      <c r="N212" s="107"/>
    </row>
    <row r="213" spans="1:14">
      <c r="A213" s="120"/>
      <c r="B213" s="3"/>
      <c r="C213" s="3"/>
      <c r="D213" s="3"/>
      <c r="E213" s="3"/>
      <c r="F213" s="4"/>
      <c r="G213" s="514" t="s">
        <v>214</v>
      </c>
      <c r="H213" s="79"/>
      <c r="I213" s="80">
        <v>1</v>
      </c>
      <c r="J213" s="81">
        <v>360</v>
      </c>
      <c r="K213" s="81">
        <f t="shared" si="48"/>
        <v>360</v>
      </c>
      <c r="L213" s="2"/>
      <c r="M213" s="2"/>
      <c r="N213" s="107"/>
    </row>
    <row r="214" spans="1:14">
      <c r="A214" s="513"/>
      <c r="B214" s="3"/>
      <c r="C214" s="3"/>
      <c r="D214" s="3"/>
      <c r="E214" s="3"/>
      <c r="F214" s="4"/>
      <c r="G214" s="513" t="s">
        <v>28</v>
      </c>
      <c r="H214" s="79"/>
      <c r="I214" s="80">
        <v>0.3</v>
      </c>
      <c r="J214" s="81">
        <v>17</v>
      </c>
      <c r="K214" s="81">
        <f t="shared" si="48"/>
        <v>5.0999999999999996</v>
      </c>
      <c r="L214" s="2"/>
      <c r="M214" s="2"/>
      <c r="N214" s="107"/>
    </row>
    <row r="215" spans="1:14">
      <c r="A215" s="513"/>
      <c r="B215" s="3"/>
      <c r="C215" s="3"/>
      <c r="D215" s="3"/>
      <c r="E215" s="273" t="s">
        <v>9</v>
      </c>
      <c r="F215" s="108">
        <f>SUM(F207:F214)</f>
        <v>54.679999999999993</v>
      </c>
      <c r="G215" s="273"/>
      <c r="H215" s="273"/>
      <c r="I215" s="81"/>
      <c r="J215" s="81"/>
      <c r="K215" s="103">
        <f>SUM(K207:K214)</f>
        <v>1096.6999999999998</v>
      </c>
      <c r="L215" s="103">
        <f>K215/F215</f>
        <v>20.056693489392831</v>
      </c>
      <c r="M215" s="2"/>
      <c r="N215" s="107"/>
    </row>
    <row r="216" spans="1:14">
      <c r="A216" s="513">
        <v>7766</v>
      </c>
      <c r="B216" s="100" t="s">
        <v>1018</v>
      </c>
      <c r="C216" s="513" t="s">
        <v>792</v>
      </c>
      <c r="D216" s="513" t="s">
        <v>867</v>
      </c>
      <c r="E216" s="513" t="s">
        <v>93</v>
      </c>
      <c r="F216" s="99">
        <f>520*1.0936</f>
        <v>568.67199999999991</v>
      </c>
      <c r="G216" s="514" t="s">
        <v>211</v>
      </c>
      <c r="H216" s="79"/>
      <c r="I216" s="80">
        <v>0.5</v>
      </c>
      <c r="J216" s="81">
        <v>120</v>
      </c>
      <c r="K216" s="81">
        <f>I216*J216</f>
        <v>60</v>
      </c>
      <c r="L216" s="102"/>
      <c r="M216" s="2"/>
      <c r="N216" s="107"/>
    </row>
    <row r="217" spans="1:14">
      <c r="A217" s="513"/>
      <c r="B217" s="3"/>
      <c r="C217" s="3"/>
      <c r="D217" s="3"/>
      <c r="E217" s="3"/>
      <c r="F217" s="4"/>
      <c r="G217" s="514" t="s">
        <v>214</v>
      </c>
      <c r="H217" s="79"/>
      <c r="I217" s="80">
        <v>8</v>
      </c>
      <c r="J217" s="81">
        <v>360</v>
      </c>
      <c r="K217" s="81">
        <f t="shared" ref="K217" si="49">I217*J217</f>
        <v>2880</v>
      </c>
      <c r="L217" s="102"/>
      <c r="M217" s="2"/>
      <c r="N217" s="107"/>
    </row>
    <row r="218" spans="1:14">
      <c r="A218" s="513"/>
      <c r="B218" s="3"/>
      <c r="C218" s="3"/>
      <c r="D218" s="3"/>
      <c r="E218" s="273" t="s">
        <v>9</v>
      </c>
      <c r="F218" s="108">
        <f>SUM(F216:F217)</f>
        <v>568.67199999999991</v>
      </c>
      <c r="G218" s="273"/>
      <c r="H218" s="273"/>
      <c r="I218" s="81"/>
      <c r="J218" s="81"/>
      <c r="K218" s="103">
        <f>SUM(K216:K217)</f>
        <v>2940</v>
      </c>
      <c r="L218" s="103">
        <f>K218/F218</f>
        <v>5.169939789544765</v>
      </c>
      <c r="M218" s="2"/>
      <c r="N218" s="107"/>
    </row>
    <row r="219" spans="1:14">
      <c r="A219" s="513">
        <v>7767</v>
      </c>
      <c r="B219" s="100" t="s">
        <v>1064</v>
      </c>
      <c r="C219" s="89" t="s">
        <v>217</v>
      </c>
      <c r="D219" s="89" t="s">
        <v>180</v>
      </c>
      <c r="E219" s="513" t="s">
        <v>93</v>
      </c>
      <c r="F219" s="99">
        <f>40*1.0936</f>
        <v>43.744</v>
      </c>
      <c r="G219" s="91" t="s">
        <v>209</v>
      </c>
      <c r="H219" s="79"/>
      <c r="I219" s="80">
        <v>0.8</v>
      </c>
      <c r="J219" s="81">
        <v>350</v>
      </c>
      <c r="K219" s="81">
        <f t="shared" ref="K219:K224" si="50">I219*J219</f>
        <v>280</v>
      </c>
      <c r="L219" s="79"/>
      <c r="M219" s="2"/>
      <c r="N219" s="107"/>
    </row>
    <row r="220" spans="1:14">
      <c r="A220" s="513"/>
      <c r="B220" s="100"/>
      <c r="C220" s="89"/>
      <c r="D220" s="89"/>
      <c r="E220" s="513"/>
      <c r="F220" s="99"/>
      <c r="G220" s="91" t="s">
        <v>123</v>
      </c>
      <c r="H220" s="513"/>
      <c r="I220" s="96">
        <v>1</v>
      </c>
      <c r="J220" s="81">
        <v>750</v>
      </c>
      <c r="K220" s="94">
        <f t="shared" si="50"/>
        <v>750</v>
      </c>
      <c r="L220" s="102"/>
      <c r="M220" s="2"/>
      <c r="N220" s="107"/>
    </row>
    <row r="221" spans="1:14">
      <c r="A221" s="513"/>
      <c r="B221" s="3"/>
      <c r="C221" s="3"/>
      <c r="D221" s="3"/>
      <c r="E221" s="3"/>
      <c r="F221" s="4"/>
      <c r="G221" s="91" t="s">
        <v>215</v>
      </c>
      <c r="H221" s="109"/>
      <c r="I221" s="80">
        <v>0.8</v>
      </c>
      <c r="J221" s="81">
        <v>750</v>
      </c>
      <c r="K221" s="81">
        <f t="shared" si="50"/>
        <v>600</v>
      </c>
      <c r="L221" s="79"/>
      <c r="M221" s="2"/>
      <c r="N221" s="107"/>
    </row>
    <row r="222" spans="1:14">
      <c r="A222" s="513"/>
      <c r="B222" s="3"/>
      <c r="C222" s="3"/>
      <c r="D222" s="3"/>
      <c r="E222" s="3"/>
      <c r="F222" s="4"/>
      <c r="G222" s="91" t="s">
        <v>888</v>
      </c>
      <c r="H222" s="109"/>
      <c r="I222" s="80">
        <v>1</v>
      </c>
      <c r="J222" s="81">
        <v>690</v>
      </c>
      <c r="K222" s="81">
        <f t="shared" si="50"/>
        <v>690</v>
      </c>
      <c r="L222" s="102"/>
      <c r="M222" s="2"/>
      <c r="N222" s="107"/>
    </row>
    <row r="223" spans="1:14">
      <c r="A223" s="513"/>
      <c r="B223" s="3"/>
      <c r="C223" s="3"/>
      <c r="D223" s="3"/>
      <c r="E223" s="3"/>
      <c r="F223" s="4"/>
      <c r="G223" s="91" t="s">
        <v>294</v>
      </c>
      <c r="H223" s="79"/>
      <c r="I223" s="80">
        <v>0.115</v>
      </c>
      <c r="J223" s="81">
        <v>753</v>
      </c>
      <c r="K223" s="81">
        <f t="shared" si="50"/>
        <v>86.594999999999999</v>
      </c>
      <c r="L223" s="2"/>
      <c r="M223" s="2"/>
      <c r="N223" s="107"/>
    </row>
    <row r="224" spans="1:14">
      <c r="A224" s="513"/>
      <c r="B224" s="3"/>
      <c r="C224" s="3"/>
      <c r="D224" s="3"/>
      <c r="E224" s="3"/>
      <c r="F224" s="4"/>
      <c r="G224" s="91" t="s">
        <v>221</v>
      </c>
      <c r="H224" s="112"/>
      <c r="I224" s="113">
        <v>0.8</v>
      </c>
      <c r="J224" s="81">
        <v>980</v>
      </c>
      <c r="K224" s="81">
        <f t="shared" si="50"/>
        <v>784</v>
      </c>
      <c r="L224" s="2"/>
      <c r="M224" s="2"/>
      <c r="N224" s="107"/>
    </row>
    <row r="225" spans="1:14">
      <c r="A225" s="513"/>
      <c r="B225" s="3"/>
      <c r="C225" s="3"/>
      <c r="D225" s="3"/>
      <c r="E225" s="3"/>
      <c r="F225" s="4"/>
      <c r="G225" s="514" t="s">
        <v>211</v>
      </c>
      <c r="H225" s="79"/>
      <c r="I225" s="80">
        <v>4</v>
      </c>
      <c r="J225" s="81">
        <v>120</v>
      </c>
      <c r="K225" s="81">
        <f>I225*J225</f>
        <v>480</v>
      </c>
      <c r="L225" s="102"/>
      <c r="M225" s="2"/>
      <c r="N225" s="107"/>
    </row>
    <row r="226" spans="1:14">
      <c r="A226" s="513"/>
      <c r="B226" s="3"/>
      <c r="C226" s="3"/>
      <c r="D226" s="3"/>
      <c r="E226" s="3"/>
      <c r="F226" s="4"/>
      <c r="G226" s="514" t="s">
        <v>45</v>
      </c>
      <c r="H226" s="79"/>
      <c r="I226" s="80">
        <v>1</v>
      </c>
      <c r="J226" s="81">
        <v>45</v>
      </c>
      <c r="K226" s="81">
        <f t="shared" ref="K226:K229" si="51">I226*J226</f>
        <v>45</v>
      </c>
      <c r="L226" s="102"/>
      <c r="M226" s="2"/>
      <c r="N226" s="107"/>
    </row>
    <row r="227" spans="1:14">
      <c r="A227" s="513"/>
      <c r="B227" s="3"/>
      <c r="C227" s="3"/>
      <c r="D227" s="3"/>
      <c r="E227" s="3"/>
      <c r="F227" s="4"/>
      <c r="G227" s="514" t="s">
        <v>213</v>
      </c>
      <c r="H227" s="79"/>
      <c r="I227" s="80">
        <v>0.6</v>
      </c>
      <c r="J227" s="81">
        <v>348</v>
      </c>
      <c r="K227" s="81">
        <f t="shared" si="51"/>
        <v>208.79999999999998</v>
      </c>
      <c r="L227" s="102"/>
      <c r="M227" s="2"/>
      <c r="N227" s="107"/>
    </row>
    <row r="228" spans="1:14">
      <c r="A228" s="513"/>
      <c r="B228" s="3"/>
      <c r="C228" s="3"/>
      <c r="D228" s="3"/>
      <c r="E228" s="3"/>
      <c r="F228" s="4"/>
      <c r="G228" s="514" t="s">
        <v>214</v>
      </c>
      <c r="H228" s="79"/>
      <c r="I228" s="80">
        <v>15</v>
      </c>
      <c r="J228" s="81">
        <v>360</v>
      </c>
      <c r="K228" s="81">
        <f t="shared" si="51"/>
        <v>5400</v>
      </c>
      <c r="L228" s="2"/>
      <c r="M228" s="2"/>
      <c r="N228" s="107"/>
    </row>
    <row r="229" spans="1:14">
      <c r="A229" s="513"/>
      <c r="B229" s="3"/>
      <c r="C229" s="3"/>
      <c r="D229" s="3"/>
      <c r="E229" s="3"/>
      <c r="F229" s="4"/>
      <c r="G229" s="513" t="s">
        <v>28</v>
      </c>
      <c r="H229" s="79"/>
      <c r="I229" s="80">
        <v>1.2</v>
      </c>
      <c r="J229" s="81">
        <v>17</v>
      </c>
      <c r="K229" s="81">
        <f t="shared" si="51"/>
        <v>20.399999999999999</v>
      </c>
      <c r="L229" s="2"/>
      <c r="M229" s="2"/>
      <c r="N229" s="107"/>
    </row>
    <row r="230" spans="1:14">
      <c r="A230" s="513"/>
      <c r="B230" s="3"/>
      <c r="C230" s="3"/>
      <c r="D230" s="3"/>
      <c r="E230" s="273" t="s">
        <v>9</v>
      </c>
      <c r="F230" s="108">
        <f>SUM(F219:F229)</f>
        <v>43.744</v>
      </c>
      <c r="G230" s="273"/>
      <c r="H230" s="273"/>
      <c r="I230" s="81"/>
      <c r="J230" s="81"/>
      <c r="K230" s="103">
        <f>SUM(K219:K229)</f>
        <v>9344.7950000000001</v>
      </c>
      <c r="L230" s="152">
        <f>K230/F230</f>
        <v>213.62461137527433</v>
      </c>
      <c r="M230" s="2"/>
      <c r="N230" s="107"/>
    </row>
    <row r="231" spans="1:14">
      <c r="A231" s="513">
        <v>7768</v>
      </c>
      <c r="B231" s="513" t="s">
        <v>884</v>
      </c>
      <c r="C231" s="89" t="s">
        <v>918</v>
      </c>
      <c r="D231" s="89" t="s">
        <v>883</v>
      </c>
      <c r="E231" s="89" t="s">
        <v>694</v>
      </c>
      <c r="F231" s="87">
        <f>30*1.0936</f>
        <v>32.808</v>
      </c>
      <c r="G231" s="91" t="s">
        <v>209</v>
      </c>
      <c r="H231" s="79"/>
      <c r="I231" s="80">
        <v>7.4999999999999997E-2</v>
      </c>
      <c r="J231" s="81">
        <v>350</v>
      </c>
      <c r="K231" s="81">
        <f t="shared" ref="K231:K233" si="52">I231*J231</f>
        <v>26.25</v>
      </c>
      <c r="L231" s="79"/>
      <c r="M231" s="2"/>
      <c r="N231" s="107"/>
    </row>
    <row r="232" spans="1:14">
      <c r="A232" s="513"/>
      <c r="B232" s="513"/>
      <c r="C232" s="513"/>
      <c r="D232" s="513"/>
      <c r="E232" s="89" t="s">
        <v>201</v>
      </c>
      <c r="F232" s="98"/>
      <c r="G232" s="91" t="s">
        <v>123</v>
      </c>
      <c r="H232" s="513"/>
      <c r="I232" s="96">
        <v>1.7999999999999999E-2</v>
      </c>
      <c r="J232" s="81">
        <v>750</v>
      </c>
      <c r="K232" s="94">
        <f t="shared" si="52"/>
        <v>13.499999999999998</v>
      </c>
      <c r="L232" s="102"/>
      <c r="M232" s="2"/>
      <c r="N232" s="107"/>
    </row>
    <row r="233" spans="1:14">
      <c r="A233" s="513"/>
      <c r="B233" s="3"/>
      <c r="C233" s="3"/>
      <c r="D233" s="3"/>
      <c r="E233" s="3"/>
      <c r="F233" s="4"/>
      <c r="G233" s="91" t="s">
        <v>888</v>
      </c>
      <c r="H233" s="109"/>
      <c r="I233" s="80">
        <v>5.0000000000000001E-3</v>
      </c>
      <c r="J233" s="81">
        <v>690</v>
      </c>
      <c r="K233" s="81">
        <f t="shared" si="52"/>
        <v>3.45</v>
      </c>
      <c r="L233" s="102"/>
      <c r="M233" s="2"/>
      <c r="N233" s="107"/>
    </row>
    <row r="234" spans="1:14">
      <c r="A234" s="513"/>
      <c r="B234" s="3"/>
      <c r="C234" s="3"/>
      <c r="D234" s="3"/>
      <c r="E234" s="3"/>
      <c r="F234" s="4"/>
      <c r="G234" s="514" t="s">
        <v>211</v>
      </c>
      <c r="H234" s="79"/>
      <c r="I234" s="80">
        <v>1</v>
      </c>
      <c r="J234" s="81">
        <v>120</v>
      </c>
      <c r="K234" s="81">
        <f>I234*J234</f>
        <v>120</v>
      </c>
      <c r="L234" s="102"/>
      <c r="M234" s="2"/>
      <c r="N234" s="107"/>
    </row>
    <row r="235" spans="1:14">
      <c r="A235" s="513"/>
      <c r="B235" s="3"/>
      <c r="C235" s="3"/>
      <c r="D235" s="3"/>
      <c r="E235" s="3"/>
      <c r="F235" s="4"/>
      <c r="G235" s="514" t="s">
        <v>45</v>
      </c>
      <c r="H235" s="79"/>
      <c r="I235" s="80">
        <v>0.2</v>
      </c>
      <c r="J235" s="81">
        <v>45</v>
      </c>
      <c r="K235" s="81">
        <f t="shared" ref="K235:K237" si="53">I235*J235</f>
        <v>9</v>
      </c>
      <c r="L235" s="102"/>
      <c r="M235" s="2"/>
      <c r="N235" s="107"/>
    </row>
    <row r="236" spans="1:14">
      <c r="A236" s="513"/>
      <c r="B236" s="3"/>
      <c r="C236" s="3"/>
      <c r="D236" s="3"/>
      <c r="E236" s="3"/>
      <c r="F236" s="4"/>
      <c r="G236" s="514" t="s">
        <v>213</v>
      </c>
      <c r="H236" s="79"/>
      <c r="I236" s="80">
        <v>0.2</v>
      </c>
      <c r="J236" s="81">
        <v>348</v>
      </c>
      <c r="K236" s="81">
        <f t="shared" si="53"/>
        <v>69.600000000000009</v>
      </c>
      <c r="L236" s="102"/>
      <c r="M236" s="2"/>
      <c r="N236" s="107"/>
    </row>
    <row r="237" spans="1:14">
      <c r="A237" s="513"/>
      <c r="B237" s="3"/>
      <c r="C237" s="3"/>
      <c r="D237" s="3"/>
      <c r="E237" s="3"/>
      <c r="F237" s="4"/>
      <c r="G237" s="513" t="s">
        <v>28</v>
      </c>
      <c r="H237" s="79"/>
      <c r="I237" s="80">
        <v>0.3</v>
      </c>
      <c r="J237" s="81">
        <v>17</v>
      </c>
      <c r="K237" s="81">
        <f t="shared" si="53"/>
        <v>5.0999999999999996</v>
      </c>
      <c r="L237" s="2"/>
      <c r="M237" s="2"/>
      <c r="N237" s="107"/>
    </row>
    <row r="238" spans="1:14">
      <c r="A238" s="120"/>
      <c r="B238" s="120"/>
      <c r="C238" s="120"/>
      <c r="D238" s="120"/>
      <c r="E238" s="244" t="s">
        <v>9</v>
      </c>
      <c r="F238" s="108">
        <f>SUM(F231:F237)</f>
        <v>32.808</v>
      </c>
      <c r="G238" s="244"/>
      <c r="H238" s="244"/>
      <c r="I238" s="81"/>
      <c r="J238" s="81"/>
      <c r="K238" s="103">
        <f>SUM(K231:K237)</f>
        <v>246.9</v>
      </c>
      <c r="L238" s="103">
        <f>K238/F238</f>
        <v>7.5256035113386979</v>
      </c>
      <c r="M238" s="79"/>
      <c r="N238" s="107"/>
    </row>
    <row r="239" spans="1:14">
      <c r="A239" s="107"/>
      <c r="B239" s="107"/>
      <c r="C239" s="107"/>
      <c r="D239" s="133" t="s">
        <v>30</v>
      </c>
      <c r="E239" s="133"/>
      <c r="F239" s="134">
        <f>F215+F218+F230+F238</f>
        <v>699.90399999999988</v>
      </c>
      <c r="G239" s="135"/>
      <c r="H239" s="135"/>
      <c r="I239" s="135"/>
      <c r="J239" s="135"/>
      <c r="K239" s="134">
        <f>K215+K218+K230+K238</f>
        <v>13628.394999999999</v>
      </c>
      <c r="L239" s="151">
        <f>K239/F239</f>
        <v>19.471806133412585</v>
      </c>
      <c r="M239" s="107"/>
      <c r="N239" s="107"/>
    </row>
    <row r="240" spans="1:14" s="71" customFormat="1" ht="15" customHeight="1"/>
    <row r="241" spans="1:13" ht="15" customHeight="1"/>
    <row r="242" spans="1:13" ht="15" customHeight="1">
      <c r="B242" s="28"/>
      <c r="C242" s="28"/>
      <c r="D242" s="133" t="s">
        <v>1009</v>
      </c>
      <c r="E242" s="405">
        <f>F163+F239</f>
        <v>18044.400000000005</v>
      </c>
      <c r="F242" s="133"/>
      <c r="G242" s="134">
        <f>K22+K55+K70+K76+K163+K187+K204+K239</f>
        <v>396700.11200000002</v>
      </c>
      <c r="H242" s="135"/>
      <c r="I242" s="135"/>
      <c r="J242" s="135"/>
      <c r="K242" s="135"/>
      <c r="L242" s="134">
        <f>G242/E242</f>
        <v>21.984666267650901</v>
      </c>
    </row>
    <row r="243" spans="1:13" ht="15" customHeight="1">
      <c r="B243" s="28"/>
      <c r="C243" s="28"/>
      <c r="D243" s="109" t="s">
        <v>855</v>
      </c>
      <c r="E243" s="406"/>
      <c r="F243" s="109"/>
      <c r="G243" s="359">
        <f>K79+K80+K81+K85+K86+K87+K91+K92+K93+K97+K98+K99+K103+K104+K105+K109+K110+K111+K115+K116+K117+K121+K122+K123+K124+K128+K129+K130+K134+K135+K136+K140+K141+K142+K146+K147+K148+K152+K153+K157+K158+K159+K207+K208+K209+K219+K220+K221+K222+K223+K224+K231+K232+K233</f>
        <v>86486.991999999998</v>
      </c>
      <c r="H243" s="370"/>
      <c r="I243" s="359">
        <f>'10'!I261+'11'!G243</f>
        <v>726879.47600000014</v>
      </c>
      <c r="J243" s="438">
        <f>G243+M256</f>
        <v>87423.351999999999</v>
      </c>
      <c r="K243" s="360"/>
      <c r="L243" s="396"/>
    </row>
    <row r="244" spans="1:13" ht="15" customHeight="1">
      <c r="B244" s="28"/>
      <c r="C244" s="28"/>
      <c r="D244" s="323" t="s">
        <v>854</v>
      </c>
      <c r="E244" s="361"/>
      <c r="F244" s="323"/>
      <c r="G244" s="397">
        <f>G242-G243</f>
        <v>310213.12</v>
      </c>
      <c r="H244" s="398"/>
      <c r="I244" s="359">
        <f>'10'!I262+'11'!G244</f>
        <v>2039408.0109999999</v>
      </c>
      <c r="J244" s="400"/>
      <c r="K244" s="400"/>
      <c r="L244" s="401"/>
    </row>
    <row r="245" spans="1:13" ht="15" customHeight="1">
      <c r="B245" s="28"/>
      <c r="C245" s="28"/>
      <c r="D245" s="109" t="s">
        <v>853</v>
      </c>
      <c r="E245" s="407"/>
      <c r="F245" s="109"/>
      <c r="G245" s="410">
        <f>SUM(G243:G244)</f>
        <v>396700.11199999996</v>
      </c>
      <c r="H245" s="402"/>
      <c r="I245" s="403"/>
      <c r="J245" s="402"/>
      <c r="K245" s="402"/>
      <c r="L245" s="404">
        <f>G245/E242</f>
        <v>21.984666267650898</v>
      </c>
    </row>
    <row r="246" spans="1:13" ht="15" customHeight="1">
      <c r="B246" s="28"/>
      <c r="C246" s="28"/>
      <c r="D246" s="395" t="s">
        <v>906</v>
      </c>
      <c r="E246" s="408"/>
      <c r="F246" s="109"/>
      <c r="G246" s="409">
        <f>M256</f>
        <v>936.3599999999999</v>
      </c>
      <c r="H246" s="392"/>
      <c r="I246" s="391"/>
      <c r="J246" s="391"/>
      <c r="K246" s="393"/>
    </row>
    <row r="247" spans="1:13" ht="15" customHeight="1">
      <c r="B247" s="28"/>
      <c r="C247" s="28"/>
      <c r="D247" s="29"/>
      <c r="E247" s="29"/>
      <c r="F247" s="29"/>
      <c r="G247" s="29"/>
      <c r="H247" s="30"/>
      <c r="I247" s="29"/>
      <c r="J247" s="29"/>
      <c r="K247" s="29"/>
      <c r="L247" s="29"/>
    </row>
    <row r="248" spans="1:13" ht="15" customHeight="1">
      <c r="B248" s="28"/>
      <c r="C248" s="28"/>
      <c r="D248" s="829" t="s">
        <v>852</v>
      </c>
      <c r="E248" s="829"/>
      <c r="F248" s="357">
        <f>G263</f>
        <v>181522</v>
      </c>
      <c r="G248" s="29"/>
      <c r="H248" s="500" t="s">
        <v>908</v>
      </c>
      <c r="I248" s="830" t="s">
        <v>281</v>
      </c>
      <c r="J248" s="831"/>
      <c r="K248" s="80">
        <f>0.12</f>
        <v>0.12</v>
      </c>
      <c r="L248" s="81">
        <v>1035</v>
      </c>
      <c r="M248" s="81">
        <f t="shared" ref="M248:M251" si="54">K248*L248</f>
        <v>124.19999999999999</v>
      </c>
    </row>
    <row r="249" spans="1:13" ht="15" customHeight="1">
      <c r="B249" s="28"/>
      <c r="C249" s="28"/>
      <c r="D249" s="829" t="s">
        <v>835</v>
      </c>
      <c r="E249" s="829"/>
      <c r="F249" s="357">
        <f>G254+G255</f>
        <v>32116</v>
      </c>
      <c r="G249" s="29"/>
      <c r="H249" s="500" t="s">
        <v>909</v>
      </c>
      <c r="I249" s="830" t="s">
        <v>282</v>
      </c>
      <c r="J249" s="831"/>
      <c r="K249" s="80">
        <f>0.64+0.2</f>
        <v>0.84000000000000008</v>
      </c>
      <c r="L249" s="81">
        <v>840</v>
      </c>
      <c r="M249" s="81">
        <f t="shared" si="54"/>
        <v>705.6</v>
      </c>
    </row>
    <row r="250" spans="1:13" ht="15" customHeight="1">
      <c r="B250" s="28"/>
      <c r="C250" s="28"/>
      <c r="D250" s="829" t="s">
        <v>836</v>
      </c>
      <c r="E250" s="829"/>
      <c r="F250" s="357">
        <f>SUM(F248:F249)</f>
        <v>213638</v>
      </c>
      <c r="G250" s="29"/>
      <c r="H250" s="500" t="s">
        <v>910</v>
      </c>
      <c r="I250" s="830" t="s">
        <v>196</v>
      </c>
      <c r="J250" s="831"/>
      <c r="K250" s="80">
        <f>0.08+0.04</f>
        <v>0.12</v>
      </c>
      <c r="L250" s="81">
        <v>888</v>
      </c>
      <c r="M250" s="81">
        <f t="shared" ref="M250" si="55">K250*L250</f>
        <v>106.56</v>
      </c>
    </row>
    <row r="251" spans="1:13" ht="15" customHeight="1">
      <c r="B251" s="28"/>
      <c r="C251" s="28"/>
      <c r="D251" s="368" t="s">
        <v>847</v>
      </c>
      <c r="E251" s="368"/>
      <c r="F251" s="357">
        <f>F248-G244</f>
        <v>-128691.12</v>
      </c>
      <c r="G251" s="29"/>
      <c r="H251" s="500" t="s">
        <v>908</v>
      </c>
      <c r="I251" s="830" t="s">
        <v>196</v>
      </c>
      <c r="J251" s="831"/>
      <c r="K251" s="80"/>
      <c r="L251" s="81">
        <v>888</v>
      </c>
      <c r="M251" s="81">
        <f t="shared" si="54"/>
        <v>0</v>
      </c>
    </row>
    <row r="252" spans="1:13" ht="15" customHeight="1">
      <c r="B252" s="28"/>
      <c r="C252" s="28"/>
      <c r="D252" s="29"/>
      <c r="E252" s="29"/>
      <c r="F252" s="29"/>
      <c r="G252" s="29"/>
      <c r="H252" s="500" t="s">
        <v>912</v>
      </c>
      <c r="I252" s="834" t="s">
        <v>315</v>
      </c>
      <c r="J252" s="835"/>
      <c r="K252" s="80"/>
      <c r="L252" s="81">
        <v>2184</v>
      </c>
      <c r="M252" s="81">
        <f t="shared" ref="M252:M253" si="56">K252*L252</f>
        <v>0</v>
      </c>
    </row>
    <row r="253" spans="1:13" ht="15" customHeight="1">
      <c r="B253" s="836" t="s">
        <v>833</v>
      </c>
      <c r="C253" s="837"/>
      <c r="D253" s="273" t="s">
        <v>844</v>
      </c>
      <c r="E253" s="273" t="s">
        <v>845</v>
      </c>
      <c r="F253" s="273" t="s">
        <v>846</v>
      </c>
      <c r="G253" s="273" t="s">
        <v>5</v>
      </c>
      <c r="H253" s="500" t="s">
        <v>911</v>
      </c>
      <c r="I253" s="830" t="s">
        <v>286</v>
      </c>
      <c r="J253" s="831"/>
      <c r="K253" s="80"/>
      <c r="L253" s="81">
        <v>2065</v>
      </c>
      <c r="M253" s="81">
        <f t="shared" si="56"/>
        <v>0</v>
      </c>
    </row>
    <row r="254" spans="1:13" ht="15" customHeight="1">
      <c r="B254" s="28"/>
      <c r="C254" s="28"/>
      <c r="D254" s="273" t="s">
        <v>837</v>
      </c>
      <c r="E254" s="109">
        <v>15.5</v>
      </c>
      <c r="F254" s="332">
        <v>2072</v>
      </c>
      <c r="G254" s="329">
        <f>F254*E254</f>
        <v>32116</v>
      </c>
      <c r="H254" s="500" t="s">
        <v>909</v>
      </c>
      <c r="I254" s="838"/>
      <c r="J254" s="839"/>
      <c r="K254" s="2"/>
      <c r="L254" s="2"/>
      <c r="M254" s="388"/>
    </row>
    <row r="255" spans="1:13" ht="15" customHeight="1">
      <c r="B255" s="28"/>
      <c r="C255" s="28"/>
      <c r="D255" s="273" t="s">
        <v>1062</v>
      </c>
      <c r="E255" s="109">
        <v>34</v>
      </c>
      <c r="F255" s="332"/>
      <c r="G255" s="329">
        <f t="shared" ref="G255:G262" si="57">F255*E255</f>
        <v>0</v>
      </c>
      <c r="H255" s="500" t="s">
        <v>911</v>
      </c>
      <c r="I255" s="841"/>
      <c r="J255" s="842"/>
      <c r="K255" s="394"/>
      <c r="L255" s="394"/>
      <c r="M255" s="2"/>
    </row>
    <row r="256" spans="1:13" ht="15" customHeight="1">
      <c r="A256" s="68"/>
      <c r="B256" s="29"/>
      <c r="C256" s="29"/>
      <c r="D256" s="322" t="s">
        <v>843</v>
      </c>
      <c r="E256" s="317"/>
      <c r="F256" s="321">
        <f>SUM(F254:F255)</f>
        <v>2072</v>
      </c>
      <c r="G256" s="320">
        <f>SUM(G254:G255)</f>
        <v>32116</v>
      </c>
      <c r="H256" s="29"/>
      <c r="I256" s="844" t="s">
        <v>906</v>
      </c>
      <c r="J256" s="845"/>
      <c r="K256" s="490">
        <f>SUM(K248:K255)</f>
        <v>1.08</v>
      </c>
      <c r="L256" s="491"/>
      <c r="M256" s="489">
        <f>SUM(M248:M255)</f>
        <v>936.3599999999999</v>
      </c>
    </row>
    <row r="257" spans="1:14" ht="15" customHeight="1">
      <c r="B257" s="28"/>
      <c r="C257" s="28"/>
      <c r="D257" s="390" t="s">
        <v>968</v>
      </c>
      <c r="E257" s="109">
        <v>360</v>
      </c>
      <c r="F257" s="332">
        <v>50</v>
      </c>
      <c r="G257" s="329">
        <f t="shared" si="57"/>
        <v>18000</v>
      </c>
      <c r="H257" s="29"/>
      <c r="I257" s="29"/>
      <c r="J257" s="29"/>
      <c r="K257" s="29"/>
      <c r="L257" s="29"/>
      <c r="M257" s="263">
        <f>G243+M256</f>
        <v>87423.351999999999</v>
      </c>
    </row>
    <row r="258" spans="1:14" ht="15" customHeight="1">
      <c r="B258" s="28"/>
      <c r="C258" s="28"/>
      <c r="D258" s="436" t="s">
        <v>888</v>
      </c>
      <c r="E258" s="109">
        <v>690</v>
      </c>
      <c r="F258" s="332"/>
      <c r="G258" s="329">
        <f t="shared" si="57"/>
        <v>0</v>
      </c>
      <c r="H258" s="29"/>
      <c r="I258" s="29"/>
      <c r="J258" s="29"/>
      <c r="K258" s="29"/>
      <c r="L258" s="29"/>
    </row>
    <row r="259" spans="1:14" ht="15" customHeight="1">
      <c r="B259" s="28"/>
      <c r="C259" s="28"/>
      <c r="D259" s="273" t="s">
        <v>907</v>
      </c>
      <c r="E259" s="389">
        <v>46</v>
      </c>
      <c r="F259" s="332">
        <v>257</v>
      </c>
      <c r="G259" s="329">
        <f t="shared" si="57"/>
        <v>11822</v>
      </c>
      <c r="H259" s="29"/>
      <c r="I259" s="29"/>
      <c r="J259" s="29"/>
      <c r="K259" s="29"/>
      <c r="L259" s="29"/>
    </row>
    <row r="260" spans="1:14" ht="15" customHeight="1">
      <c r="B260" s="28"/>
      <c r="C260" s="28"/>
      <c r="D260" s="273" t="s">
        <v>27</v>
      </c>
      <c r="E260" s="109">
        <v>22</v>
      </c>
      <c r="F260" s="332"/>
      <c r="G260" s="329">
        <f t="shared" si="57"/>
        <v>0</v>
      </c>
      <c r="H260" s="29"/>
      <c r="I260" s="29"/>
      <c r="J260" s="29"/>
      <c r="K260" s="29"/>
      <c r="L260" s="29"/>
    </row>
    <row r="261" spans="1:14" ht="15" customHeight="1">
      <c r="B261" s="28"/>
      <c r="C261" s="28"/>
      <c r="D261" s="273" t="s">
        <v>849</v>
      </c>
      <c r="E261" s="109">
        <v>74</v>
      </c>
      <c r="F261" s="332">
        <f>1000+1000+50</f>
        <v>2050</v>
      </c>
      <c r="G261" s="329">
        <f t="shared" si="57"/>
        <v>151700</v>
      </c>
      <c r="H261" s="29"/>
      <c r="I261" s="29"/>
      <c r="J261" s="29"/>
      <c r="K261" s="29"/>
      <c r="L261" s="29"/>
    </row>
    <row r="262" spans="1:14" ht="15" customHeight="1">
      <c r="B262" s="28"/>
      <c r="C262" s="28"/>
      <c r="D262" s="273" t="s">
        <v>1062</v>
      </c>
      <c r="E262" s="109">
        <v>34</v>
      </c>
      <c r="F262" s="332"/>
      <c r="G262" s="329">
        <f t="shared" si="57"/>
        <v>0</v>
      </c>
      <c r="H262" s="28"/>
      <c r="I262" s="28"/>
      <c r="J262" s="28"/>
      <c r="K262" s="28"/>
      <c r="L262" s="28"/>
    </row>
    <row r="263" spans="1:14" ht="15" customHeight="1">
      <c r="B263" s="28"/>
      <c r="C263" s="28"/>
      <c r="D263" s="331" t="s">
        <v>843</v>
      </c>
      <c r="E263" s="109"/>
      <c r="F263" s="332">
        <f>SUM(F257:F262)</f>
        <v>2357</v>
      </c>
      <c r="G263" s="329">
        <f>SUM(G257:G262)</f>
        <v>181522</v>
      </c>
    </row>
    <row r="264" spans="1:14" ht="15" customHeight="1">
      <c r="B264" s="28"/>
      <c r="C264" s="28"/>
      <c r="D264" s="322" t="s">
        <v>969</v>
      </c>
      <c r="E264" s="317"/>
      <c r="F264" s="321">
        <f>F256+F263</f>
        <v>4429</v>
      </c>
      <c r="G264" s="320">
        <f>G256+G263</f>
        <v>213638</v>
      </c>
    </row>
    <row r="265" spans="1:14" ht="15" customHeight="1"/>
    <row r="266" spans="1:14" ht="15" customHeight="1"/>
    <row r="267" spans="1:14" ht="15" customHeight="1"/>
    <row r="268" spans="1:14" ht="15" customHeight="1"/>
    <row r="269" spans="1:14" s="64" customFormat="1" ht="15" customHeight="1">
      <c r="A269" s="840" t="s">
        <v>240</v>
      </c>
      <c r="B269" s="840"/>
      <c r="C269" s="840" t="s">
        <v>765</v>
      </c>
      <c r="D269" s="840"/>
      <c r="E269" s="840" t="s">
        <v>764</v>
      </c>
      <c r="F269" s="840"/>
      <c r="G269" s="509" t="s">
        <v>66</v>
      </c>
      <c r="H269" s="840" t="s">
        <v>411</v>
      </c>
      <c r="I269" s="840"/>
      <c r="J269" s="840"/>
      <c r="K269" s="840" t="s">
        <v>68</v>
      </c>
      <c r="L269" s="840"/>
      <c r="M269" s="840"/>
    </row>
    <row r="270" spans="1:14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</row>
    <row r="271" spans="1:14">
      <c r="A271" s="107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</row>
    <row r="272" spans="1:14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</row>
    <row r="273" spans="1:14">
      <c r="A273" s="107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</row>
    <row r="274" spans="1:14">
      <c r="A274" s="107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</row>
    <row r="275" spans="1:14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</row>
    <row r="276" spans="1:14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</row>
    <row r="277" spans="1:14">
      <c r="A277" s="107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</row>
    <row r="278" spans="1:14">
      <c r="A278" s="107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</row>
    <row r="279" spans="1:14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</row>
    <row r="280" spans="1:14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</row>
    <row r="281" spans="1:14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</row>
    <row r="282" spans="1:14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</row>
    <row r="283" spans="1:14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</row>
    <row r="284" spans="1:14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</row>
    <row r="285" spans="1:14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</row>
    <row r="286" spans="1:14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</row>
    <row r="287" spans="1:14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</row>
    <row r="288" spans="1:14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</row>
    <row r="289" spans="1:14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</row>
    <row r="290" spans="1:14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</row>
    <row r="291" spans="1:14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</row>
    <row r="292" spans="1:14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</row>
    <row r="293" spans="1:14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</row>
    <row r="294" spans="1:14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</row>
    <row r="295" spans="1:14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</row>
    <row r="296" spans="1:14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</row>
    <row r="297" spans="1:14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</row>
    <row r="298" spans="1:14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</row>
    <row r="299" spans="1:14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</row>
    <row r="300" spans="1:14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</row>
    <row r="301" spans="1:14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</row>
    <row r="302" spans="1:14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</row>
    <row r="303" spans="1:14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</row>
    <row r="304" spans="1:14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</row>
    <row r="305" spans="1:14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</row>
    <row r="306" spans="1:14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</row>
    <row r="307" spans="1:14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</row>
    <row r="308" spans="1:14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</row>
    <row r="309" spans="1:14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</row>
    <row r="310" spans="1:14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</row>
    <row r="311" spans="1:14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</row>
    <row r="312" spans="1:14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</row>
    <row r="313" spans="1:14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</row>
    <row r="314" spans="1:14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</row>
    <row r="315" spans="1:14">
      <c r="A315" s="107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</row>
    <row r="316" spans="1:14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</row>
    <row r="317" spans="1:14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</row>
    <row r="318" spans="1:14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</row>
    <row r="319" spans="1:14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</row>
    <row r="320" spans="1:14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</row>
    <row r="321" spans="1:14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</row>
    <row r="322" spans="1:14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</row>
    <row r="323" spans="1:14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</row>
    <row r="324" spans="1:14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</row>
    <row r="325" spans="1:14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</row>
    <row r="326" spans="1:14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</row>
    <row r="327" spans="1:14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</row>
    <row r="328" spans="1:14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</row>
    <row r="329" spans="1:14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</row>
    <row r="330" spans="1:14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</row>
    <row r="331" spans="1:14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</row>
    <row r="332" spans="1:14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</row>
    <row r="333" spans="1:14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</row>
    <row r="334" spans="1:14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</row>
    <row r="335" spans="1:14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</row>
    <row r="336" spans="1:14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</row>
    <row r="337" spans="1:14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</row>
    <row r="338" spans="1:14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</row>
    <row r="339" spans="1:14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</row>
    <row r="340" spans="1:14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</row>
    <row r="341" spans="1:14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</row>
    <row r="342" spans="1:14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</row>
    <row r="343" spans="1:14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</row>
    <row r="344" spans="1:14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</row>
    <row r="345" spans="1:14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</row>
    <row r="346" spans="1:14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</row>
    <row r="347" spans="1:14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</row>
    <row r="348" spans="1:14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</row>
    <row r="349" spans="1:14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</row>
    <row r="350" spans="1:14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</row>
    <row r="351" spans="1:14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</row>
    <row r="352" spans="1:14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</row>
    <row r="353" spans="1:14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</row>
    <row r="354" spans="1:14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</row>
    <row r="355" spans="1:14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</row>
    <row r="356" spans="1:14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</row>
    <row r="357" spans="1:14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</row>
    <row r="358" spans="1:14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</row>
    <row r="359" spans="1:14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</row>
    <row r="360" spans="1:14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</row>
    <row r="361" spans="1:14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</row>
    <row r="362" spans="1:14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</row>
    <row r="363" spans="1:14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</row>
    <row r="364" spans="1:14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</row>
    <row r="365" spans="1:14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</row>
    <row r="366" spans="1:14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</row>
    <row r="367" spans="1:14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</row>
    <row r="368" spans="1:14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</row>
    <row r="369" spans="1:14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</row>
    <row r="370" spans="1:14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</row>
    <row r="371" spans="1:14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</row>
    <row r="372" spans="1:14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</row>
    <row r="373" spans="1:14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</row>
    <row r="374" spans="1:14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</row>
    <row r="375" spans="1:14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</row>
    <row r="376" spans="1:14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</row>
    <row r="377" spans="1:14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</row>
    <row r="378" spans="1:14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</row>
    <row r="379" spans="1:14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</row>
    <row r="380" spans="1:14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</row>
    <row r="381" spans="1:14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</row>
    <row r="382" spans="1:14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</row>
    <row r="383" spans="1:14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</row>
    <row r="384" spans="1:14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</row>
    <row r="385" spans="1:14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</row>
    <row r="386" spans="1:14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</row>
    <row r="387" spans="1:14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</row>
    <row r="388" spans="1:14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</row>
    <row r="389" spans="1:14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</row>
    <row r="390" spans="1:14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</row>
    <row r="391" spans="1:14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</row>
    <row r="392" spans="1:14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</row>
    <row r="393" spans="1:14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</row>
    <row r="394" spans="1:14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</row>
    <row r="395" spans="1:14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</row>
    <row r="396" spans="1:14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</row>
    <row r="397" spans="1:14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</row>
    <row r="398" spans="1:14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</row>
    <row r="399" spans="1:14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</row>
    <row r="400" spans="1:14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</row>
    <row r="401" spans="1:14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</row>
    <row r="402" spans="1:14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</row>
    <row r="403" spans="1:14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</row>
    <row r="404" spans="1:14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</row>
    <row r="405" spans="1:14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</row>
    <row r="406" spans="1:14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</row>
    <row r="407" spans="1:14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</row>
    <row r="408" spans="1:14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</row>
    <row r="409" spans="1:14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</row>
    <row r="410" spans="1:14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</row>
    <row r="411" spans="1:14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</row>
    <row r="412" spans="1:14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</row>
    <row r="413" spans="1:14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</row>
    <row r="414" spans="1:14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</row>
    <row r="415" spans="1:14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</row>
    <row r="416" spans="1:14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</row>
    <row r="417" spans="1:14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</row>
    <row r="418" spans="1:14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</row>
    <row r="419" spans="1:14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</row>
    <row r="420" spans="1:14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</row>
    <row r="421" spans="1:14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</row>
    <row r="422" spans="1:14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</row>
    <row r="423" spans="1:14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</row>
    <row r="424" spans="1:14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</row>
    <row r="425" spans="1:14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</row>
    <row r="426" spans="1:14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</row>
    <row r="427" spans="1:14">
      <c r="A427" s="107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</row>
    <row r="428" spans="1:14">
      <c r="A428" s="107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</row>
    <row r="429" spans="1:14">
      <c r="A429" s="107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</row>
    <row r="430" spans="1:14">
      <c r="A430" s="107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</row>
    <row r="431" spans="1:14">
      <c r="A431" s="107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</row>
    <row r="432" spans="1:14">
      <c r="A432" s="107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</row>
    <row r="433" spans="1:14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</row>
    <row r="434" spans="1:14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</row>
    <row r="435" spans="1:14">
      <c r="A435" s="107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</row>
    <row r="436" spans="1:14">
      <c r="A436" s="107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</row>
    <row r="437" spans="1:14">
      <c r="A437" s="107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</row>
    <row r="438" spans="1:14">
      <c r="A438" s="107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</row>
    <row r="439" spans="1:14">
      <c r="A439" s="107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</row>
    <row r="440" spans="1:14">
      <c r="A440" s="107"/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</row>
    <row r="441" spans="1:14">
      <c r="A441" s="107"/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</row>
    <row r="442" spans="1:14">
      <c r="A442" s="107"/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</row>
    <row r="443" spans="1:14">
      <c r="A443" s="107"/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</row>
    <row r="444" spans="1:14">
      <c r="A444" s="107"/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</row>
    <row r="445" spans="1:14">
      <c r="A445" s="107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</row>
    <row r="446" spans="1:14">
      <c r="A446" s="107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</row>
    <row r="447" spans="1:14">
      <c r="A447" s="107"/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</row>
    <row r="448" spans="1:14">
      <c r="A448" s="107"/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</row>
    <row r="449" spans="1:14">
      <c r="A449" s="107"/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</row>
    <row r="450" spans="1:14">
      <c r="A450" s="107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</row>
    <row r="451" spans="1:14">
      <c r="A451" s="107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</row>
    <row r="452" spans="1:14">
      <c r="A452" s="107"/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</row>
    <row r="453" spans="1:14">
      <c r="A453" s="107"/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</row>
    <row r="454" spans="1:14">
      <c r="A454" s="107"/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</row>
    <row r="455" spans="1:14">
      <c r="A455" s="107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</row>
    <row r="456" spans="1:14">
      <c r="A456" s="107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</row>
    <row r="457" spans="1:14">
      <c r="A457" s="107"/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</row>
    <row r="458" spans="1:14">
      <c r="A458" s="107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</row>
    <row r="459" spans="1:14">
      <c r="A459" s="107"/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</row>
    <row r="460" spans="1:14">
      <c r="A460" s="107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</row>
    <row r="461" spans="1:14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</row>
    <row r="462" spans="1:14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</row>
    <row r="463" spans="1:14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</row>
    <row r="464" spans="1:14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</row>
    <row r="465" spans="1:14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</row>
    <row r="466" spans="1:14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</row>
    <row r="467" spans="1:14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</row>
    <row r="468" spans="1:14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</row>
    <row r="469" spans="1:14">
      <c r="A469" s="107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</row>
    <row r="470" spans="1:14">
      <c r="A470" s="107"/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</row>
    <row r="471" spans="1:14">
      <c r="A471" s="107"/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</row>
    <row r="472" spans="1:14">
      <c r="A472" s="107"/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</row>
  </sheetData>
  <mergeCells count="29">
    <mergeCell ref="K205:M205"/>
    <mergeCell ref="I251:J251"/>
    <mergeCell ref="I252:J252"/>
    <mergeCell ref="K269:M269"/>
    <mergeCell ref="B253:C253"/>
    <mergeCell ref="I253:J253"/>
    <mergeCell ref="A269:B269"/>
    <mergeCell ref="C269:D269"/>
    <mergeCell ref="E269:F269"/>
    <mergeCell ref="H269:J269"/>
    <mergeCell ref="I254:J254"/>
    <mergeCell ref="I255:J255"/>
    <mergeCell ref="I256:J256"/>
    <mergeCell ref="A1:M1"/>
    <mergeCell ref="A2:M2"/>
    <mergeCell ref="A3:M3"/>
    <mergeCell ref="D250:E250"/>
    <mergeCell ref="I250:J250"/>
    <mergeCell ref="D248:E248"/>
    <mergeCell ref="D249:E249"/>
    <mergeCell ref="I248:J248"/>
    <mergeCell ref="I249:J249"/>
    <mergeCell ref="K4:M4"/>
    <mergeCell ref="K23:M23"/>
    <mergeCell ref="K56:M56"/>
    <mergeCell ref="K71:M71"/>
    <mergeCell ref="K77:M77"/>
    <mergeCell ref="K164:M164"/>
    <mergeCell ref="K188:M188"/>
  </mergeCells>
  <pageMargins left="0.45" right="0.2" top="0.25" bottom="0.25" header="0.3" footer="0.3"/>
  <pageSetup scale="8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288"/>
  <sheetViews>
    <sheetView topLeftCell="A256" workbookViewId="0">
      <selection activeCell="E161" sqref="E161"/>
    </sheetView>
  </sheetViews>
  <sheetFormatPr defaultRowHeight="15"/>
  <cols>
    <col min="1" max="1" width="8.7109375" customWidth="1"/>
    <col min="2" max="2" width="11.5703125" customWidth="1"/>
    <col min="3" max="3" width="13.7109375" customWidth="1"/>
    <col min="4" max="4" width="18.28515625" customWidth="1"/>
    <col min="5" max="5" width="14.140625" customWidth="1"/>
    <col min="6" max="6" width="10.5703125" bestFit="1" customWidth="1"/>
    <col min="7" max="7" width="24.42578125" bestFit="1" customWidth="1"/>
    <col min="8" max="8" width="6.42578125" bestFit="1" customWidth="1"/>
    <col min="9" max="9" width="11.140625" customWidth="1"/>
    <col min="10" max="10" width="10.140625" customWidth="1"/>
    <col min="11" max="11" width="12" customWidth="1"/>
    <col min="12" max="12" width="9.42578125" bestFit="1" customWidth="1"/>
    <col min="13" max="13" width="10.5703125" customWidth="1"/>
    <col min="14" max="14" width="11.140625" customWidth="1"/>
  </cols>
  <sheetData>
    <row r="1" spans="1:14" ht="23.25">
      <c r="A1" s="846" t="s">
        <v>146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383"/>
    </row>
    <row r="2" spans="1:14" ht="14.1" customHeight="1">
      <c r="A2" s="827" t="s">
        <v>147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384"/>
    </row>
    <row r="3" spans="1:14" s="9" customFormat="1" ht="14.1" customHeight="1">
      <c r="A3" s="828" t="s">
        <v>148</v>
      </c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  <c r="M3" s="828"/>
      <c r="N3" s="385"/>
    </row>
    <row r="4" spans="1:14" ht="14.1" customHeight="1">
      <c r="A4" s="70" t="s">
        <v>21</v>
      </c>
      <c r="B4" s="70"/>
      <c r="C4" s="70"/>
      <c r="D4" s="70"/>
      <c r="E4" s="70"/>
      <c r="F4" s="71"/>
      <c r="G4" s="71"/>
      <c r="H4" s="71"/>
      <c r="I4" s="71"/>
      <c r="J4" s="71"/>
      <c r="K4" s="824" t="s">
        <v>1010</v>
      </c>
      <c r="L4" s="824"/>
      <c r="M4" s="824"/>
      <c r="N4" s="71"/>
    </row>
    <row r="5" spans="1:14" ht="14.1" customHeight="1">
      <c r="A5" s="234" t="s">
        <v>0</v>
      </c>
      <c r="B5" s="234" t="s">
        <v>7</v>
      </c>
      <c r="C5" s="234" t="s">
        <v>13</v>
      </c>
      <c r="D5" s="234" t="s">
        <v>14</v>
      </c>
      <c r="E5" s="234" t="s">
        <v>8</v>
      </c>
      <c r="F5" s="234" t="s">
        <v>1</v>
      </c>
      <c r="G5" s="234" t="s">
        <v>2</v>
      </c>
      <c r="H5" s="234" t="s">
        <v>15</v>
      </c>
      <c r="I5" s="234" t="s">
        <v>3</v>
      </c>
      <c r="J5" s="234" t="s">
        <v>4</v>
      </c>
      <c r="K5" s="234" t="s">
        <v>5</v>
      </c>
      <c r="L5" s="234" t="s">
        <v>12</v>
      </c>
      <c r="M5" s="234" t="s">
        <v>6</v>
      </c>
      <c r="N5" s="71"/>
    </row>
    <row r="6" spans="1:14" ht="14.1" customHeight="1">
      <c r="A6" s="85">
        <v>1</v>
      </c>
      <c r="B6" s="505" t="s">
        <v>1027</v>
      </c>
      <c r="C6" s="89" t="s">
        <v>1026</v>
      </c>
      <c r="D6" s="89" t="s">
        <v>364</v>
      </c>
      <c r="E6" s="120"/>
      <c r="F6" s="90">
        <f>9269*1.0936</f>
        <v>10136.578399999999</v>
      </c>
      <c r="G6" s="517" t="s">
        <v>1070</v>
      </c>
      <c r="H6" s="79"/>
      <c r="I6" s="80">
        <v>10.5</v>
      </c>
      <c r="J6" s="81">
        <v>227</v>
      </c>
      <c r="K6" s="81">
        <f t="shared" ref="K6:K7" si="0">I6*J6</f>
        <v>2383.5</v>
      </c>
      <c r="L6" s="102"/>
      <c r="M6" s="156">
        <f>I6+I10+I34</f>
        <v>75.5</v>
      </c>
      <c r="N6" s="120" t="s">
        <v>173</v>
      </c>
    </row>
    <row r="7" spans="1:14" ht="14.1" customHeight="1">
      <c r="A7" s="85"/>
      <c r="B7" s="120"/>
      <c r="C7" s="120"/>
      <c r="D7" s="120"/>
      <c r="E7" s="85"/>
      <c r="F7" s="90"/>
      <c r="G7" s="517" t="s">
        <v>1067</v>
      </c>
      <c r="H7" s="79"/>
      <c r="I7" s="80">
        <v>6.5</v>
      </c>
      <c r="J7" s="81">
        <v>416</v>
      </c>
      <c r="K7" s="81">
        <f t="shared" si="0"/>
        <v>2704</v>
      </c>
      <c r="L7" s="102"/>
      <c r="M7" s="156">
        <f>I7+I11+I35+I57</f>
        <v>77.5</v>
      </c>
      <c r="N7" s="120" t="s">
        <v>174</v>
      </c>
    </row>
    <row r="8" spans="1:14" ht="14.1" customHeight="1">
      <c r="A8" s="85"/>
      <c r="B8" s="120"/>
      <c r="C8" s="120"/>
      <c r="D8" s="120"/>
      <c r="E8" s="85"/>
      <c r="F8" s="90"/>
      <c r="G8" s="517" t="s">
        <v>1065</v>
      </c>
      <c r="H8" s="79"/>
      <c r="I8" s="80">
        <v>5</v>
      </c>
      <c r="J8" s="81">
        <v>165</v>
      </c>
      <c r="K8" s="81">
        <f>I8*J8</f>
        <v>825</v>
      </c>
      <c r="L8" s="102"/>
      <c r="M8" s="156">
        <f>I8+I12+I36+I58</f>
        <v>35</v>
      </c>
      <c r="N8" s="120" t="s">
        <v>172</v>
      </c>
    </row>
    <row r="9" spans="1:14" ht="14.1" customHeight="1">
      <c r="A9" s="85"/>
      <c r="B9" s="85"/>
      <c r="C9" s="85"/>
      <c r="D9" s="85"/>
      <c r="E9" s="234" t="s">
        <v>9</v>
      </c>
      <c r="F9" s="110">
        <f>SUM(F6:F8)</f>
        <v>10136.578399999999</v>
      </c>
      <c r="G9" s="234"/>
      <c r="H9" s="234"/>
      <c r="I9" s="125"/>
      <c r="J9" s="97"/>
      <c r="K9" s="111">
        <f>SUM(K6:K8)</f>
        <v>5912.5</v>
      </c>
      <c r="L9" s="111">
        <f>K9/F9</f>
        <v>0.58328360583685723</v>
      </c>
      <c r="M9" s="156">
        <f>I55+I82+I85+I88</f>
        <v>336</v>
      </c>
      <c r="N9" s="120" t="s">
        <v>24</v>
      </c>
    </row>
    <row r="10" spans="1:14" ht="14.1" customHeight="1">
      <c r="A10" s="85">
        <v>2</v>
      </c>
      <c r="B10" s="505" t="s">
        <v>996</v>
      </c>
      <c r="C10" s="89" t="s">
        <v>766</v>
      </c>
      <c r="D10" s="89" t="s">
        <v>465</v>
      </c>
      <c r="E10" s="85"/>
      <c r="F10" s="90">
        <f>2368*1.0936</f>
        <v>2589.6447999999996</v>
      </c>
      <c r="G10" s="517" t="s">
        <v>1070</v>
      </c>
      <c r="H10" s="79"/>
      <c r="I10" s="80">
        <v>5</v>
      </c>
      <c r="J10" s="81">
        <v>227</v>
      </c>
      <c r="K10" s="81">
        <f t="shared" ref="K10:K11" si="1">I10*J10</f>
        <v>1135</v>
      </c>
      <c r="L10" s="102"/>
      <c r="M10" s="156">
        <f>I56</f>
        <v>72</v>
      </c>
      <c r="N10" s="120" t="s">
        <v>175</v>
      </c>
    </row>
    <row r="11" spans="1:14" ht="14.1" customHeight="1">
      <c r="A11" s="85"/>
      <c r="B11" s="120"/>
      <c r="C11" s="120"/>
      <c r="D11" s="120"/>
      <c r="E11" s="85"/>
      <c r="F11" s="87"/>
      <c r="G11" s="517" t="s">
        <v>1067</v>
      </c>
      <c r="H11" s="79"/>
      <c r="I11" s="80">
        <v>3</v>
      </c>
      <c r="J11" s="81">
        <v>416</v>
      </c>
      <c r="K11" s="81">
        <f t="shared" si="1"/>
        <v>1248</v>
      </c>
      <c r="L11" s="102"/>
      <c r="M11" s="156">
        <f>I59</f>
        <v>27</v>
      </c>
      <c r="N11" s="83" t="s">
        <v>176</v>
      </c>
    </row>
    <row r="12" spans="1:14" ht="14.1" customHeight="1">
      <c r="A12" s="85"/>
      <c r="B12" s="120"/>
      <c r="C12" s="120"/>
      <c r="D12" s="120"/>
      <c r="E12" s="85"/>
      <c r="F12" s="87"/>
      <c r="G12" s="517" t="s">
        <v>1065</v>
      </c>
      <c r="H12" s="79"/>
      <c r="I12" s="80">
        <v>4</v>
      </c>
      <c r="J12" s="81">
        <v>165</v>
      </c>
      <c r="K12" s="81">
        <f>I12*J12</f>
        <v>660</v>
      </c>
      <c r="L12" s="102"/>
      <c r="M12" s="156">
        <f>I83+I86+I89</f>
        <v>42</v>
      </c>
      <c r="N12" s="84" t="s">
        <v>10</v>
      </c>
    </row>
    <row r="13" spans="1:14" ht="14.1" customHeight="1">
      <c r="A13" s="85"/>
      <c r="B13" s="85"/>
      <c r="C13" s="85"/>
      <c r="D13" s="85"/>
      <c r="E13" s="234" t="s">
        <v>9</v>
      </c>
      <c r="F13" s="110">
        <f>SUM(F10:F12)</f>
        <v>2589.6447999999996</v>
      </c>
      <c r="G13" s="234"/>
      <c r="H13" s="234"/>
      <c r="I13" s="125"/>
      <c r="J13" s="97"/>
      <c r="K13" s="111">
        <f>SUM(K10:K12)</f>
        <v>3043</v>
      </c>
      <c r="L13" s="111">
        <f>K13/F13</f>
        <v>1.1750646266236977</v>
      </c>
      <c r="M13" s="102"/>
      <c r="N13" s="71"/>
    </row>
    <row r="14" spans="1:14" ht="14.1" customHeight="1">
      <c r="A14" s="507">
        <v>3</v>
      </c>
      <c r="B14" s="505" t="s">
        <v>1027</v>
      </c>
      <c r="C14" s="89" t="s">
        <v>1026</v>
      </c>
      <c r="D14" s="89" t="s">
        <v>364</v>
      </c>
      <c r="E14" s="505"/>
      <c r="F14" s="90">
        <f>5448*1.0936</f>
        <v>5957.9327999999996</v>
      </c>
      <c r="G14" s="517" t="s">
        <v>1070</v>
      </c>
      <c r="H14" s="79"/>
      <c r="I14" s="80">
        <v>5</v>
      </c>
      <c r="J14" s="81">
        <v>227</v>
      </c>
      <c r="K14" s="81">
        <f t="shared" ref="K14:K15" si="2">I14*J14</f>
        <v>1135</v>
      </c>
      <c r="L14" s="102"/>
      <c r="M14" s="102"/>
      <c r="N14" s="71"/>
    </row>
    <row r="15" spans="1:14" ht="14.1" customHeight="1">
      <c r="A15" s="507"/>
      <c r="B15" s="505"/>
      <c r="C15" s="505" t="s">
        <v>1032</v>
      </c>
      <c r="D15" s="505"/>
      <c r="E15" s="507"/>
      <c r="F15" s="90">
        <f>750*1.0936</f>
        <v>820.19999999999993</v>
      </c>
      <c r="G15" s="517" t="s">
        <v>1067</v>
      </c>
      <c r="H15" s="79"/>
      <c r="I15" s="80">
        <v>3</v>
      </c>
      <c r="J15" s="81">
        <v>416</v>
      </c>
      <c r="K15" s="81">
        <f t="shared" si="2"/>
        <v>1248</v>
      </c>
      <c r="L15" s="102"/>
      <c r="M15" s="102"/>
      <c r="N15" s="71"/>
    </row>
    <row r="16" spans="1:14" ht="14.1" customHeight="1">
      <c r="A16" s="507"/>
      <c r="B16" s="505"/>
      <c r="C16" s="505"/>
      <c r="D16" s="505"/>
      <c r="E16" s="507"/>
      <c r="F16" s="90"/>
      <c r="G16" s="517" t="s">
        <v>1065</v>
      </c>
      <c r="H16" s="79"/>
      <c r="I16" s="80">
        <v>4</v>
      </c>
      <c r="J16" s="81">
        <v>165</v>
      </c>
      <c r="K16" s="81">
        <f>I16*J16</f>
        <v>660</v>
      </c>
      <c r="L16" s="102"/>
      <c r="M16" s="102"/>
      <c r="N16" s="71"/>
    </row>
    <row r="17" spans="1:14" ht="14.1" customHeight="1">
      <c r="A17" s="507"/>
      <c r="B17" s="507"/>
      <c r="C17" s="507"/>
      <c r="D17" s="507"/>
      <c r="E17" s="504" t="s">
        <v>9</v>
      </c>
      <c r="F17" s="110">
        <f>SUM(F14:F16)</f>
        <v>6778.1327999999994</v>
      </c>
      <c r="G17" s="504"/>
      <c r="H17" s="504"/>
      <c r="I17" s="125"/>
      <c r="J17" s="97"/>
      <c r="K17" s="111">
        <f>SUM(K14:K16)</f>
        <v>3043</v>
      </c>
      <c r="L17" s="111">
        <f>K17/F17</f>
        <v>0.44894369729669509</v>
      </c>
      <c r="M17" s="102"/>
      <c r="N17" s="71"/>
    </row>
    <row r="18" spans="1:14" ht="14.1" customHeight="1">
      <c r="A18" s="507">
        <v>4</v>
      </c>
      <c r="B18" s="505" t="s">
        <v>1037</v>
      </c>
      <c r="C18" s="89" t="s">
        <v>1033</v>
      </c>
      <c r="D18" s="89" t="s">
        <v>1034</v>
      </c>
      <c r="E18" s="505"/>
      <c r="F18" s="90">
        <f>7202*1.0936</f>
        <v>7876.1071999999995</v>
      </c>
      <c r="G18" s="517" t="s">
        <v>1070</v>
      </c>
      <c r="H18" s="79"/>
      <c r="I18" s="80">
        <v>10</v>
      </c>
      <c r="J18" s="81">
        <v>227</v>
      </c>
      <c r="K18" s="81">
        <f t="shared" ref="K18:K19" si="3">I18*J18</f>
        <v>2270</v>
      </c>
      <c r="L18" s="102"/>
      <c r="M18" s="102"/>
      <c r="N18" s="71"/>
    </row>
    <row r="19" spans="1:14" ht="14.1" customHeight="1">
      <c r="A19" s="507"/>
      <c r="B19" s="507"/>
      <c r="C19" s="507"/>
      <c r="D19" s="507"/>
      <c r="E19" s="504"/>
      <c r="F19" s="110"/>
      <c r="G19" s="517" t="s">
        <v>1067</v>
      </c>
      <c r="H19" s="79"/>
      <c r="I19" s="80">
        <v>6</v>
      </c>
      <c r="J19" s="81">
        <v>416</v>
      </c>
      <c r="K19" s="81">
        <f t="shared" si="3"/>
        <v>2496</v>
      </c>
      <c r="L19" s="102"/>
      <c r="M19" s="102"/>
      <c r="N19" s="71"/>
    </row>
    <row r="20" spans="1:14" ht="14.1" customHeight="1">
      <c r="A20" s="507"/>
      <c r="B20" s="507"/>
      <c r="C20" s="507"/>
      <c r="D20" s="507"/>
      <c r="E20" s="504"/>
      <c r="F20" s="110"/>
      <c r="G20" s="517" t="s">
        <v>1065</v>
      </c>
      <c r="H20" s="79"/>
      <c r="I20" s="80">
        <v>8</v>
      </c>
      <c r="J20" s="81">
        <v>165</v>
      </c>
      <c r="K20" s="81">
        <f>I20*J20</f>
        <v>1320</v>
      </c>
      <c r="L20" s="102"/>
      <c r="M20" s="102"/>
      <c r="N20" s="71"/>
    </row>
    <row r="21" spans="1:14" ht="14.1" customHeight="1">
      <c r="A21" s="507"/>
      <c r="B21" s="507"/>
      <c r="C21" s="507"/>
      <c r="D21" s="507"/>
      <c r="E21" s="504" t="s">
        <v>9</v>
      </c>
      <c r="F21" s="110">
        <f>SUM(F18:F20)</f>
        <v>7876.1071999999995</v>
      </c>
      <c r="G21" s="504"/>
      <c r="H21" s="504"/>
      <c r="I21" s="125"/>
      <c r="J21" s="97"/>
      <c r="K21" s="111">
        <f>SUM(K18:K20)</f>
        <v>6086</v>
      </c>
      <c r="L21" s="111">
        <f>K21/F21</f>
        <v>0.77271675530267037</v>
      </c>
      <c r="M21" s="102"/>
      <c r="N21" s="71"/>
    </row>
    <row r="22" spans="1:14" ht="14.1" customHeight="1">
      <c r="A22" s="507">
        <v>5</v>
      </c>
      <c r="B22" s="505" t="s">
        <v>996</v>
      </c>
      <c r="C22" s="89" t="s">
        <v>766</v>
      </c>
      <c r="D22" s="89" t="s">
        <v>465</v>
      </c>
      <c r="E22" s="507"/>
      <c r="F22" s="90">
        <f>12484*1.0936</f>
        <v>13652.502399999999</v>
      </c>
      <c r="G22" s="517" t="s">
        <v>1070</v>
      </c>
      <c r="H22" s="79"/>
      <c r="I22" s="80">
        <v>10</v>
      </c>
      <c r="J22" s="81">
        <v>227</v>
      </c>
      <c r="K22" s="81">
        <f t="shared" ref="K22:K23" si="4">I22*J22</f>
        <v>2270</v>
      </c>
      <c r="L22" s="111"/>
      <c r="M22" s="102"/>
      <c r="N22" s="71"/>
    </row>
    <row r="23" spans="1:14" ht="14.1" customHeight="1">
      <c r="A23" s="507"/>
      <c r="B23" s="507"/>
      <c r="C23" s="507"/>
      <c r="D23" s="507"/>
      <c r="E23" s="504"/>
      <c r="F23" s="110"/>
      <c r="G23" s="517" t="s">
        <v>1067</v>
      </c>
      <c r="H23" s="79"/>
      <c r="I23" s="80">
        <v>6</v>
      </c>
      <c r="J23" s="81">
        <v>416</v>
      </c>
      <c r="K23" s="81">
        <f t="shared" si="4"/>
        <v>2496</v>
      </c>
      <c r="L23" s="111"/>
      <c r="M23" s="102"/>
      <c r="N23" s="71"/>
    </row>
    <row r="24" spans="1:14" ht="14.1" customHeight="1">
      <c r="A24" s="507"/>
      <c r="B24" s="507"/>
      <c r="C24" s="507"/>
      <c r="D24" s="507"/>
      <c r="E24" s="504"/>
      <c r="F24" s="110"/>
      <c r="G24" s="517" t="s">
        <v>1065</v>
      </c>
      <c r="H24" s="79"/>
      <c r="I24" s="80">
        <v>8</v>
      </c>
      <c r="J24" s="81">
        <v>165</v>
      </c>
      <c r="K24" s="81">
        <f>I24*J24</f>
        <v>1320</v>
      </c>
      <c r="L24" s="111"/>
      <c r="M24" s="102"/>
      <c r="N24" s="71"/>
    </row>
    <row r="25" spans="1:14" ht="14.1" customHeight="1">
      <c r="A25" s="507"/>
      <c r="B25" s="507"/>
      <c r="C25" s="507"/>
      <c r="D25" s="507"/>
      <c r="E25" s="504" t="s">
        <v>9</v>
      </c>
      <c r="F25" s="110">
        <f>SUM(F22:F24)</f>
        <v>13652.502399999999</v>
      </c>
      <c r="G25" s="504"/>
      <c r="H25" s="504"/>
      <c r="I25" s="125"/>
      <c r="J25" s="97"/>
      <c r="K25" s="111">
        <f>SUM(K22:K24)</f>
        <v>6086</v>
      </c>
      <c r="L25" s="111">
        <f>K25/F25</f>
        <v>0.44577908296137714</v>
      </c>
      <c r="M25" s="102"/>
      <c r="N25" s="71"/>
    </row>
    <row r="26" spans="1:14" ht="14.1" customHeight="1">
      <c r="A26" s="507">
        <v>6</v>
      </c>
      <c r="B26" s="505" t="s">
        <v>1035</v>
      </c>
      <c r="C26" s="89" t="s">
        <v>766</v>
      </c>
      <c r="D26" s="89" t="s">
        <v>943</v>
      </c>
      <c r="E26" s="507"/>
      <c r="F26" s="90">
        <f>3490*1.0936</f>
        <v>3816.6639999999998</v>
      </c>
      <c r="G26" s="517" t="s">
        <v>1070</v>
      </c>
      <c r="H26" s="79"/>
      <c r="I26" s="80">
        <v>5</v>
      </c>
      <c r="J26" s="81">
        <v>227</v>
      </c>
      <c r="K26" s="81">
        <f t="shared" ref="K26:K27" si="5">I26*J26</f>
        <v>1135</v>
      </c>
      <c r="L26" s="111"/>
      <c r="M26" s="102"/>
      <c r="N26" s="71"/>
    </row>
    <row r="27" spans="1:14" ht="14.1" customHeight="1">
      <c r="A27" s="507"/>
      <c r="B27" s="507"/>
      <c r="C27" s="507"/>
      <c r="D27" s="507"/>
      <c r="E27" s="504"/>
      <c r="F27" s="110"/>
      <c r="G27" s="517" t="s">
        <v>1067</v>
      </c>
      <c r="H27" s="79"/>
      <c r="I27" s="80">
        <v>3</v>
      </c>
      <c r="J27" s="81">
        <v>416</v>
      </c>
      <c r="K27" s="81">
        <f t="shared" si="5"/>
        <v>1248</v>
      </c>
      <c r="L27" s="111"/>
      <c r="M27" s="102"/>
      <c r="N27" s="71"/>
    </row>
    <row r="28" spans="1:14" ht="14.1" customHeight="1">
      <c r="A28" s="507"/>
      <c r="B28" s="507"/>
      <c r="C28" s="507"/>
      <c r="D28" s="507"/>
      <c r="E28" s="504"/>
      <c r="F28" s="110"/>
      <c r="G28" s="517" t="s">
        <v>1065</v>
      </c>
      <c r="H28" s="79"/>
      <c r="I28" s="80">
        <v>4</v>
      </c>
      <c r="J28" s="81">
        <v>165</v>
      </c>
      <c r="K28" s="81">
        <f>I28*J28</f>
        <v>660</v>
      </c>
      <c r="L28" s="111"/>
      <c r="M28" s="102"/>
      <c r="N28" s="71"/>
    </row>
    <row r="29" spans="1:14" ht="14.1" customHeight="1">
      <c r="A29" s="507"/>
      <c r="B29" s="507"/>
      <c r="C29" s="507"/>
      <c r="D29" s="507"/>
      <c r="E29" s="504" t="s">
        <v>9</v>
      </c>
      <c r="F29" s="110">
        <f>SUM(F26:F28)</f>
        <v>3816.6639999999998</v>
      </c>
      <c r="G29" s="504"/>
      <c r="H29" s="504"/>
      <c r="I29" s="125"/>
      <c r="J29" s="97"/>
      <c r="K29" s="111">
        <f>SUM(K26:K28)</f>
        <v>3043</v>
      </c>
      <c r="L29" s="111">
        <f>K29/F29</f>
        <v>0.79729313347991859</v>
      </c>
      <c r="M29" s="102"/>
      <c r="N29" s="71"/>
    </row>
    <row r="30" spans="1:14" ht="14.1" customHeight="1">
      <c r="A30" s="507">
        <v>7</v>
      </c>
      <c r="B30" s="505" t="s">
        <v>1036</v>
      </c>
      <c r="C30" s="89" t="s">
        <v>1026</v>
      </c>
      <c r="D30" s="89" t="s">
        <v>364</v>
      </c>
      <c r="E30" s="505"/>
      <c r="F30" s="90">
        <f>5358*1.0936</f>
        <v>5859.5087999999996</v>
      </c>
      <c r="G30" s="517" t="s">
        <v>1070</v>
      </c>
      <c r="H30" s="79"/>
      <c r="I30" s="80">
        <v>7.5</v>
      </c>
      <c r="J30" s="81">
        <v>227</v>
      </c>
      <c r="K30" s="81">
        <f t="shared" ref="K30:K31" si="6">I30*J30</f>
        <v>1702.5</v>
      </c>
      <c r="L30" s="102"/>
      <c r="M30" s="102"/>
      <c r="N30" s="71"/>
    </row>
    <row r="31" spans="1:14" ht="14.1" customHeight="1">
      <c r="A31" s="507"/>
      <c r="B31" s="505"/>
      <c r="C31" s="505"/>
      <c r="D31" s="505"/>
      <c r="E31" s="507"/>
      <c r="F31" s="90"/>
      <c r="G31" s="517" t="s">
        <v>1067</v>
      </c>
      <c r="H31" s="79"/>
      <c r="I31" s="80">
        <v>4.5</v>
      </c>
      <c r="J31" s="81">
        <v>416</v>
      </c>
      <c r="K31" s="81">
        <f t="shared" si="6"/>
        <v>1872</v>
      </c>
      <c r="L31" s="102"/>
      <c r="M31" s="102"/>
      <c r="N31" s="71"/>
    </row>
    <row r="32" spans="1:14" ht="14.1" customHeight="1">
      <c r="A32" s="507"/>
      <c r="B32" s="505"/>
      <c r="C32" s="505"/>
      <c r="D32" s="505"/>
      <c r="E32" s="507"/>
      <c r="F32" s="90"/>
      <c r="G32" s="517" t="s">
        <v>1065</v>
      </c>
      <c r="H32" s="79"/>
      <c r="I32" s="80">
        <v>6</v>
      </c>
      <c r="J32" s="81">
        <v>165</v>
      </c>
      <c r="K32" s="81">
        <f>I32*J32</f>
        <v>990</v>
      </c>
      <c r="L32" s="102"/>
      <c r="M32" s="102"/>
      <c r="N32" s="71"/>
    </row>
    <row r="33" spans="1:14" ht="14.1" customHeight="1">
      <c r="A33" s="507"/>
      <c r="B33" s="507"/>
      <c r="C33" s="507"/>
      <c r="D33" s="507"/>
      <c r="E33" s="504" t="s">
        <v>9</v>
      </c>
      <c r="F33" s="110">
        <f>SUM(F30:F32)</f>
        <v>5859.5087999999996</v>
      </c>
      <c r="G33" s="504"/>
      <c r="H33" s="504"/>
      <c r="I33" s="125"/>
      <c r="J33" s="97"/>
      <c r="K33" s="111">
        <f>SUM(K30:K32)</f>
        <v>4564.5</v>
      </c>
      <c r="L33" s="111">
        <f>K33/F33</f>
        <v>0.77899021160272008</v>
      </c>
      <c r="M33" s="102"/>
      <c r="N33" s="71"/>
    </row>
    <row r="34" spans="1:14" ht="14.1" customHeight="1">
      <c r="A34" s="85">
        <v>8</v>
      </c>
      <c r="B34" s="505" t="s">
        <v>1028</v>
      </c>
      <c r="C34" s="505" t="s">
        <v>302</v>
      </c>
      <c r="D34" s="505" t="s">
        <v>307</v>
      </c>
      <c r="E34" s="120"/>
      <c r="F34" s="90">
        <f>3640*1.0936</f>
        <v>3980.7039999999997</v>
      </c>
      <c r="G34" s="517" t="s">
        <v>24</v>
      </c>
      <c r="H34" s="79"/>
      <c r="I34" s="80">
        <v>60</v>
      </c>
      <c r="J34" s="81">
        <v>74</v>
      </c>
      <c r="K34" s="81">
        <f t="shared" ref="K34:K36" si="7">I34*J34</f>
        <v>4440</v>
      </c>
      <c r="L34" s="102"/>
      <c r="M34" s="102"/>
      <c r="N34" s="71"/>
    </row>
    <row r="35" spans="1:14" ht="14.1" customHeight="1">
      <c r="A35" s="85"/>
      <c r="B35" s="120"/>
      <c r="C35" s="120"/>
      <c r="D35" s="120"/>
      <c r="E35" s="120"/>
      <c r="F35" s="98"/>
      <c r="G35" s="88" t="s">
        <v>18</v>
      </c>
      <c r="H35" s="79"/>
      <c r="I35" s="80">
        <v>30</v>
      </c>
      <c r="J35" s="81">
        <v>46</v>
      </c>
      <c r="K35" s="81">
        <f t="shared" si="7"/>
        <v>1380</v>
      </c>
      <c r="L35" s="102"/>
      <c r="M35" s="102"/>
      <c r="N35" s="71"/>
    </row>
    <row r="36" spans="1:14" ht="14.1" customHeight="1">
      <c r="A36" s="85"/>
      <c r="B36" s="85"/>
      <c r="C36" s="85"/>
      <c r="D36" s="85"/>
      <c r="E36" s="85"/>
      <c r="F36" s="98"/>
      <c r="G36" s="517" t="s">
        <v>1067</v>
      </c>
      <c r="H36" s="79"/>
      <c r="I36" s="80">
        <v>6</v>
      </c>
      <c r="J36" s="81">
        <v>416</v>
      </c>
      <c r="K36" s="81">
        <f t="shared" si="7"/>
        <v>2496</v>
      </c>
      <c r="L36" s="102"/>
      <c r="M36" s="102"/>
      <c r="N36" s="71"/>
    </row>
    <row r="37" spans="1:14" ht="14.1" customHeight="1">
      <c r="A37" s="507"/>
      <c r="B37" s="507"/>
      <c r="C37" s="507"/>
      <c r="D37" s="507"/>
      <c r="E37" s="507"/>
      <c r="F37" s="98"/>
      <c r="G37" s="517" t="s">
        <v>1065</v>
      </c>
      <c r="H37" s="79"/>
      <c r="I37" s="80">
        <v>4</v>
      </c>
      <c r="J37" s="81">
        <v>165</v>
      </c>
      <c r="K37" s="81">
        <f>I37*J37</f>
        <v>660</v>
      </c>
      <c r="L37" s="102"/>
      <c r="M37" s="102"/>
      <c r="N37" s="71"/>
    </row>
    <row r="38" spans="1:14" ht="14.1" customHeight="1">
      <c r="A38" s="507"/>
      <c r="B38" s="507"/>
      <c r="C38" s="507"/>
      <c r="D38" s="507"/>
      <c r="E38" s="507"/>
      <c r="F38" s="98"/>
      <c r="G38" s="518" t="s">
        <v>1066</v>
      </c>
      <c r="H38" s="79"/>
      <c r="I38" s="80">
        <v>5</v>
      </c>
      <c r="J38" s="81">
        <v>165</v>
      </c>
      <c r="K38" s="81">
        <f t="shared" ref="K38" si="8">I38*J38</f>
        <v>825</v>
      </c>
      <c r="L38" s="102"/>
      <c r="M38" s="102"/>
      <c r="N38" s="71"/>
    </row>
    <row r="39" spans="1:14" ht="14.1" customHeight="1">
      <c r="A39" s="507"/>
      <c r="B39" s="507"/>
      <c r="C39" s="507"/>
      <c r="D39" s="507"/>
      <c r="E39" s="504" t="s">
        <v>9</v>
      </c>
      <c r="F39" s="110">
        <f>SUM(F34:F38)</f>
        <v>3980.7039999999997</v>
      </c>
      <c r="G39" s="504"/>
      <c r="H39" s="504"/>
      <c r="I39" s="125"/>
      <c r="J39" s="97"/>
      <c r="K39" s="111">
        <f>SUM(K34:K38)</f>
        <v>9801</v>
      </c>
      <c r="L39" s="111">
        <f>K39/F39</f>
        <v>2.4621273021053565</v>
      </c>
      <c r="M39" s="102"/>
      <c r="N39" s="71"/>
    </row>
    <row r="40" spans="1:14" ht="14.1" customHeight="1">
      <c r="A40" s="507">
        <v>9</v>
      </c>
      <c r="B40" s="505" t="s">
        <v>1029</v>
      </c>
      <c r="C40" s="505" t="s">
        <v>233</v>
      </c>
      <c r="D40" s="505" t="s">
        <v>813</v>
      </c>
      <c r="E40" s="505"/>
      <c r="F40" s="90">
        <f>5220*1.0936</f>
        <v>5708.5919999999996</v>
      </c>
      <c r="G40" s="517" t="s">
        <v>24</v>
      </c>
      <c r="H40" s="79"/>
      <c r="I40" s="80">
        <v>120</v>
      </c>
      <c r="J40" s="81">
        <v>74</v>
      </c>
      <c r="K40" s="81">
        <f t="shared" ref="K40:K42" si="9">I40*J40</f>
        <v>8880</v>
      </c>
      <c r="L40" s="102"/>
      <c r="M40" s="102"/>
      <c r="N40" s="71"/>
    </row>
    <row r="41" spans="1:14" ht="14.1" customHeight="1">
      <c r="A41" s="507"/>
      <c r="B41" s="507"/>
      <c r="C41" s="507"/>
      <c r="D41" s="507"/>
      <c r="E41" s="507"/>
      <c r="F41" s="98"/>
      <c r="G41" s="88" t="s">
        <v>18</v>
      </c>
      <c r="H41" s="79"/>
      <c r="I41" s="80">
        <v>60</v>
      </c>
      <c r="J41" s="81">
        <v>46</v>
      </c>
      <c r="K41" s="81">
        <f t="shared" si="9"/>
        <v>2760</v>
      </c>
      <c r="L41" s="102"/>
      <c r="M41" s="102"/>
      <c r="N41" s="71"/>
    </row>
    <row r="42" spans="1:14" ht="14.1" customHeight="1">
      <c r="A42" s="507"/>
      <c r="B42" s="507"/>
      <c r="C42" s="507"/>
      <c r="D42" s="507"/>
      <c r="E42" s="507"/>
      <c r="F42" s="98"/>
      <c r="G42" s="517" t="s">
        <v>1067</v>
      </c>
      <c r="H42" s="79"/>
      <c r="I42" s="80">
        <v>12</v>
      </c>
      <c r="J42" s="81">
        <v>416</v>
      </c>
      <c r="K42" s="81">
        <f t="shared" si="9"/>
        <v>4992</v>
      </c>
      <c r="L42" s="102"/>
      <c r="M42" s="102"/>
      <c r="N42" s="71"/>
    </row>
    <row r="43" spans="1:14" ht="14.1" customHeight="1">
      <c r="A43" s="507"/>
      <c r="B43" s="507"/>
      <c r="C43" s="507"/>
      <c r="D43" s="507"/>
      <c r="E43" s="507"/>
      <c r="F43" s="98"/>
      <c r="G43" s="517" t="s">
        <v>1065</v>
      </c>
      <c r="H43" s="79"/>
      <c r="I43" s="80">
        <v>8</v>
      </c>
      <c r="J43" s="81">
        <v>165</v>
      </c>
      <c r="K43" s="81">
        <f>I43*J43</f>
        <v>1320</v>
      </c>
      <c r="L43" s="102"/>
      <c r="M43" s="102"/>
      <c r="N43" s="71"/>
    </row>
    <row r="44" spans="1:14" ht="14.1" customHeight="1">
      <c r="A44" s="507"/>
      <c r="B44" s="507"/>
      <c r="C44" s="507"/>
      <c r="D44" s="507"/>
      <c r="E44" s="507"/>
      <c r="F44" s="98"/>
      <c r="G44" s="518" t="s">
        <v>1066</v>
      </c>
      <c r="H44" s="79"/>
      <c r="I44" s="80">
        <v>10</v>
      </c>
      <c r="J44" s="81">
        <v>165</v>
      </c>
      <c r="K44" s="81">
        <f t="shared" ref="K44" si="10">I44*J44</f>
        <v>1650</v>
      </c>
      <c r="L44" s="102"/>
      <c r="M44" s="102"/>
      <c r="N44" s="71"/>
    </row>
    <row r="45" spans="1:14" ht="14.1" customHeight="1">
      <c r="A45" s="507"/>
      <c r="B45" s="507"/>
      <c r="C45" s="507"/>
      <c r="D45" s="507"/>
      <c r="E45" s="504" t="s">
        <v>9</v>
      </c>
      <c r="F45" s="110">
        <f>SUM(F40:F44)</f>
        <v>5708.5919999999996</v>
      </c>
      <c r="G45" s="504"/>
      <c r="H45" s="504"/>
      <c r="I45" s="125"/>
      <c r="J45" s="97"/>
      <c r="K45" s="111">
        <f>SUM(K40:K44)</f>
        <v>19602</v>
      </c>
      <c r="L45" s="111">
        <f>K45/F45</f>
        <v>3.4337714098327576</v>
      </c>
      <c r="M45" s="102"/>
      <c r="N45" s="71"/>
    </row>
    <row r="46" spans="1:14" ht="14.1" customHeight="1">
      <c r="A46" s="507">
        <v>10</v>
      </c>
      <c r="B46" s="505" t="s">
        <v>1030</v>
      </c>
      <c r="C46" s="505" t="s">
        <v>530</v>
      </c>
      <c r="D46" s="505" t="s">
        <v>1031</v>
      </c>
      <c r="E46" s="505"/>
      <c r="F46" s="90">
        <f>2927*1.0936</f>
        <v>3200.9671999999996</v>
      </c>
      <c r="G46" s="517" t="s">
        <v>24</v>
      </c>
      <c r="H46" s="79"/>
      <c r="I46" s="80">
        <v>60</v>
      </c>
      <c r="J46" s="81">
        <v>74</v>
      </c>
      <c r="K46" s="81">
        <f t="shared" ref="K46:K48" si="11">I46*J46</f>
        <v>4440</v>
      </c>
      <c r="L46" s="102"/>
      <c r="M46" s="102"/>
      <c r="N46" s="71"/>
    </row>
    <row r="47" spans="1:14" ht="14.1" customHeight="1">
      <c r="A47" s="507"/>
      <c r="B47" s="507" t="s">
        <v>269</v>
      </c>
      <c r="C47" s="507"/>
      <c r="D47" s="507"/>
      <c r="E47" s="507"/>
      <c r="F47" s="90">
        <f>288*1.0936</f>
        <v>314.95679999999999</v>
      </c>
      <c r="G47" s="88" t="s">
        <v>18</v>
      </c>
      <c r="H47" s="79"/>
      <c r="I47" s="80">
        <v>30</v>
      </c>
      <c r="J47" s="81">
        <v>46</v>
      </c>
      <c r="K47" s="81">
        <f t="shared" si="11"/>
        <v>1380</v>
      </c>
      <c r="L47" s="102"/>
      <c r="M47" s="102"/>
      <c r="N47" s="71"/>
    </row>
    <row r="48" spans="1:14" ht="14.1" customHeight="1">
      <c r="A48" s="507"/>
      <c r="B48" s="507"/>
      <c r="C48" s="507"/>
      <c r="D48" s="507"/>
      <c r="E48" s="507"/>
      <c r="F48" s="98"/>
      <c r="G48" s="517" t="s">
        <v>1067</v>
      </c>
      <c r="H48" s="79"/>
      <c r="I48" s="80">
        <v>6</v>
      </c>
      <c r="J48" s="81">
        <v>416</v>
      </c>
      <c r="K48" s="81">
        <f t="shared" si="11"/>
        <v>2496</v>
      </c>
      <c r="L48" s="102"/>
      <c r="M48" s="102"/>
      <c r="N48" s="71"/>
    </row>
    <row r="49" spans="1:14" ht="14.1" customHeight="1">
      <c r="A49" s="507"/>
      <c r="B49" s="507"/>
      <c r="C49" s="507"/>
      <c r="D49" s="507"/>
      <c r="E49" s="507"/>
      <c r="F49" s="98"/>
      <c r="G49" s="517" t="s">
        <v>1065</v>
      </c>
      <c r="H49" s="79"/>
      <c r="I49" s="80">
        <v>4</v>
      </c>
      <c r="J49" s="81">
        <v>165</v>
      </c>
      <c r="K49" s="81">
        <f>I49*J49</f>
        <v>660</v>
      </c>
      <c r="L49" s="102"/>
      <c r="M49" s="102"/>
      <c r="N49" s="71"/>
    </row>
    <row r="50" spans="1:14" ht="14.1" customHeight="1">
      <c r="A50" s="507"/>
      <c r="B50" s="507"/>
      <c r="C50" s="507"/>
      <c r="D50" s="507"/>
      <c r="E50" s="507"/>
      <c r="F50" s="98"/>
      <c r="G50" s="518" t="s">
        <v>1066</v>
      </c>
      <c r="H50" s="79"/>
      <c r="I50" s="80">
        <v>5</v>
      </c>
      <c r="J50" s="81">
        <v>165</v>
      </c>
      <c r="K50" s="81">
        <f t="shared" ref="K50" si="12">I50*J50</f>
        <v>825</v>
      </c>
      <c r="L50" s="102"/>
      <c r="M50" s="102"/>
      <c r="N50" s="71"/>
    </row>
    <row r="51" spans="1:14" ht="14.1" customHeight="1">
      <c r="A51" s="507"/>
      <c r="B51" s="507"/>
      <c r="C51" s="507"/>
      <c r="D51" s="507"/>
      <c r="E51" s="504" t="s">
        <v>9</v>
      </c>
      <c r="F51" s="110">
        <f>SUM(F46:F50)</f>
        <v>3515.9239999999995</v>
      </c>
      <c r="G51" s="504"/>
      <c r="H51" s="504"/>
      <c r="I51" s="125"/>
      <c r="J51" s="97"/>
      <c r="K51" s="111">
        <f>SUM(K46:K50)</f>
        <v>9801</v>
      </c>
      <c r="L51" s="111">
        <f>K51/F51</f>
        <v>2.7876029174692061</v>
      </c>
      <c r="M51" s="102"/>
      <c r="N51" s="71"/>
    </row>
    <row r="52" spans="1:14" ht="14.1" customHeight="1">
      <c r="A52" s="71"/>
      <c r="B52" s="71"/>
      <c r="C52" s="71"/>
      <c r="D52" s="126" t="s">
        <v>30</v>
      </c>
      <c r="E52" s="126"/>
      <c r="F52" s="127">
        <f>F9+F13+F17+F21+F25+F29+F33+F39+F45+F51</f>
        <v>63914.35839999999</v>
      </c>
      <c r="G52" s="128"/>
      <c r="H52" s="128"/>
      <c r="I52" s="128"/>
      <c r="J52" s="128"/>
      <c r="K52" s="127">
        <f>K9+K13+K17+K21+K25+K29+K33+K39+K45+K51</f>
        <v>70982</v>
      </c>
      <c r="L52" s="129">
        <f>K52/F52</f>
        <v>1.1105798724563276</v>
      </c>
      <c r="M52" s="71"/>
      <c r="N52" s="71"/>
    </row>
    <row r="53" spans="1:14" ht="14.1" customHeight="1">
      <c r="A53" s="70" t="s">
        <v>23</v>
      </c>
      <c r="B53" s="70"/>
      <c r="C53" s="70"/>
      <c r="D53" s="70"/>
      <c r="E53" s="70"/>
      <c r="F53" s="71"/>
      <c r="G53" s="71"/>
      <c r="H53" s="71"/>
      <c r="I53" s="71"/>
      <c r="J53" s="71"/>
      <c r="K53" s="824" t="s">
        <v>1010</v>
      </c>
      <c r="L53" s="824"/>
      <c r="M53" s="824"/>
      <c r="N53" s="71"/>
    </row>
    <row r="54" spans="1:14" ht="14.1" customHeight="1">
      <c r="A54" s="234" t="s">
        <v>0</v>
      </c>
      <c r="B54" s="234" t="s">
        <v>7</v>
      </c>
      <c r="C54" s="234" t="s">
        <v>13</v>
      </c>
      <c r="D54" s="234" t="s">
        <v>14</v>
      </c>
      <c r="E54" s="234" t="s">
        <v>8</v>
      </c>
      <c r="F54" s="234" t="s">
        <v>1</v>
      </c>
      <c r="G54" s="234" t="s">
        <v>2</v>
      </c>
      <c r="H54" s="234" t="s">
        <v>15</v>
      </c>
      <c r="I54" s="234" t="s">
        <v>3</v>
      </c>
      <c r="J54" s="234" t="s">
        <v>4</v>
      </c>
      <c r="K54" s="234" t="s">
        <v>5</v>
      </c>
      <c r="L54" s="234" t="s">
        <v>12</v>
      </c>
      <c r="M54" s="234" t="s">
        <v>6</v>
      </c>
      <c r="N54" s="71"/>
    </row>
    <row r="55" spans="1:14" ht="14.1" customHeight="1">
      <c r="A55" s="85">
        <v>1</v>
      </c>
      <c r="B55" s="505" t="s">
        <v>1037</v>
      </c>
      <c r="C55" s="89" t="s">
        <v>1033</v>
      </c>
      <c r="D55" s="89" t="s">
        <v>1034</v>
      </c>
      <c r="E55" s="505"/>
      <c r="F55" s="90">
        <f>7470*1.0936</f>
        <v>8169.1919999999991</v>
      </c>
      <c r="G55" s="517" t="s">
        <v>24</v>
      </c>
      <c r="H55" s="79"/>
      <c r="I55" s="80">
        <f>9+29</f>
        <v>38</v>
      </c>
      <c r="J55" s="81">
        <v>74</v>
      </c>
      <c r="K55" s="81">
        <f t="shared" ref="K55:K57" si="13">I55*J55</f>
        <v>2812</v>
      </c>
      <c r="L55" s="102"/>
      <c r="M55" s="124"/>
      <c r="N55" s="71"/>
    </row>
    <row r="56" spans="1:14" ht="14.1" customHeight="1">
      <c r="A56" s="85"/>
      <c r="B56" s="505" t="s">
        <v>269</v>
      </c>
      <c r="C56" s="120"/>
      <c r="D56" s="120"/>
      <c r="E56" s="85"/>
      <c r="F56" s="90">
        <f>800*1.0936</f>
        <v>874.87999999999988</v>
      </c>
      <c r="G56" s="88" t="s">
        <v>18</v>
      </c>
      <c r="H56" s="79"/>
      <c r="I56" s="80">
        <v>72</v>
      </c>
      <c r="J56" s="81">
        <v>46</v>
      </c>
      <c r="K56" s="81">
        <f t="shared" si="13"/>
        <v>3312</v>
      </c>
      <c r="L56" s="102"/>
      <c r="M56" s="102"/>
      <c r="N56" s="71"/>
    </row>
    <row r="57" spans="1:14" ht="14.1" customHeight="1">
      <c r="A57" s="85"/>
      <c r="B57" s="120"/>
      <c r="C57" s="120"/>
      <c r="D57" s="120"/>
      <c r="E57" s="85"/>
      <c r="F57" s="98"/>
      <c r="G57" s="517" t="s">
        <v>1067</v>
      </c>
      <c r="H57" s="79"/>
      <c r="I57" s="80">
        <f>23+15</f>
        <v>38</v>
      </c>
      <c r="J57" s="81">
        <v>416</v>
      </c>
      <c r="K57" s="81">
        <f t="shared" si="13"/>
        <v>15808</v>
      </c>
      <c r="L57" s="102"/>
      <c r="M57" s="102"/>
      <c r="N57" s="71"/>
    </row>
    <row r="58" spans="1:14" ht="14.1" customHeight="1">
      <c r="A58" s="85"/>
      <c r="B58" s="85"/>
      <c r="C58" s="85"/>
      <c r="D58" s="85"/>
      <c r="E58" s="85"/>
      <c r="F58" s="98"/>
      <c r="G58" s="517" t="s">
        <v>1065</v>
      </c>
      <c r="H58" s="79"/>
      <c r="I58" s="80">
        <f>8+12</f>
        <v>20</v>
      </c>
      <c r="J58" s="81">
        <v>165</v>
      </c>
      <c r="K58" s="81">
        <f>I58*J58</f>
        <v>3300</v>
      </c>
      <c r="L58" s="102"/>
      <c r="M58" s="102"/>
      <c r="N58" s="71"/>
    </row>
    <row r="59" spans="1:14" ht="14.1" customHeight="1">
      <c r="A59" s="85"/>
      <c r="B59" s="85"/>
      <c r="C59" s="85"/>
      <c r="D59" s="85"/>
      <c r="E59" s="85"/>
      <c r="F59" s="98"/>
      <c r="G59" s="518" t="s">
        <v>1066</v>
      </c>
      <c r="H59" s="79"/>
      <c r="I59" s="80">
        <v>27</v>
      </c>
      <c r="J59" s="81">
        <v>165</v>
      </c>
      <c r="K59" s="81">
        <f t="shared" ref="K59" si="14">I59*J59</f>
        <v>4455</v>
      </c>
      <c r="L59" s="102"/>
      <c r="M59" s="102"/>
      <c r="N59" s="71"/>
    </row>
    <row r="60" spans="1:14" ht="14.1" customHeight="1">
      <c r="A60" s="85"/>
      <c r="B60" s="85"/>
      <c r="C60" s="85"/>
      <c r="D60" s="85"/>
      <c r="E60" s="264" t="s">
        <v>9</v>
      </c>
      <c r="F60" s="110">
        <f>SUM(F55:F59)</f>
        <v>9044.0719999999983</v>
      </c>
      <c r="G60" s="264"/>
      <c r="H60" s="264"/>
      <c r="I60" s="125"/>
      <c r="J60" s="97"/>
      <c r="K60" s="111">
        <f>SUM(K55:K59)</f>
        <v>29687</v>
      </c>
      <c r="L60" s="111">
        <f>K60/F60</f>
        <v>3.2824816078421319</v>
      </c>
      <c r="M60" s="102"/>
      <c r="N60" s="71"/>
    </row>
    <row r="61" spans="1:14" ht="14.1" customHeight="1">
      <c r="A61" s="85">
        <v>2</v>
      </c>
      <c r="B61" s="505" t="s">
        <v>942</v>
      </c>
      <c r="C61" s="505" t="s">
        <v>121</v>
      </c>
      <c r="D61" s="505" t="s">
        <v>122</v>
      </c>
      <c r="E61" s="507"/>
      <c r="F61" s="99">
        <f>3680*1.0936</f>
        <v>4024.4479999999999</v>
      </c>
      <c r="G61" s="517" t="s">
        <v>24</v>
      </c>
      <c r="H61" s="79"/>
      <c r="I61" s="80">
        <v>59</v>
      </c>
      <c r="J61" s="81">
        <v>74</v>
      </c>
      <c r="K61" s="81">
        <f t="shared" ref="K61:K63" si="15">I61*J61</f>
        <v>4366</v>
      </c>
      <c r="L61" s="102"/>
      <c r="M61" s="102"/>
      <c r="N61" s="71"/>
    </row>
    <row r="62" spans="1:14" ht="14.1" customHeight="1">
      <c r="A62" s="85"/>
      <c r="B62" s="120"/>
      <c r="C62" s="120"/>
      <c r="D62" s="120"/>
      <c r="E62" s="120"/>
      <c r="F62" s="90"/>
      <c r="G62" s="88" t="s">
        <v>18</v>
      </c>
      <c r="H62" s="79"/>
      <c r="I62" s="80">
        <v>10</v>
      </c>
      <c r="J62" s="81">
        <v>46</v>
      </c>
      <c r="K62" s="81">
        <f t="shared" si="15"/>
        <v>460</v>
      </c>
      <c r="L62" s="102"/>
      <c r="M62" s="102"/>
      <c r="N62" s="71"/>
    </row>
    <row r="63" spans="1:14" ht="14.1" customHeight="1">
      <c r="A63" s="85"/>
      <c r="B63" s="85"/>
      <c r="C63" s="85"/>
      <c r="D63" s="85"/>
      <c r="E63" s="85"/>
      <c r="F63" s="98"/>
      <c r="G63" s="517" t="s">
        <v>1067</v>
      </c>
      <c r="H63" s="79"/>
      <c r="I63" s="80">
        <f>7+5</f>
        <v>12</v>
      </c>
      <c r="J63" s="81">
        <v>416</v>
      </c>
      <c r="K63" s="81">
        <f t="shared" si="15"/>
        <v>4992</v>
      </c>
      <c r="L63" s="102"/>
      <c r="M63" s="102"/>
      <c r="N63" s="71"/>
    </row>
    <row r="64" spans="1:14" ht="14.1" customHeight="1">
      <c r="A64" s="85"/>
      <c r="B64" s="85"/>
      <c r="C64" s="85"/>
      <c r="D64" s="85"/>
      <c r="E64" s="85"/>
      <c r="F64" s="98"/>
      <c r="G64" s="517" t="s">
        <v>1065</v>
      </c>
      <c r="H64" s="79"/>
      <c r="I64" s="80">
        <f>3+5</f>
        <v>8</v>
      </c>
      <c r="J64" s="81">
        <v>165</v>
      </c>
      <c r="K64" s="81">
        <f>I64*J64</f>
        <v>1320</v>
      </c>
      <c r="L64" s="102"/>
      <c r="M64" s="102"/>
      <c r="N64" s="71"/>
    </row>
    <row r="65" spans="1:14" ht="14.1" customHeight="1">
      <c r="A65" s="85"/>
      <c r="B65" s="85"/>
      <c r="C65" s="85"/>
      <c r="D65" s="85"/>
      <c r="E65" s="85"/>
      <c r="F65" s="98"/>
      <c r="G65" s="518" t="s">
        <v>1066</v>
      </c>
      <c r="H65" s="79"/>
      <c r="I65" s="80">
        <v>3</v>
      </c>
      <c r="J65" s="81">
        <v>165</v>
      </c>
      <c r="K65" s="81">
        <f t="shared" ref="K65" si="16">I65*J65</f>
        <v>495</v>
      </c>
      <c r="L65" s="102"/>
      <c r="M65" s="102"/>
      <c r="N65" s="71"/>
    </row>
    <row r="66" spans="1:14" ht="14.1" customHeight="1">
      <c r="A66" s="507"/>
      <c r="B66" s="507"/>
      <c r="C66" s="507"/>
      <c r="D66" s="507"/>
      <c r="E66" s="504" t="s">
        <v>9</v>
      </c>
      <c r="F66" s="110">
        <f>SUM(F61:F65)</f>
        <v>4024.4479999999999</v>
      </c>
      <c r="G66" s="504"/>
      <c r="H66" s="504"/>
      <c r="I66" s="125"/>
      <c r="J66" s="97"/>
      <c r="K66" s="111">
        <f>SUM(K61:K65)</f>
        <v>11633</v>
      </c>
      <c r="L66" s="111">
        <f>K66/F66</f>
        <v>2.8905827581819916</v>
      </c>
      <c r="M66" s="102"/>
      <c r="N66" s="71"/>
    </row>
    <row r="67" spans="1:14" ht="14.1" customHeight="1">
      <c r="A67" s="507">
        <v>3</v>
      </c>
      <c r="B67" s="505" t="s">
        <v>1036</v>
      </c>
      <c r="C67" s="89" t="s">
        <v>1026</v>
      </c>
      <c r="D67" s="89" t="s">
        <v>364</v>
      </c>
      <c r="E67" s="505"/>
      <c r="F67" s="90">
        <f>15530*1.0936</f>
        <v>16983.608</v>
      </c>
      <c r="G67" s="517" t="s">
        <v>24</v>
      </c>
      <c r="H67" s="79"/>
      <c r="I67" s="80">
        <f>119+15</f>
        <v>134</v>
      </c>
      <c r="J67" s="81">
        <v>74</v>
      </c>
      <c r="K67" s="81">
        <f t="shared" ref="K67:K69" si="17">I67*J67</f>
        <v>9916</v>
      </c>
      <c r="L67" s="102"/>
      <c r="M67" s="102"/>
      <c r="N67" s="71"/>
    </row>
    <row r="68" spans="1:14" ht="14.1" customHeight="1">
      <c r="A68" s="507"/>
      <c r="B68" s="507"/>
      <c r="C68" s="507"/>
      <c r="D68" s="507"/>
      <c r="E68" s="507"/>
      <c r="F68" s="98"/>
      <c r="G68" s="88" t="s">
        <v>18</v>
      </c>
      <c r="H68" s="79"/>
      <c r="I68" s="80">
        <v>55</v>
      </c>
      <c r="J68" s="81">
        <v>46</v>
      </c>
      <c r="K68" s="81">
        <f t="shared" si="17"/>
        <v>2530</v>
      </c>
      <c r="L68" s="102"/>
      <c r="M68" s="102"/>
      <c r="N68" s="71"/>
    </row>
    <row r="69" spans="1:14" ht="14.1" customHeight="1">
      <c r="A69" s="507"/>
      <c r="B69" s="507"/>
      <c r="C69" s="507"/>
      <c r="D69" s="507"/>
      <c r="E69" s="507"/>
      <c r="F69" s="98"/>
      <c r="G69" s="517" t="s">
        <v>1067</v>
      </c>
      <c r="H69" s="79"/>
      <c r="I69" s="80">
        <f>33+17</f>
        <v>50</v>
      </c>
      <c r="J69" s="81">
        <v>416</v>
      </c>
      <c r="K69" s="81">
        <f t="shared" si="17"/>
        <v>20800</v>
      </c>
      <c r="L69" s="102"/>
      <c r="M69" s="102"/>
      <c r="N69" s="71"/>
    </row>
    <row r="70" spans="1:14" ht="14.1" customHeight="1">
      <c r="A70" s="507"/>
      <c r="B70" s="507"/>
      <c r="C70" s="507"/>
      <c r="D70" s="507"/>
      <c r="E70" s="507"/>
      <c r="F70" s="98"/>
      <c r="G70" s="517" t="s">
        <v>1065</v>
      </c>
      <c r="H70" s="79"/>
      <c r="I70" s="80">
        <f>14+19</f>
        <v>33</v>
      </c>
      <c r="J70" s="81">
        <v>165</v>
      </c>
      <c r="K70" s="81">
        <f>I70*J70</f>
        <v>5445</v>
      </c>
      <c r="L70" s="102"/>
      <c r="M70" s="102"/>
      <c r="N70" s="71"/>
    </row>
    <row r="71" spans="1:14" ht="14.1" customHeight="1">
      <c r="A71" s="507"/>
      <c r="B71" s="507"/>
      <c r="C71" s="507"/>
      <c r="D71" s="507"/>
      <c r="E71" s="507"/>
      <c r="F71" s="98"/>
      <c r="G71" s="518" t="s">
        <v>1066</v>
      </c>
      <c r="H71" s="79"/>
      <c r="I71" s="80">
        <v>25</v>
      </c>
      <c r="J71" s="81">
        <v>165</v>
      </c>
      <c r="K71" s="81">
        <f t="shared" ref="K71" si="18">I71*J71</f>
        <v>4125</v>
      </c>
      <c r="L71" s="102"/>
      <c r="M71" s="102"/>
      <c r="N71" s="71"/>
    </row>
    <row r="72" spans="1:14" ht="14.1" customHeight="1">
      <c r="A72" s="507"/>
      <c r="B72" s="507"/>
      <c r="C72" s="507"/>
      <c r="D72" s="507"/>
      <c r="E72" s="504" t="s">
        <v>9</v>
      </c>
      <c r="F72" s="110">
        <f>SUM(F67:F71)</f>
        <v>16983.608</v>
      </c>
      <c r="G72" s="504"/>
      <c r="H72" s="504"/>
      <c r="I72" s="125"/>
      <c r="J72" s="97"/>
      <c r="K72" s="111">
        <f>SUM(K67:K71)</f>
        <v>42816</v>
      </c>
      <c r="L72" s="111">
        <f>K72/F72</f>
        <v>2.5210190908786871</v>
      </c>
      <c r="M72" s="102"/>
      <c r="N72" s="71"/>
    </row>
    <row r="73" spans="1:14" ht="14.1" customHeight="1">
      <c r="A73" s="507">
        <v>4</v>
      </c>
      <c r="B73" s="505" t="s">
        <v>966</v>
      </c>
      <c r="C73" s="505" t="s">
        <v>882</v>
      </c>
      <c r="D73" s="505" t="s">
        <v>883</v>
      </c>
      <c r="E73" s="505"/>
      <c r="F73" s="90">
        <f>2440*1.0936</f>
        <v>2668.3839999999996</v>
      </c>
      <c r="G73" s="517" t="s">
        <v>24</v>
      </c>
      <c r="H73" s="79"/>
      <c r="I73" s="80">
        <v>27</v>
      </c>
      <c r="J73" s="81">
        <v>74</v>
      </c>
      <c r="K73" s="81">
        <f t="shared" ref="K73:K75" si="19">I73*J73</f>
        <v>1998</v>
      </c>
      <c r="L73" s="102"/>
      <c r="M73" s="102"/>
      <c r="N73" s="71"/>
    </row>
    <row r="74" spans="1:14" ht="14.1" customHeight="1">
      <c r="A74" s="507"/>
      <c r="B74" s="507" t="s">
        <v>269</v>
      </c>
      <c r="C74" s="507"/>
      <c r="D74" s="507"/>
      <c r="E74" s="507"/>
      <c r="F74" s="90">
        <f>453*1.0936</f>
        <v>495.40079999999995</v>
      </c>
      <c r="G74" s="88" t="s">
        <v>18</v>
      </c>
      <c r="H74" s="79"/>
      <c r="I74" s="80">
        <v>12</v>
      </c>
      <c r="J74" s="81">
        <v>46</v>
      </c>
      <c r="K74" s="81">
        <f t="shared" si="19"/>
        <v>552</v>
      </c>
      <c r="L74" s="102"/>
      <c r="M74" s="102"/>
      <c r="N74" s="71"/>
    </row>
    <row r="75" spans="1:14" ht="14.1" customHeight="1">
      <c r="A75" s="507"/>
      <c r="B75" s="507"/>
      <c r="C75" s="507"/>
      <c r="D75" s="507"/>
      <c r="E75" s="507"/>
      <c r="F75" s="98"/>
      <c r="G75" s="517" t="s">
        <v>1067</v>
      </c>
      <c r="H75" s="79"/>
      <c r="I75" s="80">
        <v>10</v>
      </c>
      <c r="J75" s="81">
        <v>416</v>
      </c>
      <c r="K75" s="81">
        <f t="shared" si="19"/>
        <v>4160</v>
      </c>
      <c r="L75" s="102"/>
      <c r="M75" s="102"/>
      <c r="N75" s="71"/>
    </row>
    <row r="76" spans="1:14" ht="14.1" customHeight="1">
      <c r="A76" s="507"/>
      <c r="B76" s="507"/>
      <c r="C76" s="507"/>
      <c r="D76" s="507"/>
      <c r="E76" s="507"/>
      <c r="F76" s="98"/>
      <c r="G76" s="517" t="s">
        <v>1065</v>
      </c>
      <c r="H76" s="79"/>
      <c r="I76" s="80">
        <v>8</v>
      </c>
      <c r="J76" s="81">
        <v>165</v>
      </c>
      <c r="K76" s="81">
        <f>I76*J76</f>
        <v>1320</v>
      </c>
      <c r="L76" s="102"/>
      <c r="M76" s="102"/>
      <c r="N76" s="71"/>
    </row>
    <row r="77" spans="1:14" ht="14.1" customHeight="1">
      <c r="A77" s="507"/>
      <c r="B77" s="507"/>
      <c r="C77" s="507"/>
      <c r="D77" s="507"/>
      <c r="E77" s="507"/>
      <c r="F77" s="98"/>
      <c r="G77" s="518" t="s">
        <v>1066</v>
      </c>
      <c r="H77" s="79"/>
      <c r="I77" s="80">
        <v>5</v>
      </c>
      <c r="J77" s="81">
        <v>165</v>
      </c>
      <c r="K77" s="81">
        <f t="shared" ref="K77" si="20">I77*J77</f>
        <v>825</v>
      </c>
      <c r="L77" s="102"/>
      <c r="M77" s="102"/>
      <c r="N77" s="71"/>
    </row>
    <row r="78" spans="1:14" ht="14.1" customHeight="1">
      <c r="A78" s="507"/>
      <c r="B78" s="507"/>
      <c r="C78" s="507"/>
      <c r="D78" s="507"/>
      <c r="E78" s="504" t="s">
        <v>9</v>
      </c>
      <c r="F78" s="110">
        <f>SUM(F73:F77)</f>
        <v>3163.7847999999994</v>
      </c>
      <c r="G78" s="504"/>
      <c r="H78" s="504"/>
      <c r="I78" s="125"/>
      <c r="J78" s="97"/>
      <c r="K78" s="111">
        <f>SUM(K73:K77)</f>
        <v>8855</v>
      </c>
      <c r="L78" s="111">
        <f>K78/F78</f>
        <v>2.7988629315116507</v>
      </c>
      <c r="M78" s="102"/>
      <c r="N78" s="71"/>
    </row>
    <row r="79" spans="1:14" ht="14.1" customHeight="1">
      <c r="A79" s="131"/>
      <c r="B79" s="131"/>
      <c r="C79" s="131"/>
      <c r="D79" s="234" t="s">
        <v>30</v>
      </c>
      <c r="E79" s="234"/>
      <c r="F79" s="127">
        <f>F60+F66+F72+F78</f>
        <v>33215.912799999998</v>
      </c>
      <c r="G79" s="132"/>
      <c r="H79" s="132"/>
      <c r="I79" s="132"/>
      <c r="J79" s="132"/>
      <c r="K79" s="127">
        <f>K60+K66+K72+K78</f>
        <v>92991</v>
      </c>
      <c r="L79" s="129">
        <f>K79/F79</f>
        <v>2.7995918871752337</v>
      </c>
      <c r="M79" s="102"/>
      <c r="N79" s="71"/>
    </row>
    <row r="80" spans="1:14" ht="14.1" customHeight="1">
      <c r="A80" s="70" t="s">
        <v>22</v>
      </c>
      <c r="B80" s="70"/>
      <c r="C80" s="70"/>
      <c r="D80" s="70"/>
      <c r="E80" s="70"/>
      <c r="F80" s="71"/>
      <c r="G80" s="71"/>
      <c r="H80" s="71"/>
      <c r="I80" s="71"/>
      <c r="J80" s="71"/>
      <c r="K80" s="824" t="s">
        <v>1010</v>
      </c>
      <c r="L80" s="824"/>
      <c r="M80" s="824"/>
      <c r="N80" s="71"/>
    </row>
    <row r="81" spans="1:14" ht="14.1" customHeight="1">
      <c r="A81" s="234" t="s">
        <v>0</v>
      </c>
      <c r="B81" s="234" t="s">
        <v>7</v>
      </c>
      <c r="C81" s="234" t="s">
        <v>13</v>
      </c>
      <c r="D81" s="234" t="s">
        <v>14</v>
      </c>
      <c r="E81" s="234" t="s">
        <v>8</v>
      </c>
      <c r="F81" s="234" t="s">
        <v>1</v>
      </c>
      <c r="G81" s="234" t="s">
        <v>2</v>
      </c>
      <c r="H81" s="234" t="s">
        <v>15</v>
      </c>
      <c r="I81" s="234" t="s">
        <v>3</v>
      </c>
      <c r="J81" s="234" t="s">
        <v>4</v>
      </c>
      <c r="K81" s="234" t="s">
        <v>5</v>
      </c>
      <c r="L81" s="234" t="s">
        <v>12</v>
      </c>
      <c r="M81" s="234" t="s">
        <v>6</v>
      </c>
      <c r="N81" s="71"/>
    </row>
    <row r="82" spans="1:14" ht="14.1" customHeight="1">
      <c r="A82" s="85">
        <v>1</v>
      </c>
      <c r="B82" s="505" t="s">
        <v>859</v>
      </c>
      <c r="C82" s="505" t="s">
        <v>278</v>
      </c>
      <c r="D82" s="505" t="s">
        <v>1005</v>
      </c>
      <c r="E82" s="505"/>
      <c r="F82" s="90">
        <f>9700*1.0936</f>
        <v>10607.919999999998</v>
      </c>
      <c r="G82" s="120" t="s">
        <v>24</v>
      </c>
      <c r="H82" s="79"/>
      <c r="I82" s="80">
        <v>150</v>
      </c>
      <c r="J82" s="81">
        <v>74</v>
      </c>
      <c r="K82" s="81">
        <f t="shared" ref="K82:K83" si="21">I82*J82</f>
        <v>11100</v>
      </c>
      <c r="L82" s="102"/>
      <c r="M82" s="102"/>
      <c r="N82" s="71"/>
    </row>
    <row r="83" spans="1:14" ht="14.1" customHeight="1">
      <c r="A83" s="85"/>
      <c r="B83" s="120"/>
      <c r="C83" s="120"/>
      <c r="D83" s="120"/>
      <c r="E83" s="85"/>
      <c r="F83" s="98"/>
      <c r="G83" s="84" t="s">
        <v>10</v>
      </c>
      <c r="H83" s="79"/>
      <c r="I83" s="80">
        <v>25</v>
      </c>
      <c r="J83" s="81">
        <v>120</v>
      </c>
      <c r="K83" s="81">
        <f t="shared" si="21"/>
        <v>3000</v>
      </c>
      <c r="L83" s="102"/>
      <c r="M83" s="102"/>
      <c r="N83" s="71"/>
    </row>
    <row r="84" spans="1:14" ht="14.1" customHeight="1">
      <c r="A84" s="85"/>
      <c r="B84" s="120"/>
      <c r="C84" s="120"/>
      <c r="D84" s="120"/>
      <c r="E84" s="234" t="s">
        <v>9</v>
      </c>
      <c r="F84" s="110">
        <f>SUM(F82:F83)</f>
        <v>10607.919999999998</v>
      </c>
      <c r="G84" s="234"/>
      <c r="H84" s="234"/>
      <c r="I84" s="125"/>
      <c r="J84" s="97"/>
      <c r="K84" s="111">
        <f>SUM(K82:K83)</f>
        <v>14100</v>
      </c>
      <c r="L84" s="111">
        <f>K84/F84</f>
        <v>1.3291955444611199</v>
      </c>
      <c r="M84" s="102"/>
      <c r="N84" s="71"/>
    </row>
    <row r="85" spans="1:14" ht="14.1" customHeight="1">
      <c r="A85" s="85">
        <v>2</v>
      </c>
      <c r="B85" s="505" t="s">
        <v>1030</v>
      </c>
      <c r="C85" s="505" t="s">
        <v>530</v>
      </c>
      <c r="D85" s="505" t="s">
        <v>1031</v>
      </c>
      <c r="E85" s="505"/>
      <c r="F85" s="90">
        <f>5400*1.0936</f>
        <v>5905.44</v>
      </c>
      <c r="G85" s="120" t="s">
        <v>24</v>
      </c>
      <c r="H85" s="79"/>
      <c r="I85" s="80">
        <v>119</v>
      </c>
      <c r="J85" s="81">
        <v>74</v>
      </c>
      <c r="K85" s="81">
        <f t="shared" ref="K85:K86" si="22">I85*J85</f>
        <v>8806</v>
      </c>
      <c r="L85" s="102"/>
      <c r="M85" s="102"/>
      <c r="N85" s="71"/>
    </row>
    <row r="86" spans="1:14" ht="14.1" customHeight="1">
      <c r="A86" s="85"/>
      <c r="B86" s="120"/>
      <c r="C86" s="120"/>
      <c r="D86" s="120"/>
      <c r="E86" s="85"/>
      <c r="F86" s="98"/>
      <c r="G86" s="84" t="s">
        <v>10</v>
      </c>
      <c r="H86" s="79"/>
      <c r="I86" s="80">
        <v>12</v>
      </c>
      <c r="J86" s="81">
        <v>120</v>
      </c>
      <c r="K86" s="81">
        <f t="shared" si="22"/>
        <v>1440</v>
      </c>
      <c r="L86" s="102"/>
      <c r="M86" s="102"/>
      <c r="N86" s="71"/>
    </row>
    <row r="87" spans="1:14" ht="14.1" customHeight="1">
      <c r="A87" s="85"/>
      <c r="B87" s="120"/>
      <c r="C87" s="120"/>
      <c r="D87" s="120"/>
      <c r="E87" s="234" t="s">
        <v>9</v>
      </c>
      <c r="F87" s="110">
        <f>SUM(F85:F86)</f>
        <v>5905.44</v>
      </c>
      <c r="G87" s="234"/>
      <c r="H87" s="234"/>
      <c r="I87" s="125"/>
      <c r="J87" s="97"/>
      <c r="K87" s="111">
        <f>SUM(K85:K86)</f>
        <v>10246</v>
      </c>
      <c r="L87" s="111">
        <f>K87/F87</f>
        <v>1.7350104310601751</v>
      </c>
      <c r="M87" s="102"/>
      <c r="N87" s="71"/>
    </row>
    <row r="88" spans="1:14" ht="14.1" customHeight="1">
      <c r="A88" s="85">
        <v>3</v>
      </c>
      <c r="B88" s="505" t="s">
        <v>966</v>
      </c>
      <c r="C88" s="505" t="s">
        <v>882</v>
      </c>
      <c r="D88" s="505" t="s">
        <v>883</v>
      </c>
      <c r="E88" s="505"/>
      <c r="F88" s="90">
        <f>1460*1.0936</f>
        <v>1596.6559999999999</v>
      </c>
      <c r="G88" s="120" t="s">
        <v>24</v>
      </c>
      <c r="H88" s="79"/>
      <c r="I88" s="80">
        <v>29</v>
      </c>
      <c r="J88" s="81">
        <v>74</v>
      </c>
      <c r="K88" s="81">
        <f t="shared" ref="K88:K89" si="23">I88*J88</f>
        <v>2146</v>
      </c>
      <c r="L88" s="102"/>
      <c r="M88" s="102"/>
      <c r="N88" s="71"/>
    </row>
    <row r="89" spans="1:14" ht="14.1" customHeight="1">
      <c r="A89" s="85"/>
      <c r="B89" s="120"/>
      <c r="C89" s="120"/>
      <c r="D89" s="120"/>
      <c r="E89" s="85"/>
      <c r="F89" s="98"/>
      <c r="G89" s="84" t="s">
        <v>10</v>
      </c>
      <c r="H89" s="79"/>
      <c r="I89" s="80">
        <v>5</v>
      </c>
      <c r="J89" s="81">
        <v>120</v>
      </c>
      <c r="K89" s="81">
        <f t="shared" si="23"/>
        <v>600</v>
      </c>
      <c r="L89" s="102"/>
      <c r="M89" s="102"/>
      <c r="N89" s="71"/>
    </row>
    <row r="90" spans="1:14" ht="14.1" customHeight="1">
      <c r="A90" s="507"/>
      <c r="B90" s="505"/>
      <c r="C90" s="505"/>
      <c r="D90" s="505"/>
      <c r="E90" s="504" t="s">
        <v>9</v>
      </c>
      <c r="F90" s="110">
        <f>SUM(F88:F89)</f>
        <v>1596.6559999999999</v>
      </c>
      <c r="G90" s="504"/>
      <c r="H90" s="504"/>
      <c r="I90" s="125"/>
      <c r="J90" s="97"/>
      <c r="K90" s="111">
        <f>SUM(K88:K89)</f>
        <v>2746</v>
      </c>
      <c r="L90" s="111">
        <f>K90/F90</f>
        <v>1.7198444749526511</v>
      </c>
      <c r="M90" s="102"/>
      <c r="N90" s="71"/>
    </row>
    <row r="91" spans="1:14" ht="14.1" customHeight="1">
      <c r="A91" s="507">
        <v>4</v>
      </c>
      <c r="B91" s="507" t="s">
        <v>269</v>
      </c>
      <c r="C91" s="507"/>
      <c r="D91" s="507"/>
      <c r="E91" s="507"/>
      <c r="F91" s="90">
        <f>1423*1.0936</f>
        <v>1556.1927999999998</v>
      </c>
      <c r="G91" s="505" t="s">
        <v>24</v>
      </c>
      <c r="H91" s="79"/>
      <c r="I91" s="80">
        <v>29</v>
      </c>
      <c r="J91" s="81">
        <v>74</v>
      </c>
      <c r="K91" s="81">
        <f t="shared" ref="K91:K92" si="24">I91*J91</f>
        <v>2146</v>
      </c>
      <c r="L91" s="102"/>
      <c r="M91" s="102"/>
      <c r="N91" s="71"/>
    </row>
    <row r="92" spans="1:14" ht="14.1" customHeight="1">
      <c r="A92" s="507"/>
      <c r="B92" s="505"/>
      <c r="C92" s="505"/>
      <c r="D92" s="505"/>
      <c r="E92" s="507"/>
      <c r="F92" s="98"/>
      <c r="G92" s="430" t="s">
        <v>10</v>
      </c>
      <c r="H92" s="79"/>
      <c r="I92" s="80">
        <v>5</v>
      </c>
      <c r="J92" s="81">
        <v>120</v>
      </c>
      <c r="K92" s="81">
        <f t="shared" si="24"/>
        <v>600</v>
      </c>
      <c r="L92" s="102"/>
      <c r="M92" s="102"/>
      <c r="N92" s="71"/>
    </row>
    <row r="93" spans="1:14" ht="14.1" customHeight="1">
      <c r="A93" s="507"/>
      <c r="B93" s="505"/>
      <c r="C93" s="505"/>
      <c r="D93" s="505"/>
      <c r="E93" s="504" t="s">
        <v>9</v>
      </c>
      <c r="F93" s="110">
        <f>SUM(F91:F92)</f>
        <v>1556.1927999999998</v>
      </c>
      <c r="G93" s="504"/>
      <c r="H93" s="504"/>
      <c r="I93" s="125"/>
      <c r="J93" s="97"/>
      <c r="K93" s="111">
        <f>SUM(K91:K92)</f>
        <v>2746</v>
      </c>
      <c r="L93" s="111">
        <f>K93/F93</f>
        <v>1.7645628485108018</v>
      </c>
      <c r="M93" s="102"/>
      <c r="N93" s="71"/>
    </row>
    <row r="94" spans="1:14" ht="14.1" customHeight="1">
      <c r="A94" s="507">
        <v>5</v>
      </c>
      <c r="B94" s="505" t="s">
        <v>998</v>
      </c>
      <c r="C94" s="505" t="s">
        <v>792</v>
      </c>
      <c r="D94" s="505" t="s">
        <v>999</v>
      </c>
      <c r="E94" s="505"/>
      <c r="F94" s="90">
        <f>14400*1.0936</f>
        <v>15747.839999999998</v>
      </c>
      <c r="G94" s="505" t="s">
        <v>24</v>
      </c>
      <c r="H94" s="79"/>
      <c r="I94" s="80">
        <v>195</v>
      </c>
      <c r="J94" s="81">
        <v>74</v>
      </c>
      <c r="K94" s="81">
        <f t="shared" ref="K94:K95" si="25">I94*J94</f>
        <v>14430</v>
      </c>
      <c r="L94" s="102"/>
      <c r="M94" s="102"/>
      <c r="N94" s="71"/>
    </row>
    <row r="95" spans="1:14" ht="14.1" customHeight="1">
      <c r="A95" s="507"/>
      <c r="B95" s="505"/>
      <c r="C95" s="505"/>
      <c r="D95" s="505"/>
      <c r="E95" s="507"/>
      <c r="F95" s="98"/>
      <c r="G95" s="430" t="s">
        <v>10</v>
      </c>
      <c r="H95" s="79"/>
      <c r="I95" s="80">
        <v>25</v>
      </c>
      <c r="J95" s="81">
        <v>120</v>
      </c>
      <c r="K95" s="81">
        <f t="shared" si="25"/>
        <v>3000</v>
      </c>
      <c r="L95" s="102"/>
      <c r="M95" s="102"/>
      <c r="N95" s="71"/>
    </row>
    <row r="96" spans="1:14" ht="14.1" customHeight="1">
      <c r="A96" s="507"/>
      <c r="B96" s="505"/>
      <c r="C96" s="505"/>
      <c r="D96" s="505"/>
      <c r="E96" s="504" t="s">
        <v>9</v>
      </c>
      <c r="F96" s="110">
        <f>SUM(F94:F95)</f>
        <v>15747.839999999998</v>
      </c>
      <c r="G96" s="504"/>
      <c r="H96" s="504"/>
      <c r="I96" s="125"/>
      <c r="J96" s="97"/>
      <c r="K96" s="111">
        <f>SUM(K94:K95)</f>
        <v>17430</v>
      </c>
      <c r="L96" s="111">
        <f>K96/F96</f>
        <v>1.1068184589124606</v>
      </c>
      <c r="M96" s="102"/>
      <c r="N96" s="71"/>
    </row>
    <row r="97" spans="1:14" ht="14.1" customHeight="1">
      <c r="A97" s="507">
        <v>6</v>
      </c>
      <c r="B97" s="505" t="s">
        <v>942</v>
      </c>
      <c r="C97" s="505" t="s">
        <v>121</v>
      </c>
      <c r="D97" s="505" t="s">
        <v>122</v>
      </c>
      <c r="E97" s="507"/>
      <c r="F97" s="99">
        <f>3680*1.0936</f>
        <v>4024.4479999999999</v>
      </c>
      <c r="G97" s="505" t="s">
        <v>24</v>
      </c>
      <c r="H97" s="79"/>
      <c r="I97" s="80">
        <v>48</v>
      </c>
      <c r="J97" s="81">
        <v>74</v>
      </c>
      <c r="K97" s="81">
        <f t="shared" ref="K97:K98" si="26">I97*J97</f>
        <v>3552</v>
      </c>
      <c r="L97" s="102"/>
      <c r="M97" s="102"/>
      <c r="N97" s="71"/>
    </row>
    <row r="98" spans="1:14" ht="14.1" customHeight="1">
      <c r="A98" s="507"/>
      <c r="B98" s="505"/>
      <c r="C98" s="505"/>
      <c r="D98" s="505"/>
      <c r="E98" s="507"/>
      <c r="F98" s="98"/>
      <c r="G98" s="430" t="s">
        <v>10</v>
      </c>
      <c r="H98" s="79"/>
      <c r="I98" s="80">
        <v>5</v>
      </c>
      <c r="J98" s="81">
        <v>120</v>
      </c>
      <c r="K98" s="81">
        <f t="shared" si="26"/>
        <v>600</v>
      </c>
      <c r="L98" s="102"/>
      <c r="M98" s="102"/>
      <c r="N98" s="71"/>
    </row>
    <row r="99" spans="1:14" ht="14.1" customHeight="1">
      <c r="A99" s="507"/>
      <c r="B99" s="505"/>
      <c r="C99" s="505"/>
      <c r="D99" s="505"/>
      <c r="E99" s="504" t="s">
        <v>9</v>
      </c>
      <c r="F99" s="110">
        <f>SUM(F97:F98)</f>
        <v>4024.4479999999999</v>
      </c>
      <c r="G99" s="504"/>
      <c r="H99" s="504"/>
      <c r="I99" s="125"/>
      <c r="J99" s="97"/>
      <c r="K99" s="111">
        <f>SUM(K97:K98)</f>
        <v>4152</v>
      </c>
      <c r="L99" s="111">
        <f>K99/F99</f>
        <v>1.0316942845329347</v>
      </c>
      <c r="M99" s="102"/>
      <c r="N99" s="71"/>
    </row>
    <row r="100" spans="1:14" ht="14.1" customHeight="1">
      <c r="A100" s="507">
        <v>7</v>
      </c>
      <c r="B100" s="505" t="s">
        <v>1038</v>
      </c>
      <c r="C100" s="89" t="s">
        <v>766</v>
      </c>
      <c r="D100" s="89" t="s">
        <v>465</v>
      </c>
      <c r="E100" s="507"/>
      <c r="F100" s="90">
        <f>4380*1.0936</f>
        <v>4789.9679999999998</v>
      </c>
      <c r="G100" s="505" t="s">
        <v>24</v>
      </c>
      <c r="H100" s="79"/>
      <c r="I100" s="80">
        <v>58</v>
      </c>
      <c r="J100" s="81">
        <v>74</v>
      </c>
      <c r="K100" s="81">
        <f t="shared" ref="K100:K101" si="27">I100*J100</f>
        <v>4292</v>
      </c>
      <c r="L100" s="102"/>
      <c r="M100" s="102"/>
      <c r="N100" s="71"/>
    </row>
    <row r="101" spans="1:14" ht="14.1" customHeight="1">
      <c r="A101" s="507"/>
      <c r="B101" s="505"/>
      <c r="C101" s="505"/>
      <c r="D101" s="505"/>
      <c r="E101" s="507"/>
      <c r="F101" s="98"/>
      <c r="G101" s="430" t="s">
        <v>10</v>
      </c>
      <c r="H101" s="79"/>
      <c r="I101" s="80">
        <v>5</v>
      </c>
      <c r="J101" s="81">
        <v>120</v>
      </c>
      <c r="K101" s="81">
        <f t="shared" si="27"/>
        <v>600</v>
      </c>
      <c r="L101" s="102"/>
      <c r="M101" s="102"/>
      <c r="N101" s="71"/>
    </row>
    <row r="102" spans="1:14" ht="14.1" customHeight="1">
      <c r="A102" s="507"/>
      <c r="B102" s="505"/>
      <c r="C102" s="505"/>
      <c r="D102" s="505"/>
      <c r="E102" s="504" t="s">
        <v>9</v>
      </c>
      <c r="F102" s="110">
        <f>SUM(F100:F101)</f>
        <v>4789.9679999999998</v>
      </c>
      <c r="G102" s="504"/>
      <c r="H102" s="504"/>
      <c r="I102" s="125"/>
      <c r="J102" s="97"/>
      <c r="K102" s="111">
        <f>SUM(K100:K101)</f>
        <v>4892</v>
      </c>
      <c r="L102" s="111">
        <f>K102/F102</f>
        <v>1.0213011861457113</v>
      </c>
      <c r="M102" s="102"/>
      <c r="N102" s="71"/>
    </row>
    <row r="103" spans="1:14" ht="14.1" customHeight="1">
      <c r="A103" s="507">
        <v>8</v>
      </c>
      <c r="B103" s="505" t="s">
        <v>1036</v>
      </c>
      <c r="C103" s="89" t="s">
        <v>1026</v>
      </c>
      <c r="D103" s="89" t="s">
        <v>364</v>
      </c>
      <c r="E103" s="505"/>
      <c r="F103" s="90">
        <f>9915*1.0936</f>
        <v>10843.044</v>
      </c>
      <c r="G103" s="505" t="s">
        <v>24</v>
      </c>
      <c r="H103" s="79"/>
      <c r="I103" s="80">
        <v>125</v>
      </c>
      <c r="J103" s="81">
        <v>74</v>
      </c>
      <c r="K103" s="81">
        <f t="shared" ref="K103:K104" si="28">I103*J103</f>
        <v>9250</v>
      </c>
      <c r="L103" s="102"/>
      <c r="M103" s="102"/>
      <c r="N103" s="71"/>
    </row>
    <row r="104" spans="1:14" ht="14.1" customHeight="1">
      <c r="A104" s="507"/>
      <c r="B104" s="505"/>
      <c r="C104" s="505"/>
      <c r="D104" s="505"/>
      <c r="E104" s="507"/>
      <c r="F104" s="98"/>
      <c r="G104" s="430" t="s">
        <v>10</v>
      </c>
      <c r="H104" s="79"/>
      <c r="I104" s="80">
        <v>20</v>
      </c>
      <c r="J104" s="81">
        <v>120</v>
      </c>
      <c r="K104" s="81">
        <f t="shared" si="28"/>
        <v>2400</v>
      </c>
      <c r="L104" s="102"/>
      <c r="M104" s="102"/>
      <c r="N104" s="71"/>
    </row>
    <row r="105" spans="1:14" ht="14.1" customHeight="1">
      <c r="A105" s="85"/>
      <c r="B105" s="120"/>
      <c r="C105" s="120"/>
      <c r="D105" s="120"/>
      <c r="E105" s="234" t="s">
        <v>9</v>
      </c>
      <c r="F105" s="110">
        <f>SUM(F103:F104)</f>
        <v>10843.044</v>
      </c>
      <c r="G105" s="234"/>
      <c r="H105" s="234"/>
      <c r="I105" s="125"/>
      <c r="J105" s="97"/>
      <c r="K105" s="111">
        <f>SUM(K103:K104)</f>
        <v>11650</v>
      </c>
      <c r="L105" s="111">
        <f>K105/F105</f>
        <v>1.0744215369779926</v>
      </c>
      <c r="M105" s="102"/>
      <c r="N105" s="71"/>
    </row>
    <row r="106" spans="1:14" ht="14.1" customHeight="1">
      <c r="A106" s="71"/>
      <c r="B106" s="71"/>
      <c r="C106" s="71"/>
      <c r="D106" s="126" t="s">
        <v>30</v>
      </c>
      <c r="E106" s="126"/>
      <c r="F106" s="127">
        <f>F84+F87+F90+F93+F96+F99+F102+F105</f>
        <v>55071.508799999996</v>
      </c>
      <c r="G106" s="128"/>
      <c r="H106" s="128"/>
      <c r="I106" s="128"/>
      <c r="J106" s="128"/>
      <c r="K106" s="127">
        <f>K84+K87+K90+K93+K96+K99+K102+K105</f>
        <v>67962</v>
      </c>
      <c r="L106" s="129">
        <f>K106/F106</f>
        <v>1.2340682411083679</v>
      </c>
      <c r="M106" s="71"/>
      <c r="N106" s="71"/>
    </row>
    <row r="107" spans="1:14" ht="14.1" customHeight="1">
      <c r="A107" s="70" t="s">
        <v>16</v>
      </c>
      <c r="B107" s="70"/>
      <c r="C107" s="70"/>
      <c r="D107" s="70"/>
      <c r="E107" s="70"/>
      <c r="F107" s="71"/>
      <c r="G107" s="71"/>
      <c r="H107" s="71"/>
      <c r="I107" s="71"/>
      <c r="J107" s="71"/>
      <c r="K107" s="824" t="s">
        <v>1010</v>
      </c>
      <c r="L107" s="824"/>
      <c r="M107" s="824"/>
      <c r="N107" s="71"/>
    </row>
    <row r="108" spans="1:14" ht="14.1" customHeight="1">
      <c r="A108" s="235" t="s">
        <v>0</v>
      </c>
      <c r="B108" s="235" t="s">
        <v>7</v>
      </c>
      <c r="C108" s="235" t="s">
        <v>13</v>
      </c>
      <c r="D108" s="235" t="s">
        <v>14</v>
      </c>
      <c r="E108" s="235" t="s">
        <v>8</v>
      </c>
      <c r="F108" s="235" t="s">
        <v>1</v>
      </c>
      <c r="G108" s="235" t="s">
        <v>2</v>
      </c>
      <c r="H108" s="235" t="s">
        <v>15</v>
      </c>
      <c r="I108" s="235" t="s">
        <v>3</v>
      </c>
      <c r="J108" s="235" t="s">
        <v>4</v>
      </c>
      <c r="K108" s="235" t="s">
        <v>5</v>
      </c>
      <c r="L108" s="235" t="s">
        <v>12</v>
      </c>
      <c r="M108" s="235" t="s">
        <v>6</v>
      </c>
      <c r="N108" s="71"/>
    </row>
    <row r="109" spans="1:14" ht="14.1" customHeight="1">
      <c r="A109" s="120">
        <v>5352</v>
      </c>
      <c r="B109" s="120" t="s">
        <v>358</v>
      </c>
      <c r="C109" s="120" t="s">
        <v>121</v>
      </c>
      <c r="D109" s="120" t="s">
        <v>334</v>
      </c>
      <c r="E109" s="120" t="s">
        <v>404</v>
      </c>
      <c r="F109" s="87"/>
      <c r="G109" s="120" t="s">
        <v>498</v>
      </c>
      <c r="H109" s="120"/>
      <c r="I109" s="96"/>
      <c r="J109" s="94">
        <v>172</v>
      </c>
      <c r="K109" s="94">
        <f t="shared" ref="K109" si="29">I109*J109</f>
        <v>0</v>
      </c>
      <c r="L109" s="79"/>
      <c r="M109" s="162"/>
      <c r="N109" s="71"/>
    </row>
    <row r="110" spans="1:14" ht="14.1" customHeight="1">
      <c r="A110" s="120"/>
      <c r="B110" s="120"/>
      <c r="C110" s="120" t="s">
        <v>497</v>
      </c>
      <c r="D110" s="120"/>
      <c r="E110" s="120" t="s">
        <v>496</v>
      </c>
      <c r="F110" s="87"/>
      <c r="G110" s="120"/>
      <c r="H110" s="79"/>
      <c r="I110" s="80"/>
      <c r="J110" s="81"/>
      <c r="K110" s="81"/>
      <c r="L110" s="79"/>
      <c r="M110" s="79"/>
      <c r="N110" s="71"/>
    </row>
    <row r="111" spans="1:14" ht="14.1" customHeight="1">
      <c r="A111" s="120"/>
      <c r="B111" s="120"/>
      <c r="C111" s="120"/>
      <c r="D111" s="120"/>
      <c r="E111" s="235" t="s">
        <v>9</v>
      </c>
      <c r="F111" s="108">
        <f>SUM(F109:F110)</f>
        <v>0</v>
      </c>
      <c r="G111" s="235"/>
      <c r="H111" s="235"/>
      <c r="I111" s="80"/>
      <c r="J111" s="81"/>
      <c r="K111" s="103">
        <f>SUM(K109:K110)</f>
        <v>0</v>
      </c>
      <c r="L111" s="103" t="e">
        <f>K111/F111</f>
        <v>#DIV/0!</v>
      </c>
      <c r="M111" s="79"/>
      <c r="N111" s="71"/>
    </row>
    <row r="112" spans="1:14" ht="14.1" customHeight="1">
      <c r="A112" s="231"/>
      <c r="B112" s="231"/>
      <c r="C112" s="231"/>
      <c r="D112" s="126" t="s">
        <v>30</v>
      </c>
      <c r="E112" s="126"/>
      <c r="F112" s="127">
        <f>F111</f>
        <v>0</v>
      </c>
      <c r="G112" s="128"/>
      <c r="H112" s="128"/>
      <c r="I112" s="128"/>
      <c r="J112" s="128"/>
      <c r="K112" s="127">
        <f>K111</f>
        <v>0</v>
      </c>
      <c r="L112" s="129" t="e">
        <f>K112/F112</f>
        <v>#DIV/0!</v>
      </c>
      <c r="M112" s="131"/>
      <c r="N112" s="71"/>
    </row>
    <row r="113" spans="1:14" ht="14.1" customHeight="1">
      <c r="A113" s="70" t="s">
        <v>72</v>
      </c>
      <c r="B113" s="70"/>
      <c r="C113" s="70"/>
      <c r="D113" s="70"/>
      <c r="E113" s="70"/>
      <c r="F113" s="71"/>
      <c r="G113" s="71"/>
      <c r="H113" s="71"/>
      <c r="I113" s="140"/>
      <c r="J113" s="71"/>
      <c r="K113" s="824" t="s">
        <v>1010</v>
      </c>
      <c r="L113" s="824"/>
      <c r="M113" s="824"/>
      <c r="N113" s="71"/>
    </row>
    <row r="114" spans="1:14" ht="14.1" customHeight="1">
      <c r="A114" s="234" t="s">
        <v>0</v>
      </c>
      <c r="B114" s="234" t="s">
        <v>7</v>
      </c>
      <c r="C114" s="234" t="s">
        <v>13</v>
      </c>
      <c r="D114" s="234" t="s">
        <v>14</v>
      </c>
      <c r="E114" s="234" t="s">
        <v>8</v>
      </c>
      <c r="F114" s="234" t="s">
        <v>1</v>
      </c>
      <c r="G114" s="234" t="s">
        <v>2</v>
      </c>
      <c r="H114" s="234" t="s">
        <v>15</v>
      </c>
      <c r="I114" s="141" t="s">
        <v>3</v>
      </c>
      <c r="J114" s="234" t="s">
        <v>4</v>
      </c>
      <c r="K114" s="234" t="s">
        <v>5</v>
      </c>
      <c r="L114" s="234" t="s">
        <v>12</v>
      </c>
      <c r="M114" s="234" t="s">
        <v>6</v>
      </c>
      <c r="N114" s="123"/>
    </row>
    <row r="115" spans="1:14" ht="14.1" customHeight="1">
      <c r="A115" s="120">
        <v>9792</v>
      </c>
      <c r="B115" s="505" t="s">
        <v>771</v>
      </c>
      <c r="C115" s="89" t="s">
        <v>785</v>
      </c>
      <c r="D115" s="89" t="s">
        <v>684</v>
      </c>
      <c r="E115" s="505" t="s">
        <v>635</v>
      </c>
      <c r="F115" s="87">
        <f>300*1.0936</f>
        <v>328.08</v>
      </c>
      <c r="G115" s="514" t="s">
        <v>405</v>
      </c>
      <c r="H115" s="79"/>
      <c r="I115" s="80">
        <f>0.712+0.172</f>
        <v>0.8839999999999999</v>
      </c>
      <c r="J115" s="81">
        <v>1708</v>
      </c>
      <c r="K115" s="81">
        <f t="shared" ref="K115:K119" si="30">I115*J115</f>
        <v>1509.8719999999998</v>
      </c>
      <c r="L115" s="102"/>
      <c r="M115" s="2"/>
      <c r="N115" s="71"/>
    </row>
    <row r="116" spans="1:14" ht="14.1" customHeight="1">
      <c r="A116" s="85"/>
      <c r="B116" s="120"/>
      <c r="C116" s="120"/>
      <c r="D116" s="120"/>
      <c r="E116" s="505"/>
      <c r="F116" s="513"/>
      <c r="G116" s="514" t="s">
        <v>183</v>
      </c>
      <c r="H116" s="79"/>
      <c r="I116" s="80">
        <f>0.128+0.03</f>
        <v>0.158</v>
      </c>
      <c r="J116" s="81">
        <v>1600</v>
      </c>
      <c r="K116" s="81">
        <f t="shared" si="30"/>
        <v>252.8</v>
      </c>
      <c r="L116" s="102"/>
      <c r="M116" s="2"/>
      <c r="N116" s="71"/>
    </row>
    <row r="117" spans="1:14" ht="14.1" customHeight="1">
      <c r="A117" s="85"/>
      <c r="B117" s="85"/>
      <c r="C117" s="85"/>
      <c r="D117" s="85"/>
      <c r="E117" s="505"/>
      <c r="F117" s="87"/>
      <c r="G117" s="93" t="s">
        <v>315</v>
      </c>
      <c r="H117" s="79"/>
      <c r="I117" s="80">
        <f>0.268+0.067</f>
        <v>0.33500000000000002</v>
      </c>
      <c r="J117" s="81">
        <v>2184</v>
      </c>
      <c r="K117" s="81">
        <f t="shared" si="30"/>
        <v>731.6400000000001</v>
      </c>
      <c r="L117" s="102"/>
      <c r="M117" s="2"/>
      <c r="N117" s="71"/>
    </row>
    <row r="118" spans="1:14" ht="14.1" customHeight="1">
      <c r="A118" s="85"/>
      <c r="B118" s="85"/>
      <c r="C118" s="85"/>
      <c r="D118" s="85"/>
      <c r="E118" s="505"/>
      <c r="F118" s="87"/>
      <c r="G118" s="513" t="s">
        <v>184</v>
      </c>
      <c r="H118" s="513"/>
      <c r="I118" s="80">
        <v>1.5</v>
      </c>
      <c r="J118" s="81">
        <v>336</v>
      </c>
      <c r="K118" s="94">
        <f t="shared" si="30"/>
        <v>504</v>
      </c>
      <c r="L118" s="102"/>
      <c r="M118" s="2"/>
      <c r="N118" s="71"/>
    </row>
    <row r="119" spans="1:14" ht="14.1" customHeight="1">
      <c r="A119" s="85"/>
      <c r="B119" s="85"/>
      <c r="C119" s="85"/>
      <c r="D119" s="85"/>
      <c r="E119" s="505"/>
      <c r="F119" s="87"/>
      <c r="G119" s="95" t="s">
        <v>185</v>
      </c>
      <c r="H119" s="79"/>
      <c r="I119" s="96">
        <v>0.3</v>
      </c>
      <c r="J119" s="81">
        <v>490</v>
      </c>
      <c r="K119" s="81">
        <f t="shared" si="30"/>
        <v>147</v>
      </c>
      <c r="L119" s="102"/>
      <c r="M119" s="2"/>
      <c r="N119" s="71"/>
    </row>
    <row r="120" spans="1:14" ht="14.1" customHeight="1">
      <c r="A120" s="85"/>
      <c r="B120" s="85"/>
      <c r="C120" s="85"/>
      <c r="D120" s="85"/>
      <c r="E120" s="234" t="s">
        <v>9</v>
      </c>
      <c r="F120" s="110">
        <f>SUM(F115:F119)</f>
        <v>328.08</v>
      </c>
      <c r="G120" s="234"/>
      <c r="H120" s="234"/>
      <c r="I120" s="125"/>
      <c r="J120" s="97"/>
      <c r="K120" s="111">
        <f>SUM(K115:K119)</f>
        <v>3145.3119999999999</v>
      </c>
      <c r="L120" s="111">
        <f>K120/F120</f>
        <v>9.5870275542550605</v>
      </c>
      <c r="M120" s="102"/>
      <c r="N120" s="71"/>
    </row>
    <row r="121" spans="1:14" ht="14.1" customHeight="1">
      <c r="A121" s="120">
        <v>9793</v>
      </c>
      <c r="B121" s="505" t="s">
        <v>884</v>
      </c>
      <c r="C121" s="89" t="s">
        <v>918</v>
      </c>
      <c r="D121" s="89" t="s">
        <v>883</v>
      </c>
      <c r="E121" s="89" t="s">
        <v>694</v>
      </c>
      <c r="F121" s="87">
        <f>400*1.0936</f>
        <v>437.43999999999994</v>
      </c>
      <c r="G121" s="506" t="s">
        <v>314</v>
      </c>
      <c r="H121" s="79"/>
      <c r="I121" s="80">
        <v>0.216</v>
      </c>
      <c r="J121" s="81">
        <v>1695</v>
      </c>
      <c r="K121" s="81">
        <f t="shared" ref="K121:K127" si="31">I121*J121</f>
        <v>366.12</v>
      </c>
      <c r="L121" s="2"/>
      <c r="M121" s="102"/>
      <c r="N121" s="71"/>
    </row>
    <row r="122" spans="1:14" ht="14.1" customHeight="1">
      <c r="A122" s="85"/>
      <c r="B122" s="120"/>
      <c r="C122" s="120"/>
      <c r="D122" s="120"/>
      <c r="E122" s="89" t="s">
        <v>201</v>
      </c>
      <c r="F122" s="98"/>
      <c r="G122" s="91" t="s">
        <v>192</v>
      </c>
      <c r="H122" s="79"/>
      <c r="I122" s="80">
        <v>8.5000000000000006E-2</v>
      </c>
      <c r="J122" s="81">
        <v>1126</v>
      </c>
      <c r="K122" s="81">
        <f t="shared" si="31"/>
        <v>95.710000000000008</v>
      </c>
      <c r="L122" s="2"/>
      <c r="M122" s="102"/>
      <c r="N122" s="71"/>
    </row>
    <row r="123" spans="1:14" ht="14.1" customHeight="1">
      <c r="A123" s="85"/>
      <c r="B123" s="85"/>
      <c r="C123" s="85"/>
      <c r="D123" s="85"/>
      <c r="E123" s="3"/>
      <c r="F123" s="4"/>
      <c r="G123" s="93" t="s">
        <v>315</v>
      </c>
      <c r="H123" s="79"/>
      <c r="I123" s="80">
        <v>0.57599999999999996</v>
      </c>
      <c r="J123" s="81">
        <v>2184</v>
      </c>
      <c r="K123" s="81">
        <f t="shared" si="31"/>
        <v>1257.9839999999999</v>
      </c>
      <c r="L123" s="2"/>
      <c r="M123" s="102"/>
      <c r="N123" s="71"/>
    </row>
    <row r="124" spans="1:14" ht="14.1" customHeight="1">
      <c r="A124" s="85"/>
      <c r="B124" s="85"/>
      <c r="C124" s="85"/>
      <c r="D124" s="85"/>
      <c r="E124" s="3"/>
      <c r="F124" s="4"/>
      <c r="G124" s="505" t="s">
        <v>184</v>
      </c>
      <c r="H124" s="79"/>
      <c r="I124" s="80">
        <v>1.2</v>
      </c>
      <c r="J124" s="81">
        <v>336</v>
      </c>
      <c r="K124" s="81">
        <f t="shared" si="31"/>
        <v>403.2</v>
      </c>
      <c r="L124" s="2"/>
      <c r="M124" s="102"/>
      <c r="N124" s="71"/>
    </row>
    <row r="125" spans="1:14" ht="14.1" customHeight="1">
      <c r="A125" s="85"/>
      <c r="B125" s="85"/>
      <c r="C125" s="85"/>
      <c r="D125" s="85"/>
      <c r="E125" s="3"/>
      <c r="F125" s="4"/>
      <c r="G125" s="95" t="s">
        <v>185</v>
      </c>
      <c r="H125" s="79"/>
      <c r="I125" s="96">
        <v>0.25</v>
      </c>
      <c r="J125" s="81">
        <v>490</v>
      </c>
      <c r="K125" s="81">
        <f t="shared" si="31"/>
        <v>122.5</v>
      </c>
      <c r="L125" s="2"/>
      <c r="M125" s="102"/>
      <c r="N125" s="71"/>
    </row>
    <row r="126" spans="1:14" ht="14.1" customHeight="1">
      <c r="A126" s="85"/>
      <c r="B126" s="85"/>
      <c r="C126" s="85"/>
      <c r="D126" s="85"/>
      <c r="E126" s="3"/>
      <c r="F126" s="4"/>
      <c r="G126" s="505" t="s">
        <v>28</v>
      </c>
      <c r="H126" s="79"/>
      <c r="I126" s="80">
        <v>3.5</v>
      </c>
      <c r="J126" s="81">
        <v>17</v>
      </c>
      <c r="K126" s="81">
        <f t="shared" si="31"/>
        <v>59.5</v>
      </c>
      <c r="L126" s="2"/>
      <c r="M126" s="102"/>
      <c r="N126" s="71"/>
    </row>
    <row r="127" spans="1:14" ht="14.1" customHeight="1">
      <c r="A127" s="85"/>
      <c r="B127" s="85"/>
      <c r="C127" s="85"/>
      <c r="D127" s="85"/>
      <c r="E127" s="3"/>
      <c r="F127" s="4"/>
      <c r="G127" s="95" t="s">
        <v>899</v>
      </c>
      <c r="H127" s="79"/>
      <c r="I127" s="80">
        <v>2.5</v>
      </c>
      <c r="J127" s="81">
        <v>65</v>
      </c>
      <c r="K127" s="81">
        <f t="shared" si="31"/>
        <v>162.5</v>
      </c>
      <c r="L127" s="2"/>
      <c r="M127" s="102"/>
      <c r="N127" s="71"/>
    </row>
    <row r="128" spans="1:14" ht="14.1" customHeight="1">
      <c r="A128" s="85"/>
      <c r="B128" s="85"/>
      <c r="C128" s="85"/>
      <c r="D128" s="85"/>
      <c r="E128" s="234" t="s">
        <v>9</v>
      </c>
      <c r="F128" s="110">
        <f>SUM(F121:F127)</f>
        <v>437.43999999999994</v>
      </c>
      <c r="G128" s="234"/>
      <c r="H128" s="234"/>
      <c r="I128" s="125"/>
      <c r="J128" s="97"/>
      <c r="K128" s="111">
        <f>SUM(K121:K127)</f>
        <v>2467.5139999999997</v>
      </c>
      <c r="L128" s="111">
        <f>K128/F128</f>
        <v>5.6408055961960502</v>
      </c>
      <c r="M128" s="102"/>
      <c r="N128" s="71"/>
    </row>
    <row r="129" spans="1:14" ht="14.1" customHeight="1">
      <c r="A129" s="120">
        <v>9791</v>
      </c>
      <c r="B129" s="505" t="s">
        <v>1013</v>
      </c>
      <c r="C129" s="89" t="s">
        <v>766</v>
      </c>
      <c r="D129" s="89" t="s">
        <v>465</v>
      </c>
      <c r="E129" s="505" t="s">
        <v>1012</v>
      </c>
      <c r="F129" s="222">
        <f>180*1.0936</f>
        <v>196.84799999999998</v>
      </c>
      <c r="G129" s="506" t="s">
        <v>405</v>
      </c>
      <c r="H129" s="79"/>
      <c r="I129" s="80">
        <v>1.6E-2</v>
      </c>
      <c r="J129" s="81">
        <v>1708</v>
      </c>
      <c r="K129" s="81">
        <f t="shared" ref="K129:K141" si="32">I129*J129</f>
        <v>27.327999999999999</v>
      </c>
      <c r="L129" s="102"/>
      <c r="M129" s="102"/>
      <c r="N129" s="71"/>
    </row>
    <row r="130" spans="1:14" ht="14.1" customHeight="1">
      <c r="A130" s="85"/>
      <c r="B130" s="120"/>
      <c r="C130" s="120"/>
      <c r="D130" s="120"/>
      <c r="E130" s="3"/>
      <c r="F130" s="4"/>
      <c r="G130" s="506" t="s">
        <v>183</v>
      </c>
      <c r="H130" s="79"/>
      <c r="I130" s="80">
        <v>8.9999999999999993E-3</v>
      </c>
      <c r="J130" s="81">
        <v>1600</v>
      </c>
      <c r="K130" s="81">
        <f t="shared" si="32"/>
        <v>14.399999999999999</v>
      </c>
      <c r="L130" s="102"/>
      <c r="M130" s="102"/>
      <c r="N130" s="71"/>
    </row>
    <row r="131" spans="1:14" ht="14.1" customHeight="1">
      <c r="A131" s="85"/>
      <c r="B131" s="120"/>
      <c r="C131" s="120"/>
      <c r="D131" s="120"/>
      <c r="E131" s="3"/>
      <c r="F131" s="4"/>
      <c r="G131" s="93" t="s">
        <v>315</v>
      </c>
      <c r="H131" s="79"/>
      <c r="I131" s="80">
        <v>2.5000000000000001E-2</v>
      </c>
      <c r="J131" s="81">
        <v>2184</v>
      </c>
      <c r="K131" s="81">
        <f t="shared" si="32"/>
        <v>54.6</v>
      </c>
      <c r="L131" s="102"/>
      <c r="M131" s="102"/>
      <c r="N131" s="71"/>
    </row>
    <row r="132" spans="1:14" ht="14.1" customHeight="1">
      <c r="A132" s="85"/>
      <c r="B132" s="85"/>
      <c r="C132" s="85"/>
      <c r="D132" s="85"/>
      <c r="E132" s="3"/>
      <c r="F132" s="4"/>
      <c r="G132" s="505" t="s">
        <v>184</v>
      </c>
      <c r="H132" s="79"/>
      <c r="I132" s="80">
        <v>0.5</v>
      </c>
      <c r="J132" s="81">
        <v>336</v>
      </c>
      <c r="K132" s="81">
        <f t="shared" si="32"/>
        <v>168</v>
      </c>
      <c r="L132" s="6"/>
      <c r="M132" s="102"/>
      <c r="N132" s="71"/>
    </row>
    <row r="133" spans="1:14" ht="14.1" customHeight="1">
      <c r="A133" s="85"/>
      <c r="B133" s="85"/>
      <c r="C133" s="85"/>
      <c r="D133" s="85"/>
      <c r="E133" s="3"/>
      <c r="F133" s="4"/>
      <c r="G133" s="95" t="s">
        <v>185</v>
      </c>
      <c r="H133" s="79"/>
      <c r="I133" s="96">
        <v>0.1</v>
      </c>
      <c r="J133" s="81">
        <v>490</v>
      </c>
      <c r="K133" s="81">
        <f t="shared" si="32"/>
        <v>49</v>
      </c>
      <c r="L133" s="6"/>
      <c r="M133" s="102"/>
      <c r="N133" s="71"/>
    </row>
    <row r="134" spans="1:14" ht="14.1" customHeight="1">
      <c r="A134" s="507"/>
      <c r="B134" s="507"/>
      <c r="C134" s="507"/>
      <c r="D134" s="507"/>
      <c r="E134" s="504" t="s">
        <v>9</v>
      </c>
      <c r="F134" s="110">
        <f>SUM(F129:F133)</f>
        <v>196.84799999999998</v>
      </c>
      <c r="G134" s="504"/>
      <c r="H134" s="504"/>
      <c r="I134" s="125"/>
      <c r="J134" s="97"/>
      <c r="K134" s="111">
        <f>SUM(K129:K133)</f>
        <v>313.32799999999997</v>
      </c>
      <c r="L134" s="111">
        <f>K134/F134</f>
        <v>1.5917255953832399</v>
      </c>
      <c r="M134" s="102"/>
      <c r="N134" s="71"/>
    </row>
    <row r="135" spans="1:14" ht="14.1" customHeight="1">
      <c r="A135" s="507">
        <v>9788</v>
      </c>
      <c r="B135" s="505" t="s">
        <v>1014</v>
      </c>
      <c r="C135" s="505" t="s">
        <v>792</v>
      </c>
      <c r="D135" s="505" t="s">
        <v>1016</v>
      </c>
      <c r="E135" s="505" t="s">
        <v>1015</v>
      </c>
      <c r="F135" s="90">
        <f>7500*1.0936</f>
        <v>8202</v>
      </c>
      <c r="G135" s="95" t="s">
        <v>285</v>
      </c>
      <c r="H135" s="79"/>
      <c r="I135" s="96">
        <f>0.01+0.26+0.026</f>
        <v>0.29600000000000004</v>
      </c>
      <c r="J135" s="81">
        <v>2060</v>
      </c>
      <c r="K135" s="81">
        <f t="shared" si="32"/>
        <v>609.7600000000001</v>
      </c>
      <c r="L135" s="6"/>
      <c r="M135" s="102"/>
      <c r="N135" s="71"/>
    </row>
    <row r="136" spans="1:14" ht="14.1" customHeight="1">
      <c r="A136" s="507"/>
      <c r="B136" s="507"/>
      <c r="C136" s="507"/>
      <c r="D136" s="507"/>
      <c r="E136" s="3"/>
      <c r="F136" s="4"/>
      <c r="G136" s="91" t="s">
        <v>195</v>
      </c>
      <c r="H136" s="79"/>
      <c r="I136" s="80">
        <f>0.017+0.05+0.042</f>
        <v>0.10900000000000001</v>
      </c>
      <c r="J136" s="81">
        <v>645</v>
      </c>
      <c r="K136" s="81">
        <f t="shared" si="32"/>
        <v>70.305000000000007</v>
      </c>
      <c r="L136" s="102"/>
      <c r="M136" s="102"/>
      <c r="N136" s="71"/>
    </row>
    <row r="137" spans="1:14" ht="14.1" customHeight="1">
      <c r="A137" s="507"/>
      <c r="B137" s="507"/>
      <c r="C137" s="507"/>
      <c r="D137" s="507"/>
      <c r="E137" s="3"/>
      <c r="F137" s="4"/>
      <c r="G137" s="91" t="s">
        <v>191</v>
      </c>
      <c r="H137" s="79"/>
      <c r="I137" s="80">
        <f>0.16+4+0.88</f>
        <v>5.04</v>
      </c>
      <c r="J137" s="81">
        <v>1628</v>
      </c>
      <c r="K137" s="81">
        <f t="shared" si="32"/>
        <v>8205.1200000000008</v>
      </c>
      <c r="L137" s="102"/>
      <c r="M137" s="102"/>
      <c r="N137" s="71"/>
    </row>
    <row r="138" spans="1:14" ht="14.1" customHeight="1">
      <c r="A138" s="512"/>
      <c r="B138" s="512"/>
      <c r="C138" s="512"/>
      <c r="D138" s="512"/>
      <c r="E138" s="3"/>
      <c r="F138" s="4"/>
      <c r="G138" s="91" t="s">
        <v>196</v>
      </c>
      <c r="H138" s="79"/>
      <c r="I138" s="80">
        <v>0.04</v>
      </c>
      <c r="J138" s="81">
        <v>888</v>
      </c>
      <c r="K138" s="81">
        <f t="shared" si="32"/>
        <v>35.520000000000003</v>
      </c>
      <c r="L138" s="79"/>
      <c r="M138" s="102"/>
      <c r="N138" s="71"/>
    </row>
    <row r="139" spans="1:14" ht="14.1" customHeight="1">
      <c r="A139" s="512"/>
      <c r="B139" s="512"/>
      <c r="C139" s="512"/>
      <c r="D139" s="512"/>
      <c r="E139" s="3"/>
      <c r="F139" s="4"/>
      <c r="G139" s="91" t="s">
        <v>282</v>
      </c>
      <c r="H139" s="79"/>
      <c r="I139" s="80">
        <v>0.2</v>
      </c>
      <c r="J139" s="81">
        <v>840</v>
      </c>
      <c r="K139" s="81">
        <f t="shared" si="32"/>
        <v>168</v>
      </c>
      <c r="L139" s="79"/>
      <c r="M139" s="102"/>
      <c r="N139" s="71"/>
    </row>
    <row r="140" spans="1:14" ht="14.1" customHeight="1">
      <c r="A140" s="507"/>
      <c r="B140" s="507"/>
      <c r="C140" s="507"/>
      <c r="D140" s="507"/>
      <c r="E140" s="3"/>
      <c r="F140" s="4"/>
      <c r="G140" s="505" t="s">
        <v>184</v>
      </c>
      <c r="H140" s="505"/>
      <c r="I140" s="80">
        <v>5</v>
      </c>
      <c r="J140" s="81">
        <v>336</v>
      </c>
      <c r="K140" s="94">
        <f t="shared" si="32"/>
        <v>1680</v>
      </c>
      <c r="L140" s="102"/>
      <c r="M140" s="102"/>
      <c r="N140" s="71"/>
    </row>
    <row r="141" spans="1:14" ht="14.1" customHeight="1">
      <c r="A141" s="507"/>
      <c r="B141" s="507"/>
      <c r="C141" s="507"/>
      <c r="D141" s="507"/>
      <c r="E141" s="3"/>
      <c r="F141" s="4"/>
      <c r="G141" s="95" t="s">
        <v>185</v>
      </c>
      <c r="H141" s="79"/>
      <c r="I141" s="96">
        <v>1</v>
      </c>
      <c r="J141" s="81">
        <v>490</v>
      </c>
      <c r="K141" s="81">
        <f t="shared" si="32"/>
        <v>490</v>
      </c>
      <c r="L141" s="102"/>
      <c r="M141" s="102"/>
      <c r="N141" s="71"/>
    </row>
    <row r="142" spans="1:14" ht="14.1" customHeight="1">
      <c r="A142" s="507"/>
      <c r="B142" s="507"/>
      <c r="C142" s="507"/>
      <c r="D142" s="507"/>
      <c r="E142" s="504" t="s">
        <v>9</v>
      </c>
      <c r="F142" s="110">
        <f>SUM(F135:F141)</f>
        <v>8202</v>
      </c>
      <c r="G142" s="504"/>
      <c r="H142" s="504"/>
      <c r="I142" s="125"/>
      <c r="J142" s="97"/>
      <c r="K142" s="111">
        <f>SUM(K135:K141)</f>
        <v>11258.705000000002</v>
      </c>
      <c r="L142" s="111">
        <f>K142/F142</f>
        <v>1.3726780053645455</v>
      </c>
      <c r="M142" s="102"/>
      <c r="N142" s="71"/>
    </row>
    <row r="143" spans="1:14" ht="14.1" customHeight="1">
      <c r="A143" s="507">
        <v>9779</v>
      </c>
      <c r="B143" s="505" t="s">
        <v>985</v>
      </c>
      <c r="C143" s="505" t="s">
        <v>278</v>
      </c>
      <c r="D143" s="505" t="s">
        <v>467</v>
      </c>
      <c r="E143" s="505" t="s">
        <v>127</v>
      </c>
      <c r="F143" s="99">
        <f>50*1.0936</f>
        <v>54.679999999999993</v>
      </c>
      <c r="G143" s="506" t="s">
        <v>405</v>
      </c>
      <c r="H143" s="79"/>
      <c r="I143" s="80">
        <v>0.22</v>
      </c>
      <c r="J143" s="81">
        <v>1708</v>
      </c>
      <c r="K143" s="81">
        <f t="shared" ref="K143:K147" si="33">I143*J143</f>
        <v>375.76</v>
      </c>
      <c r="L143" s="79"/>
      <c r="M143" s="102"/>
      <c r="N143" s="71"/>
    </row>
    <row r="144" spans="1:14" ht="14.1" customHeight="1">
      <c r="A144" s="507"/>
      <c r="B144" s="505"/>
      <c r="C144" s="505"/>
      <c r="D144" s="505"/>
      <c r="E144" s="505"/>
      <c r="F144" s="87"/>
      <c r="G144" s="91" t="s">
        <v>926</v>
      </c>
      <c r="H144" s="79"/>
      <c r="I144" s="80">
        <v>0.115</v>
      </c>
      <c r="J144" s="81">
        <v>2152</v>
      </c>
      <c r="K144" s="81">
        <f t="shared" si="33"/>
        <v>247.48000000000002</v>
      </c>
      <c r="L144" s="79"/>
      <c r="M144" s="102"/>
      <c r="N144" s="71"/>
    </row>
    <row r="145" spans="1:14" ht="14.1" customHeight="1">
      <c r="A145" s="507"/>
      <c r="B145" s="505"/>
      <c r="C145" s="505"/>
      <c r="D145" s="505"/>
      <c r="E145" s="273"/>
      <c r="F145" s="108"/>
      <c r="G145" s="93" t="s">
        <v>315</v>
      </c>
      <c r="H145" s="79"/>
      <c r="I145" s="80">
        <v>0.28799999999999998</v>
      </c>
      <c r="J145" s="81">
        <v>2184</v>
      </c>
      <c r="K145" s="81">
        <f t="shared" si="33"/>
        <v>628.99199999999996</v>
      </c>
      <c r="L145" s="79"/>
      <c r="M145" s="102"/>
      <c r="N145" s="71"/>
    </row>
    <row r="146" spans="1:14" ht="14.1" customHeight="1">
      <c r="A146" s="507"/>
      <c r="B146" s="505"/>
      <c r="C146" s="505"/>
      <c r="D146" s="505"/>
      <c r="E146" s="273"/>
      <c r="F146" s="108"/>
      <c r="G146" s="505" t="s">
        <v>184</v>
      </c>
      <c r="H146" s="505"/>
      <c r="I146" s="80">
        <v>0.6</v>
      </c>
      <c r="J146" s="81">
        <v>336</v>
      </c>
      <c r="K146" s="94">
        <f t="shared" si="33"/>
        <v>201.6</v>
      </c>
      <c r="L146" s="79"/>
      <c r="M146" s="102"/>
      <c r="N146" s="71"/>
    </row>
    <row r="147" spans="1:14" ht="14.1" customHeight="1">
      <c r="A147" s="507"/>
      <c r="B147" s="505"/>
      <c r="C147" s="505"/>
      <c r="D147" s="505"/>
      <c r="E147" s="273"/>
      <c r="F147" s="108"/>
      <c r="G147" s="95" t="s">
        <v>185</v>
      </c>
      <c r="H147" s="79"/>
      <c r="I147" s="96">
        <v>0.12</v>
      </c>
      <c r="J147" s="81">
        <v>490</v>
      </c>
      <c r="K147" s="81">
        <f t="shared" si="33"/>
        <v>58.8</v>
      </c>
      <c r="L147" s="79"/>
      <c r="M147" s="102"/>
      <c r="N147" s="71"/>
    </row>
    <row r="148" spans="1:14" ht="14.1" customHeight="1">
      <c r="A148" s="507"/>
      <c r="B148" s="507"/>
      <c r="C148" s="507"/>
      <c r="D148" s="507"/>
      <c r="E148" s="504" t="s">
        <v>9</v>
      </c>
      <c r="F148" s="110">
        <f>SUM(F143:F147)</f>
        <v>54.679999999999993</v>
      </c>
      <c r="G148" s="504"/>
      <c r="H148" s="504"/>
      <c r="I148" s="125"/>
      <c r="J148" s="97"/>
      <c r="K148" s="111">
        <f>SUM(K143:K147)</f>
        <v>1512.6319999999998</v>
      </c>
      <c r="L148" s="111">
        <f>K148/F148</f>
        <v>27.663350402340892</v>
      </c>
      <c r="M148" s="102"/>
      <c r="N148" s="71"/>
    </row>
    <row r="149" spans="1:14" ht="14.1" customHeight="1">
      <c r="A149" s="507">
        <v>9785</v>
      </c>
      <c r="B149" s="505" t="s">
        <v>1017</v>
      </c>
      <c r="C149" s="89" t="s">
        <v>115</v>
      </c>
      <c r="D149" s="89" t="s">
        <v>113</v>
      </c>
      <c r="E149" s="505" t="s">
        <v>102</v>
      </c>
      <c r="F149" s="99">
        <f>2420*1.0936</f>
        <v>2646.5119999999997</v>
      </c>
      <c r="G149" s="91" t="s">
        <v>281</v>
      </c>
      <c r="H149" s="79"/>
      <c r="I149" s="80">
        <f>18+1.017+0.333+0.37+0.12</f>
        <v>19.84</v>
      </c>
      <c r="J149" s="81">
        <v>1035</v>
      </c>
      <c r="K149" s="81">
        <f t="shared" ref="K149:K150" si="34">I149*J149</f>
        <v>20534.400000000001</v>
      </c>
      <c r="L149" s="79"/>
      <c r="M149" s="102"/>
      <c r="N149" s="71"/>
    </row>
    <row r="150" spans="1:14" ht="14.1" customHeight="1">
      <c r="A150" s="507"/>
      <c r="B150" s="505"/>
      <c r="C150" s="505"/>
      <c r="D150" s="505"/>
      <c r="E150" s="505"/>
      <c r="F150" s="87"/>
      <c r="G150" s="91" t="s">
        <v>282</v>
      </c>
      <c r="H150" s="79"/>
      <c r="I150" s="80">
        <f>10.2+5.1+0.816+3.1+0.2+0.64</f>
        <v>20.056000000000001</v>
      </c>
      <c r="J150" s="81">
        <v>840</v>
      </c>
      <c r="K150" s="81">
        <f t="shared" si="34"/>
        <v>16847.04</v>
      </c>
      <c r="L150" s="79"/>
      <c r="M150" s="102"/>
      <c r="N150" s="71"/>
    </row>
    <row r="151" spans="1:14" ht="14.1" customHeight="1">
      <c r="A151" s="507"/>
      <c r="B151" s="505"/>
      <c r="C151" s="505"/>
      <c r="D151" s="505"/>
      <c r="E151" s="505"/>
      <c r="F151" s="87"/>
      <c r="G151" s="91" t="s">
        <v>191</v>
      </c>
      <c r="H151" s="79"/>
      <c r="I151" s="80">
        <f>5.1+2.55+0.408</f>
        <v>8.0579999999999998</v>
      </c>
      <c r="J151" s="81">
        <v>1628</v>
      </c>
      <c r="K151" s="81">
        <f t="shared" ref="K151:K156" si="35">I151*J151</f>
        <v>13118.423999999999</v>
      </c>
      <c r="L151" s="79"/>
      <c r="M151" s="102"/>
      <c r="N151" s="71"/>
    </row>
    <row r="152" spans="1:14" ht="14.1" customHeight="1">
      <c r="A152" s="507"/>
      <c r="B152" s="505"/>
      <c r="C152" s="505"/>
      <c r="D152" s="505"/>
      <c r="E152" s="505"/>
      <c r="F152" s="87"/>
      <c r="G152" s="91" t="s">
        <v>196</v>
      </c>
      <c r="H152" s="79"/>
      <c r="I152" s="80">
        <f>0.3+0.08</f>
        <v>0.38</v>
      </c>
      <c r="J152" s="81">
        <v>888</v>
      </c>
      <c r="K152" s="81">
        <f t="shared" si="35"/>
        <v>337.44</v>
      </c>
      <c r="L152" s="79"/>
      <c r="M152" s="102"/>
      <c r="N152" s="71"/>
    </row>
    <row r="153" spans="1:14" ht="14.1" customHeight="1">
      <c r="A153" s="507"/>
      <c r="B153" s="505"/>
      <c r="C153" s="505"/>
      <c r="D153" s="505"/>
      <c r="E153" s="505"/>
      <c r="F153" s="87"/>
      <c r="G153" s="506" t="s">
        <v>405</v>
      </c>
      <c r="H153" s="79"/>
      <c r="I153" s="80">
        <v>1.26</v>
      </c>
      <c r="J153" s="81">
        <v>1708</v>
      </c>
      <c r="K153" s="81">
        <f t="shared" si="35"/>
        <v>2152.08</v>
      </c>
      <c r="L153" s="79"/>
      <c r="M153" s="102"/>
      <c r="N153" s="71"/>
    </row>
    <row r="154" spans="1:14" ht="14.1" customHeight="1">
      <c r="A154" s="507"/>
      <c r="B154" s="505"/>
      <c r="C154" s="505"/>
      <c r="D154" s="505"/>
      <c r="E154" s="505"/>
      <c r="F154" s="87"/>
      <c r="G154" s="91" t="s">
        <v>192</v>
      </c>
      <c r="H154" s="79"/>
      <c r="I154" s="80">
        <v>1.05</v>
      </c>
      <c r="J154" s="81">
        <v>1126</v>
      </c>
      <c r="K154" s="81">
        <f t="shared" si="35"/>
        <v>1182.3</v>
      </c>
      <c r="L154" s="79"/>
      <c r="M154" s="102"/>
      <c r="N154" s="71"/>
    </row>
    <row r="155" spans="1:14" ht="14.1" customHeight="1">
      <c r="A155" s="507"/>
      <c r="B155" s="505"/>
      <c r="C155" s="505"/>
      <c r="D155" s="505"/>
      <c r="E155" s="505"/>
      <c r="F155" s="87"/>
      <c r="G155" s="505" t="s">
        <v>184</v>
      </c>
      <c r="H155" s="505"/>
      <c r="I155" s="80">
        <f>5+2.5</f>
        <v>7.5</v>
      </c>
      <c r="J155" s="81">
        <v>336</v>
      </c>
      <c r="K155" s="94">
        <f t="shared" si="35"/>
        <v>2520</v>
      </c>
      <c r="L155" s="79"/>
      <c r="M155" s="102"/>
      <c r="N155" s="71"/>
    </row>
    <row r="156" spans="1:14" ht="14.1" customHeight="1">
      <c r="A156" s="507"/>
      <c r="B156" s="505"/>
      <c r="C156" s="505"/>
      <c r="D156" s="505"/>
      <c r="E156" s="505"/>
      <c r="F156" s="87"/>
      <c r="G156" s="95" t="s">
        <v>185</v>
      </c>
      <c r="H156" s="79"/>
      <c r="I156" s="96">
        <f>1.45</f>
        <v>1.45</v>
      </c>
      <c r="J156" s="81">
        <v>490</v>
      </c>
      <c r="K156" s="81">
        <f t="shared" si="35"/>
        <v>710.5</v>
      </c>
      <c r="L156" s="79"/>
      <c r="M156" s="102"/>
      <c r="N156" s="71"/>
    </row>
    <row r="157" spans="1:14" ht="14.1" customHeight="1">
      <c r="A157" s="85"/>
      <c r="B157" s="85"/>
      <c r="C157" s="85"/>
      <c r="D157" s="85"/>
      <c r="E157" s="234" t="s">
        <v>9</v>
      </c>
      <c r="F157" s="110">
        <f>SUM(F149:F156)</f>
        <v>2646.5119999999997</v>
      </c>
      <c r="G157" s="234"/>
      <c r="H157" s="234"/>
      <c r="I157" s="125"/>
      <c r="J157" s="97"/>
      <c r="K157" s="111">
        <f>SUM(K149:K156)</f>
        <v>57402.184000000008</v>
      </c>
      <c r="L157" s="175">
        <f>K157/F157</f>
        <v>21.689750131493835</v>
      </c>
      <c r="M157" s="102"/>
      <c r="N157" s="71"/>
    </row>
    <row r="158" spans="1:14" ht="14.1" customHeight="1">
      <c r="A158" s="231"/>
      <c r="B158" s="231"/>
      <c r="C158" s="231"/>
      <c r="D158" s="126" t="s">
        <v>30</v>
      </c>
      <c r="E158" s="126"/>
      <c r="F158" s="127">
        <f>F120+F128+F134+F142+F148+F157</f>
        <v>11865.560000000001</v>
      </c>
      <c r="G158" s="128"/>
      <c r="H158" s="128"/>
      <c r="I158" s="128"/>
      <c r="J158" s="128"/>
      <c r="K158" s="127">
        <f>K120+K128+K134+K142+K148+K157</f>
        <v>76099.675000000017</v>
      </c>
      <c r="L158" s="129">
        <f>K158/F158</f>
        <v>6.4134920728562337</v>
      </c>
      <c r="M158" s="131"/>
      <c r="N158" s="71"/>
    </row>
    <row r="159" spans="1:14" ht="14.1" customHeight="1">
      <c r="A159" s="70" t="s">
        <v>40</v>
      </c>
      <c r="B159" s="70"/>
      <c r="C159" s="70"/>
      <c r="D159" s="70"/>
      <c r="E159" s="70"/>
      <c r="F159" s="71"/>
      <c r="G159" s="71"/>
      <c r="H159" s="71"/>
      <c r="I159" s="140"/>
      <c r="J159" s="71"/>
      <c r="K159" s="824" t="s">
        <v>1010</v>
      </c>
      <c r="L159" s="824"/>
      <c r="M159" s="824"/>
      <c r="N159" s="71"/>
    </row>
    <row r="160" spans="1:14" ht="14.1" customHeight="1">
      <c r="A160" s="234" t="s">
        <v>0</v>
      </c>
      <c r="B160" s="234" t="s">
        <v>7</v>
      </c>
      <c r="C160" s="234" t="s">
        <v>13</v>
      </c>
      <c r="D160" s="234" t="s">
        <v>14</v>
      </c>
      <c r="E160" s="234" t="s">
        <v>8</v>
      </c>
      <c r="F160" s="234" t="s">
        <v>1</v>
      </c>
      <c r="G160" s="234" t="s">
        <v>2</v>
      </c>
      <c r="H160" s="234" t="s">
        <v>15</v>
      </c>
      <c r="I160" s="141" t="s">
        <v>3</v>
      </c>
      <c r="J160" s="234" t="s">
        <v>4</v>
      </c>
      <c r="K160" s="234" t="s">
        <v>5</v>
      </c>
      <c r="L160" s="234" t="s">
        <v>12</v>
      </c>
      <c r="M160" s="234" t="s">
        <v>6</v>
      </c>
      <c r="N160" s="123"/>
    </row>
    <row r="161" spans="1:14" ht="14.1" customHeight="1">
      <c r="A161" s="120">
        <v>7386</v>
      </c>
      <c r="B161" s="505" t="s">
        <v>875</v>
      </c>
      <c r="C161" s="505" t="s">
        <v>233</v>
      </c>
      <c r="D161" s="89" t="s">
        <v>905</v>
      </c>
      <c r="E161" s="505" t="s">
        <v>876</v>
      </c>
      <c r="F161" s="87">
        <f>5540*1.0936</f>
        <v>6058.5439999999999</v>
      </c>
      <c r="G161" s="505" t="s">
        <v>25</v>
      </c>
      <c r="H161" s="79"/>
      <c r="I161" s="80">
        <v>80</v>
      </c>
      <c r="J161" s="81">
        <v>172</v>
      </c>
      <c r="K161" s="81">
        <f t="shared" ref="K161:K162" si="36">I161*J161</f>
        <v>13760</v>
      </c>
      <c r="L161" s="85"/>
      <c r="M161" s="85"/>
      <c r="N161" s="230"/>
    </row>
    <row r="162" spans="1:14" ht="14.1" customHeight="1">
      <c r="A162" s="85"/>
      <c r="B162" s="85"/>
      <c r="C162" s="85"/>
      <c r="D162" s="85"/>
      <c r="E162" s="85"/>
      <c r="F162" s="85"/>
      <c r="G162" s="120" t="s">
        <v>19</v>
      </c>
      <c r="H162" s="79"/>
      <c r="I162" s="80">
        <v>80</v>
      </c>
      <c r="J162" s="81">
        <v>74</v>
      </c>
      <c r="K162" s="81">
        <f t="shared" si="36"/>
        <v>5920</v>
      </c>
      <c r="L162" s="85"/>
      <c r="M162" s="85"/>
      <c r="N162" s="230"/>
    </row>
    <row r="163" spans="1:14" ht="14.1" customHeight="1">
      <c r="A163" s="85"/>
      <c r="B163" s="85"/>
      <c r="C163" s="85"/>
      <c r="D163" s="85"/>
      <c r="E163" s="234" t="s">
        <v>9</v>
      </c>
      <c r="F163" s="110">
        <f>SUM(F161:F162)</f>
        <v>6058.5439999999999</v>
      </c>
      <c r="G163" s="234"/>
      <c r="H163" s="234"/>
      <c r="I163" s="125"/>
      <c r="J163" s="97"/>
      <c r="K163" s="111">
        <f>SUM(K161:K162)</f>
        <v>19680</v>
      </c>
      <c r="L163" s="111">
        <f>K163/F163</f>
        <v>3.248305203362392</v>
      </c>
      <c r="M163" s="102"/>
      <c r="N163" s="71"/>
    </row>
    <row r="164" spans="1:14" ht="14.1" customHeight="1">
      <c r="A164" s="85">
        <v>9914</v>
      </c>
      <c r="B164" s="505" t="s">
        <v>269</v>
      </c>
      <c r="C164" s="120"/>
      <c r="D164" s="120"/>
      <c r="E164" s="120"/>
      <c r="F164" s="87">
        <f>200*1.0936</f>
        <v>218.71999999999997</v>
      </c>
      <c r="G164" s="120" t="s">
        <v>27</v>
      </c>
      <c r="H164" s="79"/>
      <c r="I164" s="80">
        <v>25</v>
      </c>
      <c r="J164" s="81">
        <v>22</v>
      </c>
      <c r="K164" s="81">
        <f t="shared" ref="K164:K166" si="37">I164*J164</f>
        <v>550</v>
      </c>
      <c r="L164" s="85"/>
      <c r="M164" s="85"/>
      <c r="N164" s="230"/>
    </row>
    <row r="165" spans="1:14" ht="14.1" customHeight="1">
      <c r="A165" s="85"/>
      <c r="B165" s="120"/>
      <c r="C165" s="120"/>
      <c r="D165" s="120"/>
      <c r="E165" s="120"/>
      <c r="F165" s="98"/>
      <c r="G165" s="83" t="s">
        <v>49</v>
      </c>
      <c r="H165" s="79"/>
      <c r="I165" s="80">
        <v>2</v>
      </c>
      <c r="J165" s="81">
        <v>34</v>
      </c>
      <c r="K165" s="81">
        <f t="shared" si="37"/>
        <v>68</v>
      </c>
      <c r="L165" s="85"/>
      <c r="M165" s="85"/>
      <c r="N165" s="230"/>
    </row>
    <row r="166" spans="1:14" ht="14.1" customHeight="1">
      <c r="A166" s="85"/>
      <c r="B166" s="85"/>
      <c r="C166" s="85"/>
      <c r="D166" s="85"/>
      <c r="E166" s="85"/>
      <c r="F166" s="85"/>
      <c r="G166" s="120" t="s">
        <v>19</v>
      </c>
      <c r="H166" s="79"/>
      <c r="I166" s="80">
        <v>0.6</v>
      </c>
      <c r="J166" s="81">
        <v>74</v>
      </c>
      <c r="K166" s="81">
        <f t="shared" si="37"/>
        <v>44.4</v>
      </c>
      <c r="L166" s="85"/>
      <c r="M166" s="85"/>
      <c r="N166" s="230"/>
    </row>
    <row r="167" spans="1:14" ht="14.1" customHeight="1">
      <c r="A167" s="85"/>
      <c r="B167" s="85"/>
      <c r="C167" s="85"/>
      <c r="D167" s="85"/>
      <c r="E167" s="234" t="s">
        <v>9</v>
      </c>
      <c r="F167" s="110">
        <f>SUM(F164:F166)</f>
        <v>218.71999999999997</v>
      </c>
      <c r="G167" s="234"/>
      <c r="H167" s="234"/>
      <c r="I167" s="125"/>
      <c r="J167" s="97"/>
      <c r="K167" s="111">
        <f>SUM(K164:K166)</f>
        <v>662.4</v>
      </c>
      <c r="L167" s="111">
        <f>K167/F167</f>
        <v>3.0285296269202635</v>
      </c>
      <c r="M167" s="102"/>
      <c r="N167" s="71"/>
    </row>
    <row r="168" spans="1:14" ht="14.1" customHeight="1">
      <c r="A168" s="85">
        <v>9949</v>
      </c>
      <c r="B168" s="505" t="s">
        <v>990</v>
      </c>
      <c r="C168" s="89" t="s">
        <v>766</v>
      </c>
      <c r="D168" s="89" t="s">
        <v>465</v>
      </c>
      <c r="E168" s="505" t="s">
        <v>232</v>
      </c>
      <c r="F168" s="99">
        <f>330*1.0936</f>
        <v>360.88799999999998</v>
      </c>
      <c r="G168" s="505" t="s">
        <v>76</v>
      </c>
      <c r="H168" s="79"/>
      <c r="I168" s="80">
        <v>6</v>
      </c>
      <c r="J168" s="81">
        <v>15</v>
      </c>
      <c r="K168" s="81">
        <f t="shared" ref="K168:K170" si="38">I168*J168</f>
        <v>90</v>
      </c>
      <c r="L168" s="505"/>
      <c r="M168" s="85"/>
      <c r="N168" s="230"/>
    </row>
    <row r="169" spans="1:14" ht="14.1" customHeight="1">
      <c r="A169" s="85"/>
      <c r="B169" s="120"/>
      <c r="C169" s="120"/>
      <c r="D169" s="120"/>
      <c r="E169" s="120"/>
      <c r="F169" s="120"/>
      <c r="G169" s="505" t="s">
        <v>17</v>
      </c>
      <c r="H169" s="79"/>
      <c r="I169" s="80">
        <v>1</v>
      </c>
      <c r="J169" s="81">
        <v>26.5</v>
      </c>
      <c r="K169" s="81">
        <f t="shared" si="38"/>
        <v>26.5</v>
      </c>
      <c r="L169" s="505"/>
      <c r="M169" s="85"/>
      <c r="N169" s="230"/>
    </row>
    <row r="170" spans="1:14" ht="14.1" customHeight="1">
      <c r="A170" s="85"/>
      <c r="B170" s="85"/>
      <c r="C170" s="85"/>
      <c r="D170" s="85"/>
      <c r="E170" s="85"/>
      <c r="F170" s="85"/>
      <c r="G170" s="95" t="s">
        <v>185</v>
      </c>
      <c r="H170" s="79"/>
      <c r="I170" s="80">
        <v>0.2</v>
      </c>
      <c r="J170" s="81">
        <v>490</v>
      </c>
      <c r="K170" s="81">
        <f t="shared" si="38"/>
        <v>98</v>
      </c>
      <c r="L170" s="505"/>
      <c r="M170" s="85"/>
      <c r="N170" s="230"/>
    </row>
    <row r="171" spans="1:14" ht="14.1" customHeight="1">
      <c r="A171" s="507"/>
      <c r="B171" s="507"/>
      <c r="C171" s="507"/>
      <c r="D171" s="507"/>
      <c r="E171" s="504" t="s">
        <v>9</v>
      </c>
      <c r="F171" s="110">
        <f>SUM(F168:F170)</f>
        <v>360.88799999999998</v>
      </c>
      <c r="G171" s="504"/>
      <c r="H171" s="504"/>
      <c r="I171" s="125"/>
      <c r="J171" s="97"/>
      <c r="K171" s="111">
        <f>SUM(K168:K170)</f>
        <v>214.5</v>
      </c>
      <c r="L171" s="111">
        <f>K171/F171</f>
        <v>0.59436722750548654</v>
      </c>
      <c r="M171" s="507"/>
      <c r="N171" s="503"/>
    </row>
    <row r="172" spans="1:14" ht="14.1" customHeight="1">
      <c r="A172" s="507">
        <v>9949</v>
      </c>
      <c r="B172" s="505" t="s">
        <v>870</v>
      </c>
      <c r="C172" s="505" t="s">
        <v>513</v>
      </c>
      <c r="D172" s="505" t="s">
        <v>74</v>
      </c>
      <c r="E172" s="505" t="s">
        <v>779</v>
      </c>
      <c r="F172" s="87">
        <f>440*1.0936</f>
        <v>481.18399999999997</v>
      </c>
      <c r="G172" s="505" t="s">
        <v>76</v>
      </c>
      <c r="H172" s="79"/>
      <c r="I172" s="80">
        <f>5+5</f>
        <v>10</v>
      </c>
      <c r="J172" s="81">
        <v>15</v>
      </c>
      <c r="K172" s="81">
        <f t="shared" ref="K172:K175" si="39">I172*J172</f>
        <v>150</v>
      </c>
      <c r="L172" s="505"/>
      <c r="M172" s="507"/>
      <c r="N172" s="503"/>
    </row>
    <row r="173" spans="1:14" ht="14.1" customHeight="1">
      <c r="A173" s="507"/>
      <c r="B173" s="507"/>
      <c r="C173" s="507"/>
      <c r="D173" s="507"/>
      <c r="E173" s="507"/>
      <c r="F173" s="507"/>
      <c r="G173" s="505" t="s">
        <v>17</v>
      </c>
      <c r="H173" s="79"/>
      <c r="I173" s="80">
        <f>2+1</f>
        <v>3</v>
      </c>
      <c r="J173" s="81">
        <v>26.5</v>
      </c>
      <c r="K173" s="81">
        <f t="shared" si="39"/>
        <v>79.5</v>
      </c>
      <c r="L173" s="505"/>
      <c r="M173" s="507"/>
      <c r="N173" s="503"/>
    </row>
    <row r="174" spans="1:14" ht="14.1" customHeight="1">
      <c r="A174" s="507"/>
      <c r="B174" s="507"/>
      <c r="C174" s="507"/>
      <c r="D174" s="507"/>
      <c r="E174" s="507"/>
      <c r="F174" s="507"/>
      <c r="G174" s="505" t="s">
        <v>19</v>
      </c>
      <c r="H174" s="79"/>
      <c r="I174" s="80">
        <v>0.2</v>
      </c>
      <c r="J174" s="81">
        <v>74</v>
      </c>
      <c r="K174" s="81">
        <f t="shared" si="39"/>
        <v>14.8</v>
      </c>
      <c r="L174" s="505"/>
      <c r="M174" s="507"/>
      <c r="N174" s="503"/>
    </row>
    <row r="175" spans="1:14" ht="14.1" customHeight="1">
      <c r="A175" s="507"/>
      <c r="B175" s="507"/>
      <c r="C175" s="507"/>
      <c r="D175" s="507"/>
      <c r="E175" s="507"/>
      <c r="F175" s="507"/>
      <c r="G175" s="95" t="s">
        <v>185</v>
      </c>
      <c r="H175" s="79"/>
      <c r="I175" s="80">
        <f>0.4+0.2</f>
        <v>0.60000000000000009</v>
      </c>
      <c r="J175" s="81">
        <v>490</v>
      </c>
      <c r="K175" s="81">
        <f t="shared" si="39"/>
        <v>294.00000000000006</v>
      </c>
      <c r="L175" s="505"/>
      <c r="M175" s="507"/>
      <c r="N175" s="503"/>
    </row>
    <row r="176" spans="1:14" ht="14.1" customHeight="1">
      <c r="A176" s="507"/>
      <c r="B176" s="507"/>
      <c r="C176" s="507"/>
      <c r="D176" s="507"/>
      <c r="E176" s="504" t="s">
        <v>9</v>
      </c>
      <c r="F176" s="110">
        <f>SUM(F172:F175)</f>
        <v>481.18399999999997</v>
      </c>
      <c r="G176" s="504"/>
      <c r="H176" s="504"/>
      <c r="I176" s="125"/>
      <c r="J176" s="97"/>
      <c r="K176" s="111">
        <f>SUM(K172:K175)</f>
        <v>538.30000000000007</v>
      </c>
      <c r="L176" s="111">
        <f>K176/F176</f>
        <v>1.1186988761056065</v>
      </c>
      <c r="M176" s="507"/>
      <c r="N176" s="503"/>
    </row>
    <row r="177" spans="1:14" ht="14.1" customHeight="1">
      <c r="A177" s="507">
        <v>9917</v>
      </c>
      <c r="B177" s="100" t="s">
        <v>1022</v>
      </c>
      <c r="C177" s="505" t="s">
        <v>121</v>
      </c>
      <c r="D177" s="505" t="s">
        <v>120</v>
      </c>
      <c r="E177" s="505" t="s">
        <v>129</v>
      </c>
      <c r="F177" s="87">
        <f>670*1.0936</f>
        <v>732.71199999999999</v>
      </c>
      <c r="G177" s="505" t="s">
        <v>27</v>
      </c>
      <c r="H177" s="79"/>
      <c r="I177" s="80">
        <v>50</v>
      </c>
      <c r="J177" s="81">
        <v>22</v>
      </c>
      <c r="K177" s="81">
        <f t="shared" ref="K177:K179" si="40">I177*J177</f>
        <v>1100</v>
      </c>
      <c r="L177" s="507"/>
      <c r="M177" s="507"/>
      <c r="N177" s="503"/>
    </row>
    <row r="178" spans="1:14" ht="14.1" customHeight="1">
      <c r="A178" s="507"/>
      <c r="B178" s="505"/>
      <c r="C178" s="505"/>
      <c r="D178" s="505"/>
      <c r="E178" s="505"/>
      <c r="F178" s="160"/>
      <c r="G178" s="506" t="s">
        <v>49</v>
      </c>
      <c r="H178" s="79"/>
      <c r="I178" s="80">
        <v>4</v>
      </c>
      <c r="J178" s="81">
        <v>34</v>
      </c>
      <c r="K178" s="81">
        <f t="shared" si="40"/>
        <v>136</v>
      </c>
      <c r="L178" s="507"/>
      <c r="M178" s="507"/>
      <c r="N178" s="503"/>
    </row>
    <row r="179" spans="1:14" ht="14.1" customHeight="1">
      <c r="A179" s="507"/>
      <c r="B179" s="507"/>
      <c r="C179" s="507"/>
      <c r="D179" s="507"/>
      <c r="E179" s="507"/>
      <c r="F179" s="507"/>
      <c r="G179" s="505" t="s">
        <v>19</v>
      </c>
      <c r="H179" s="79"/>
      <c r="I179" s="80">
        <v>1.2</v>
      </c>
      <c r="J179" s="81">
        <v>74</v>
      </c>
      <c r="K179" s="81">
        <f t="shared" si="40"/>
        <v>88.8</v>
      </c>
      <c r="L179" s="507"/>
      <c r="M179" s="507"/>
      <c r="N179" s="503"/>
    </row>
    <row r="180" spans="1:14" ht="14.1" customHeight="1">
      <c r="A180" s="507"/>
      <c r="B180" s="507"/>
      <c r="C180" s="507"/>
      <c r="D180" s="507"/>
      <c r="E180" s="504" t="s">
        <v>9</v>
      </c>
      <c r="F180" s="110">
        <f>SUM(F177:F179)</f>
        <v>732.71199999999999</v>
      </c>
      <c r="G180" s="504"/>
      <c r="H180" s="504"/>
      <c r="I180" s="125"/>
      <c r="J180" s="97"/>
      <c r="K180" s="111">
        <f>SUM(K177:K179)</f>
        <v>1324.8</v>
      </c>
      <c r="L180" s="111">
        <f>K180/F180</f>
        <v>1.8080773892061273</v>
      </c>
      <c r="M180" s="507"/>
      <c r="N180" s="503"/>
    </row>
    <row r="181" spans="1:14" ht="14.1" customHeight="1">
      <c r="A181" s="507">
        <v>9919</v>
      </c>
      <c r="B181" s="505" t="s">
        <v>1014</v>
      </c>
      <c r="C181" s="505" t="s">
        <v>792</v>
      </c>
      <c r="D181" s="505" t="s">
        <v>1016</v>
      </c>
      <c r="E181" s="505" t="s">
        <v>1015</v>
      </c>
      <c r="F181" s="90">
        <f>130*1.0936</f>
        <v>142.16799999999998</v>
      </c>
      <c r="G181" s="505" t="s">
        <v>27</v>
      </c>
      <c r="H181" s="79"/>
      <c r="I181" s="80">
        <v>6</v>
      </c>
      <c r="J181" s="81">
        <v>22</v>
      </c>
      <c r="K181" s="81">
        <f t="shared" ref="K181:K183" si="41">I181*J181</f>
        <v>132</v>
      </c>
      <c r="L181" s="507"/>
      <c r="M181" s="507"/>
      <c r="N181" s="503"/>
    </row>
    <row r="182" spans="1:14" ht="14.1" customHeight="1">
      <c r="A182" s="507"/>
      <c r="B182" s="507"/>
      <c r="C182" s="507"/>
      <c r="D182" s="507"/>
      <c r="E182" s="507"/>
      <c r="F182" s="507"/>
      <c r="G182" s="506" t="s">
        <v>49</v>
      </c>
      <c r="H182" s="79"/>
      <c r="I182" s="80">
        <v>1</v>
      </c>
      <c r="J182" s="81">
        <v>34</v>
      </c>
      <c r="K182" s="81">
        <f t="shared" si="41"/>
        <v>34</v>
      </c>
      <c r="L182" s="507"/>
      <c r="M182" s="507"/>
      <c r="N182" s="503"/>
    </row>
    <row r="183" spans="1:14" ht="14.1" customHeight="1">
      <c r="A183" s="507"/>
      <c r="B183" s="507"/>
      <c r="C183" s="507"/>
      <c r="D183" s="507"/>
      <c r="E183" s="507"/>
      <c r="F183" s="507"/>
      <c r="G183" s="505" t="s">
        <v>19</v>
      </c>
      <c r="H183" s="79"/>
      <c r="I183" s="80">
        <v>0.2</v>
      </c>
      <c r="J183" s="81">
        <v>74</v>
      </c>
      <c r="K183" s="81">
        <f t="shared" si="41"/>
        <v>14.8</v>
      </c>
      <c r="L183" s="507"/>
      <c r="M183" s="507"/>
      <c r="N183" s="503"/>
    </row>
    <row r="184" spans="1:14" ht="14.1" customHeight="1">
      <c r="A184" s="507"/>
      <c r="B184" s="507"/>
      <c r="C184" s="507"/>
      <c r="D184" s="507"/>
      <c r="E184" s="504" t="s">
        <v>9</v>
      </c>
      <c r="F184" s="110">
        <f>SUM(F181:F183)</f>
        <v>142.16799999999998</v>
      </c>
      <c r="G184" s="504"/>
      <c r="H184" s="504"/>
      <c r="I184" s="125"/>
      <c r="J184" s="97"/>
      <c r="K184" s="111">
        <f>SUM(K181:K183)</f>
        <v>180.8</v>
      </c>
      <c r="L184" s="111">
        <f>K184/F184</f>
        <v>1.2717348489111477</v>
      </c>
      <c r="M184" s="507"/>
      <c r="N184" s="503"/>
    </row>
    <row r="185" spans="1:14" ht="14.1" customHeight="1">
      <c r="A185" s="507">
        <v>9919</v>
      </c>
      <c r="B185" s="505" t="s">
        <v>1017</v>
      </c>
      <c r="C185" s="89" t="s">
        <v>115</v>
      </c>
      <c r="D185" s="89" t="s">
        <v>113</v>
      </c>
      <c r="E185" s="505" t="s">
        <v>102</v>
      </c>
      <c r="F185" s="99">
        <f>2420*1.0936</f>
        <v>2646.5119999999997</v>
      </c>
      <c r="G185" s="505" t="s">
        <v>27</v>
      </c>
      <c r="H185" s="79"/>
      <c r="I185" s="80">
        <v>135</v>
      </c>
      <c r="J185" s="81">
        <v>22</v>
      </c>
      <c r="K185" s="81">
        <f t="shared" ref="K185:K187" si="42">I185*J185</f>
        <v>2970</v>
      </c>
      <c r="L185" s="507"/>
      <c r="M185" s="507"/>
      <c r="N185" s="503"/>
    </row>
    <row r="186" spans="1:14" ht="14.1" customHeight="1">
      <c r="A186" s="507"/>
      <c r="B186" s="507"/>
      <c r="C186" s="507"/>
      <c r="D186" s="507"/>
      <c r="E186" s="507"/>
      <c r="F186" s="507"/>
      <c r="G186" s="506" t="s">
        <v>49</v>
      </c>
      <c r="H186" s="79"/>
      <c r="I186" s="80">
        <v>15</v>
      </c>
      <c r="J186" s="81">
        <v>34</v>
      </c>
      <c r="K186" s="81">
        <f t="shared" si="42"/>
        <v>510</v>
      </c>
      <c r="L186" s="507"/>
      <c r="M186" s="507"/>
      <c r="N186" s="503"/>
    </row>
    <row r="187" spans="1:14" ht="14.1" customHeight="1">
      <c r="A187" s="507"/>
      <c r="B187" s="507"/>
      <c r="C187" s="507"/>
      <c r="D187" s="507"/>
      <c r="E187" s="507"/>
      <c r="F187" s="507"/>
      <c r="G187" s="505" t="s">
        <v>19</v>
      </c>
      <c r="H187" s="79"/>
      <c r="I187" s="80">
        <v>3</v>
      </c>
      <c r="J187" s="81">
        <v>74</v>
      </c>
      <c r="K187" s="81">
        <f t="shared" si="42"/>
        <v>222</v>
      </c>
      <c r="L187" s="507"/>
      <c r="M187" s="507"/>
      <c r="N187" s="503"/>
    </row>
    <row r="188" spans="1:14" ht="14.1" customHeight="1">
      <c r="A188" s="507"/>
      <c r="B188" s="507"/>
      <c r="C188" s="507"/>
      <c r="D188" s="507"/>
      <c r="E188" s="504" t="s">
        <v>9</v>
      </c>
      <c r="F188" s="110">
        <f>SUM(F185:F187)</f>
        <v>2646.5119999999997</v>
      </c>
      <c r="G188" s="504"/>
      <c r="H188" s="504"/>
      <c r="I188" s="125"/>
      <c r="J188" s="97"/>
      <c r="K188" s="111">
        <f>SUM(K185:K187)</f>
        <v>3702</v>
      </c>
      <c r="L188" s="111">
        <f>K188/F188</f>
        <v>1.3988222989353536</v>
      </c>
      <c r="M188" s="507"/>
      <c r="N188" s="503"/>
    </row>
    <row r="189" spans="1:14" ht="14.1" customHeight="1">
      <c r="A189" s="507">
        <v>9917</v>
      </c>
      <c r="B189" s="505" t="s">
        <v>983</v>
      </c>
      <c r="C189" s="505" t="s">
        <v>700</v>
      </c>
      <c r="D189" s="505" t="s">
        <v>297</v>
      </c>
      <c r="E189" s="505" t="s">
        <v>1023</v>
      </c>
      <c r="F189" s="99">
        <f>3100*1.0936</f>
        <v>3390.16</v>
      </c>
      <c r="G189" s="505" t="s">
        <v>27</v>
      </c>
      <c r="H189" s="79"/>
      <c r="I189" s="80">
        <v>30</v>
      </c>
      <c r="J189" s="81">
        <v>22</v>
      </c>
      <c r="K189" s="81">
        <f t="shared" ref="K189:K191" si="43">I189*J189</f>
        <v>660</v>
      </c>
      <c r="L189" s="507"/>
      <c r="M189" s="507"/>
      <c r="N189" s="503"/>
    </row>
    <row r="190" spans="1:14" ht="14.1" customHeight="1">
      <c r="A190" s="507"/>
      <c r="B190" s="505"/>
      <c r="C190" s="505"/>
      <c r="D190" s="505"/>
      <c r="E190" s="505"/>
      <c r="F190" s="87"/>
      <c r="G190" s="506" t="s">
        <v>49</v>
      </c>
      <c r="H190" s="79"/>
      <c r="I190" s="80">
        <v>8</v>
      </c>
      <c r="J190" s="81">
        <v>34</v>
      </c>
      <c r="K190" s="81">
        <f t="shared" si="43"/>
        <v>272</v>
      </c>
      <c r="L190" s="507"/>
      <c r="M190" s="507"/>
      <c r="N190" s="503"/>
    </row>
    <row r="191" spans="1:14" ht="14.1" customHeight="1">
      <c r="A191" s="507"/>
      <c r="B191" s="507"/>
      <c r="C191" s="507"/>
      <c r="D191" s="507"/>
      <c r="E191" s="507"/>
      <c r="F191" s="507"/>
      <c r="G191" s="505" t="s">
        <v>19</v>
      </c>
      <c r="H191" s="79"/>
      <c r="I191" s="80">
        <v>5</v>
      </c>
      <c r="J191" s="81">
        <v>74</v>
      </c>
      <c r="K191" s="81">
        <f t="shared" si="43"/>
        <v>370</v>
      </c>
      <c r="L191" s="507"/>
      <c r="M191" s="507"/>
      <c r="N191" s="503"/>
    </row>
    <row r="192" spans="1:14" ht="14.1" customHeight="1">
      <c r="A192" s="507"/>
      <c r="B192" s="507"/>
      <c r="C192" s="507"/>
      <c r="D192" s="507"/>
      <c r="E192" s="504" t="s">
        <v>9</v>
      </c>
      <c r="F192" s="110">
        <f>SUM(F189:F191)</f>
        <v>3390.16</v>
      </c>
      <c r="G192" s="504"/>
      <c r="H192" s="504"/>
      <c r="I192" s="125"/>
      <c r="J192" s="97"/>
      <c r="K192" s="111">
        <f>SUM(K189:K191)</f>
        <v>1302</v>
      </c>
      <c r="L192" s="111">
        <f>K192/F192</f>
        <v>0.38405267008046817</v>
      </c>
      <c r="M192" s="507"/>
      <c r="N192" s="503"/>
    </row>
    <row r="193" spans="1:14" ht="14.1" customHeight="1">
      <c r="A193" s="507">
        <v>9922</v>
      </c>
      <c r="B193" s="505" t="s">
        <v>870</v>
      </c>
      <c r="C193" s="505" t="s">
        <v>513</v>
      </c>
      <c r="D193" s="505" t="s">
        <v>74</v>
      </c>
      <c r="E193" s="505" t="s">
        <v>232</v>
      </c>
      <c r="F193" s="87">
        <f>240*1.0936</f>
        <v>262.464</v>
      </c>
      <c r="G193" s="505" t="s">
        <v>27</v>
      </c>
      <c r="H193" s="79"/>
      <c r="I193" s="80">
        <v>17</v>
      </c>
      <c r="J193" s="81">
        <v>22</v>
      </c>
      <c r="K193" s="81">
        <f t="shared" ref="K193:K194" si="44">I193*J193</f>
        <v>374</v>
      </c>
      <c r="L193" s="507"/>
      <c r="M193" s="507"/>
      <c r="N193" s="503"/>
    </row>
    <row r="194" spans="1:14" ht="14.1" customHeight="1">
      <c r="A194" s="507"/>
      <c r="B194" s="507"/>
      <c r="C194" s="507"/>
      <c r="D194" s="507"/>
      <c r="E194" s="507"/>
      <c r="F194" s="507"/>
      <c r="G194" s="506" t="s">
        <v>49</v>
      </c>
      <c r="H194" s="79"/>
      <c r="I194" s="80">
        <v>4</v>
      </c>
      <c r="J194" s="81">
        <v>34</v>
      </c>
      <c r="K194" s="81">
        <f t="shared" si="44"/>
        <v>136</v>
      </c>
      <c r="L194" s="507"/>
      <c r="M194" s="507"/>
      <c r="N194" s="503"/>
    </row>
    <row r="195" spans="1:14" ht="14.1" customHeight="1">
      <c r="A195" s="507"/>
      <c r="B195" s="507"/>
      <c r="C195" s="507"/>
      <c r="D195" s="507"/>
      <c r="E195" s="504" t="s">
        <v>9</v>
      </c>
      <c r="F195" s="110">
        <f>SUM(F193:F194)</f>
        <v>262.464</v>
      </c>
      <c r="G195" s="504"/>
      <c r="H195" s="504"/>
      <c r="I195" s="125"/>
      <c r="J195" s="97"/>
      <c r="K195" s="111">
        <f>SUM(K193:K194)</f>
        <v>510</v>
      </c>
      <c r="L195" s="111">
        <f>K195/F195</f>
        <v>1.9431236283833211</v>
      </c>
      <c r="M195" s="507"/>
      <c r="N195" s="503"/>
    </row>
    <row r="196" spans="1:14" ht="14.1" customHeight="1">
      <c r="A196" s="231"/>
      <c r="B196" s="231"/>
      <c r="C196" s="231"/>
      <c r="D196" s="126" t="s">
        <v>30</v>
      </c>
      <c r="E196" s="142"/>
      <c r="F196" s="127">
        <f>F163+F167+F171+F176+F180+F184+F188+F192+F195</f>
        <v>14293.351999999999</v>
      </c>
      <c r="G196" s="128"/>
      <c r="H196" s="128"/>
      <c r="I196" s="128"/>
      <c r="J196" s="128"/>
      <c r="K196" s="127">
        <f>K163+K167+K171+K176+K180+K184+K188+K192+K195</f>
        <v>28114.799999999999</v>
      </c>
      <c r="L196" s="129">
        <f>K196/F196</f>
        <v>1.9669843714756343</v>
      </c>
      <c r="M196" s="131"/>
      <c r="N196" s="71"/>
    </row>
    <row r="197" spans="1:14" ht="14.1" customHeight="1">
      <c r="A197" s="70" t="s">
        <v>11</v>
      </c>
      <c r="B197" s="70"/>
      <c r="C197" s="70"/>
      <c r="D197" s="70"/>
      <c r="E197" s="70"/>
      <c r="F197" s="71"/>
      <c r="G197" s="71"/>
      <c r="H197" s="71"/>
      <c r="I197" s="71"/>
      <c r="J197" s="71"/>
      <c r="K197" s="824" t="s">
        <v>1010</v>
      </c>
      <c r="L197" s="824"/>
      <c r="M197" s="824"/>
      <c r="N197" s="71"/>
    </row>
    <row r="198" spans="1:14" ht="14.1" customHeight="1">
      <c r="A198" s="234" t="s">
        <v>0</v>
      </c>
      <c r="B198" s="234" t="s">
        <v>7</v>
      </c>
      <c r="C198" s="234" t="s">
        <v>13</v>
      </c>
      <c r="D198" s="234" t="s">
        <v>14</v>
      </c>
      <c r="E198" s="234" t="s">
        <v>8</v>
      </c>
      <c r="F198" s="234" t="s">
        <v>1</v>
      </c>
      <c r="G198" s="234" t="s">
        <v>2</v>
      </c>
      <c r="H198" s="234" t="s">
        <v>15</v>
      </c>
      <c r="I198" s="234" t="s">
        <v>3</v>
      </c>
      <c r="J198" s="234" t="s">
        <v>4</v>
      </c>
      <c r="K198" s="234" t="s">
        <v>5</v>
      </c>
      <c r="L198" s="234" t="s">
        <v>12</v>
      </c>
      <c r="M198" s="234" t="s">
        <v>6</v>
      </c>
      <c r="N198" s="123"/>
    </row>
    <row r="199" spans="1:14" ht="14.1" customHeight="1">
      <c r="A199" s="120">
        <v>9735</v>
      </c>
      <c r="B199" s="505" t="s">
        <v>1024</v>
      </c>
      <c r="C199" s="505" t="s">
        <v>792</v>
      </c>
      <c r="D199" s="505" t="s">
        <v>1025</v>
      </c>
      <c r="E199" s="505" t="s">
        <v>93</v>
      </c>
      <c r="F199" s="87">
        <f>4820*1.0936</f>
        <v>5271.1519999999991</v>
      </c>
      <c r="G199" s="506" t="s">
        <v>587</v>
      </c>
      <c r="H199" s="79"/>
      <c r="I199" s="80">
        <f>6</f>
        <v>6</v>
      </c>
      <c r="J199" s="81">
        <v>456</v>
      </c>
      <c r="K199" s="94">
        <f t="shared" ref="K199:K200" si="45">I199*J199</f>
        <v>2736</v>
      </c>
      <c r="L199" s="79"/>
      <c r="M199" s="102"/>
      <c r="N199" s="71"/>
    </row>
    <row r="200" spans="1:14" ht="14.1" customHeight="1">
      <c r="A200" s="85"/>
      <c r="B200" s="85"/>
      <c r="C200" s="85"/>
      <c r="D200" s="85"/>
      <c r="E200" s="120"/>
      <c r="F200" s="98"/>
      <c r="G200" s="506" t="s">
        <v>206</v>
      </c>
      <c r="H200" s="79"/>
      <c r="I200" s="81">
        <v>3</v>
      </c>
      <c r="J200" s="81">
        <v>375</v>
      </c>
      <c r="K200" s="81">
        <f t="shared" si="45"/>
        <v>1125</v>
      </c>
      <c r="L200" s="79"/>
      <c r="M200" s="102"/>
      <c r="N200" s="71"/>
    </row>
    <row r="201" spans="1:14" ht="14.1" customHeight="1">
      <c r="A201" s="85"/>
      <c r="B201" s="85"/>
      <c r="C201" s="85"/>
      <c r="D201" s="85"/>
      <c r="E201" s="234" t="s">
        <v>9</v>
      </c>
      <c r="F201" s="110">
        <f>SUM(F199:F200)</f>
        <v>5271.1519999999991</v>
      </c>
      <c r="G201" s="234"/>
      <c r="H201" s="234"/>
      <c r="I201" s="245"/>
      <c r="J201" s="97"/>
      <c r="K201" s="111">
        <f>SUM(K199:K200)</f>
        <v>3861</v>
      </c>
      <c r="L201" s="111">
        <f>K201/F201</f>
        <v>0.73247745464369096</v>
      </c>
      <c r="M201" s="102"/>
      <c r="N201" s="71"/>
    </row>
    <row r="202" spans="1:14" ht="14.1" customHeight="1">
      <c r="A202" s="120">
        <v>5161</v>
      </c>
      <c r="B202" s="100" t="s">
        <v>1022</v>
      </c>
      <c r="C202" s="89" t="s">
        <v>217</v>
      </c>
      <c r="D202" s="89" t="s">
        <v>122</v>
      </c>
      <c r="E202" s="505" t="s">
        <v>102</v>
      </c>
      <c r="F202" s="87">
        <f>650*1.0936</f>
        <v>710.83999999999992</v>
      </c>
      <c r="G202" s="173" t="s">
        <v>298</v>
      </c>
      <c r="H202" s="79"/>
      <c r="I202" s="80">
        <v>3</v>
      </c>
      <c r="J202" s="81">
        <v>435</v>
      </c>
      <c r="K202" s="94">
        <f t="shared" ref="K202:K203" si="46">I202*J202</f>
        <v>1305</v>
      </c>
      <c r="L202" s="102"/>
      <c r="M202" s="102"/>
      <c r="N202" s="71"/>
    </row>
    <row r="203" spans="1:14" ht="14.1" customHeight="1">
      <c r="A203" s="85"/>
      <c r="B203" s="85"/>
      <c r="C203" s="85"/>
      <c r="D203" s="85"/>
      <c r="E203" s="505"/>
      <c r="F203" s="98"/>
      <c r="G203" s="173" t="s">
        <v>799</v>
      </c>
      <c r="H203" s="79"/>
      <c r="I203" s="188">
        <v>2</v>
      </c>
      <c r="J203" s="81">
        <v>350</v>
      </c>
      <c r="K203" s="94">
        <f t="shared" si="46"/>
        <v>700</v>
      </c>
      <c r="L203" s="102"/>
      <c r="M203" s="102"/>
      <c r="N203" s="71"/>
    </row>
    <row r="204" spans="1:14" ht="14.1" customHeight="1">
      <c r="A204" s="85"/>
      <c r="B204" s="85"/>
      <c r="C204" s="85"/>
      <c r="D204" s="85"/>
      <c r="E204" s="234" t="s">
        <v>9</v>
      </c>
      <c r="F204" s="110">
        <f>SUM(F202:F202)</f>
        <v>710.83999999999992</v>
      </c>
      <c r="G204" s="234"/>
      <c r="H204" s="234"/>
      <c r="I204" s="97"/>
      <c r="J204" s="97"/>
      <c r="K204" s="111">
        <f>SUM(K202:K203)</f>
        <v>2005</v>
      </c>
      <c r="L204" s="111">
        <f>K204/F204</f>
        <v>2.8206066062686403</v>
      </c>
      <c r="M204" s="102"/>
      <c r="N204" s="71"/>
    </row>
    <row r="205" spans="1:14" ht="14.1" customHeight="1">
      <c r="A205" s="120">
        <v>9734</v>
      </c>
      <c r="B205" s="505" t="s">
        <v>269</v>
      </c>
      <c r="C205" s="505"/>
      <c r="D205" s="505"/>
      <c r="E205" s="505"/>
      <c r="F205" s="90">
        <f>100*1.0936</f>
        <v>109.35999999999999</v>
      </c>
      <c r="G205" s="173" t="s">
        <v>298</v>
      </c>
      <c r="H205" s="79"/>
      <c r="I205" s="80">
        <v>5</v>
      </c>
      <c r="J205" s="81">
        <v>435</v>
      </c>
      <c r="K205" s="94">
        <f t="shared" ref="K205" si="47">I205*J205</f>
        <v>2175</v>
      </c>
      <c r="L205" s="102"/>
      <c r="M205" s="102"/>
      <c r="N205" s="71"/>
    </row>
    <row r="206" spans="1:14" ht="14.1" customHeight="1">
      <c r="A206" s="85"/>
      <c r="B206" s="85"/>
      <c r="C206" s="85"/>
      <c r="D206" s="85"/>
      <c r="E206" s="504" t="s">
        <v>9</v>
      </c>
      <c r="F206" s="110">
        <f>SUM(F205)</f>
        <v>109.35999999999999</v>
      </c>
      <c r="G206" s="504"/>
      <c r="H206" s="504"/>
      <c r="I206" s="97"/>
      <c r="J206" s="97"/>
      <c r="K206" s="111">
        <f>SUM(K205)</f>
        <v>2175</v>
      </c>
      <c r="L206" s="111">
        <f>K206/F206</f>
        <v>19.888441843452821</v>
      </c>
      <c r="M206" s="102"/>
      <c r="N206" s="71"/>
    </row>
    <row r="207" spans="1:14" ht="14.1" customHeight="1">
      <c r="A207" s="85">
        <v>9732</v>
      </c>
      <c r="B207" s="505" t="s">
        <v>269</v>
      </c>
      <c r="C207" s="505"/>
      <c r="D207" s="505"/>
      <c r="E207" s="505"/>
      <c r="F207" s="90">
        <f>10*1.0936</f>
        <v>10.936</v>
      </c>
      <c r="G207" s="95" t="s">
        <v>832</v>
      </c>
      <c r="H207" s="79"/>
      <c r="I207" s="81">
        <v>0.1</v>
      </c>
      <c r="J207" s="81">
        <v>790</v>
      </c>
      <c r="K207" s="81">
        <f t="shared" ref="K207" si="48">I207*J207</f>
        <v>79</v>
      </c>
      <c r="L207" s="102"/>
      <c r="M207" s="102"/>
      <c r="N207" s="71"/>
    </row>
    <row r="208" spans="1:14" ht="14.1" customHeight="1">
      <c r="A208" s="507"/>
      <c r="B208" s="507"/>
      <c r="C208" s="507"/>
      <c r="D208" s="507"/>
      <c r="E208" s="504" t="s">
        <v>9</v>
      </c>
      <c r="F208" s="110">
        <f>SUM(F207)</f>
        <v>10.936</v>
      </c>
      <c r="G208" s="504"/>
      <c r="H208" s="504"/>
      <c r="I208" s="97"/>
      <c r="J208" s="97"/>
      <c r="K208" s="111">
        <f>SUM(K207)</f>
        <v>79</v>
      </c>
      <c r="L208" s="111">
        <f>K208/F208</f>
        <v>7.2238478419897589</v>
      </c>
      <c r="M208" s="102"/>
      <c r="N208" s="71"/>
    </row>
    <row r="209" spans="1:14" ht="14.1" customHeight="1">
      <c r="A209" s="507">
        <v>9733</v>
      </c>
      <c r="B209" s="505" t="s">
        <v>963</v>
      </c>
      <c r="C209" s="505" t="s">
        <v>937</v>
      </c>
      <c r="D209" s="505" t="s">
        <v>939</v>
      </c>
      <c r="E209" s="89" t="s">
        <v>964</v>
      </c>
      <c r="F209" s="87">
        <f>2890*1.0936</f>
        <v>3160.5039999999999</v>
      </c>
      <c r="G209" s="506" t="s">
        <v>587</v>
      </c>
      <c r="H209" s="79"/>
      <c r="I209" s="80">
        <v>3</v>
      </c>
      <c r="J209" s="81">
        <v>456</v>
      </c>
      <c r="K209" s="94">
        <f t="shared" ref="K209:K210" si="49">I209*J209</f>
        <v>1368</v>
      </c>
      <c r="L209" s="79"/>
      <c r="M209" s="102"/>
      <c r="N209" s="71"/>
    </row>
    <row r="210" spans="1:14" ht="14.1" customHeight="1">
      <c r="A210" s="507"/>
      <c r="B210" s="507"/>
      <c r="C210" s="507"/>
      <c r="D210" s="507"/>
      <c r="E210" s="507"/>
      <c r="F210" s="98"/>
      <c r="G210" s="173" t="s">
        <v>799</v>
      </c>
      <c r="H210" s="79"/>
      <c r="I210" s="188">
        <v>3</v>
      </c>
      <c r="J210" s="81">
        <v>350</v>
      </c>
      <c r="K210" s="94">
        <f t="shared" si="49"/>
        <v>1050</v>
      </c>
      <c r="L210" s="102"/>
      <c r="M210" s="102"/>
      <c r="N210" s="71"/>
    </row>
    <row r="211" spans="1:14" ht="14.1" customHeight="1">
      <c r="A211" s="507"/>
      <c r="B211" s="507"/>
      <c r="C211" s="507"/>
      <c r="D211" s="507"/>
      <c r="E211" s="504" t="s">
        <v>9</v>
      </c>
      <c r="F211" s="110">
        <f>SUM(F209:F210)</f>
        <v>3160.5039999999999</v>
      </c>
      <c r="G211" s="504"/>
      <c r="H211" s="504"/>
      <c r="I211" s="97"/>
      <c r="J211" s="97"/>
      <c r="K211" s="111">
        <f>SUM(K209:K210)</f>
        <v>2418</v>
      </c>
      <c r="L211" s="111">
        <f>K211/F211</f>
        <v>0.76506784993785804</v>
      </c>
      <c r="M211" s="102"/>
      <c r="N211" s="71"/>
    </row>
    <row r="212" spans="1:14" ht="14.1" customHeight="1">
      <c r="A212" s="507">
        <v>9731</v>
      </c>
      <c r="B212" s="505" t="s">
        <v>269</v>
      </c>
      <c r="C212" s="505"/>
      <c r="D212" s="505"/>
      <c r="E212" s="505"/>
      <c r="F212" s="90">
        <f>100*1.0936</f>
        <v>109.35999999999999</v>
      </c>
      <c r="G212" s="173" t="s">
        <v>298</v>
      </c>
      <c r="H212" s="79"/>
      <c r="I212" s="80">
        <v>5</v>
      </c>
      <c r="J212" s="81">
        <v>435</v>
      </c>
      <c r="K212" s="94">
        <f t="shared" ref="K212" si="50">I212*J212</f>
        <v>2175</v>
      </c>
      <c r="L212" s="102"/>
      <c r="M212" s="102"/>
      <c r="N212" s="71"/>
    </row>
    <row r="213" spans="1:14" ht="14.1" customHeight="1">
      <c r="A213" s="507"/>
      <c r="B213" s="507"/>
      <c r="C213" s="507"/>
      <c r="D213" s="507"/>
      <c r="E213" s="507"/>
      <c r="F213" s="98"/>
      <c r="G213" s="506" t="s">
        <v>206</v>
      </c>
      <c r="H213" s="79"/>
      <c r="I213" s="81">
        <v>2</v>
      </c>
      <c r="J213" s="81">
        <v>375</v>
      </c>
      <c r="K213" s="81">
        <f t="shared" ref="K213:K214" si="51">I213*J213</f>
        <v>750</v>
      </c>
      <c r="L213" s="102"/>
      <c r="M213" s="102"/>
      <c r="N213" s="71"/>
    </row>
    <row r="214" spans="1:14" ht="14.1" customHeight="1">
      <c r="A214" s="507"/>
      <c r="B214" s="507"/>
      <c r="C214" s="507"/>
      <c r="D214" s="507"/>
      <c r="E214" s="507"/>
      <c r="F214" s="98"/>
      <c r="G214" s="505" t="s">
        <v>202</v>
      </c>
      <c r="H214" s="79"/>
      <c r="I214" s="188">
        <v>2</v>
      </c>
      <c r="J214" s="81">
        <v>386</v>
      </c>
      <c r="K214" s="81">
        <f t="shared" si="51"/>
        <v>772</v>
      </c>
      <c r="L214" s="2"/>
      <c r="M214" s="102"/>
      <c r="N214" s="71"/>
    </row>
    <row r="215" spans="1:14" ht="14.1" customHeight="1">
      <c r="A215" s="85"/>
      <c r="B215" s="85"/>
      <c r="C215" s="85"/>
      <c r="D215" s="85"/>
      <c r="E215" s="234" t="s">
        <v>9</v>
      </c>
      <c r="F215" s="110">
        <f>SUM(F212:F214)</f>
        <v>109.35999999999999</v>
      </c>
      <c r="G215" s="234"/>
      <c r="H215" s="234"/>
      <c r="I215" s="97"/>
      <c r="J215" s="97"/>
      <c r="K215" s="111">
        <f>SUM(K212:K214)</f>
        <v>3697</v>
      </c>
      <c r="L215" s="111">
        <f>K215/F215</f>
        <v>33.805779078273595</v>
      </c>
      <c r="M215" s="102"/>
      <c r="N215" s="71"/>
    </row>
    <row r="216" spans="1:14" ht="14.1" customHeight="1">
      <c r="A216" s="71"/>
      <c r="B216" s="71"/>
      <c r="C216" s="71"/>
      <c r="D216" s="126" t="s">
        <v>30</v>
      </c>
      <c r="E216" s="126"/>
      <c r="F216" s="127">
        <f>F201+F204+F206+F208+F211+F215</f>
        <v>9372.1519999999982</v>
      </c>
      <c r="G216" s="128"/>
      <c r="H216" s="128"/>
      <c r="I216" s="128"/>
      <c r="J216" s="128"/>
      <c r="K216" s="127">
        <f>K201+K204+K206+K208+K211+K215</f>
        <v>14235</v>
      </c>
      <c r="L216" s="129">
        <f>K216/F216</f>
        <v>1.5188614098448256</v>
      </c>
      <c r="M216" s="71"/>
      <c r="N216" s="71"/>
    </row>
    <row r="217" spans="1:14" ht="14.1" customHeight="1">
      <c r="A217" s="70" t="s">
        <v>42</v>
      </c>
      <c r="B217" s="70"/>
      <c r="C217" s="70"/>
      <c r="D217" s="70"/>
      <c r="E217" s="70"/>
      <c r="F217" s="71"/>
      <c r="G217" s="71"/>
      <c r="H217" s="71"/>
      <c r="I217" s="71"/>
      <c r="J217" s="71"/>
      <c r="K217" s="824" t="s">
        <v>1010</v>
      </c>
      <c r="L217" s="824"/>
      <c r="M217" s="824"/>
      <c r="N217" s="71"/>
    </row>
    <row r="218" spans="1:14" ht="14.1" customHeight="1">
      <c r="A218" s="234" t="s">
        <v>0</v>
      </c>
      <c r="B218" s="234" t="s">
        <v>7</v>
      </c>
      <c r="C218" s="234" t="s">
        <v>13</v>
      </c>
      <c r="D218" s="234" t="s">
        <v>14</v>
      </c>
      <c r="E218" s="234" t="s">
        <v>8</v>
      </c>
      <c r="F218" s="234" t="s">
        <v>1</v>
      </c>
      <c r="G218" s="234" t="s">
        <v>2</v>
      </c>
      <c r="H218" s="234" t="s">
        <v>15</v>
      </c>
      <c r="I218" s="234" t="s">
        <v>3</v>
      </c>
      <c r="J218" s="234" t="s">
        <v>4</v>
      </c>
      <c r="K218" s="234" t="s">
        <v>5</v>
      </c>
      <c r="L218" s="234" t="s">
        <v>12</v>
      </c>
      <c r="M218" s="234" t="s">
        <v>6</v>
      </c>
      <c r="N218" s="123"/>
    </row>
    <row r="219" spans="1:14" ht="14.1" customHeight="1">
      <c r="A219" s="120">
        <v>7760</v>
      </c>
      <c r="B219" s="100" t="s">
        <v>485</v>
      </c>
      <c r="C219" s="89" t="s">
        <v>217</v>
      </c>
      <c r="D219" s="89" t="s">
        <v>180</v>
      </c>
      <c r="E219" s="505" t="s">
        <v>93</v>
      </c>
      <c r="F219" s="99">
        <f>40*1.0936</f>
        <v>43.744</v>
      </c>
      <c r="G219" s="91" t="s">
        <v>209</v>
      </c>
      <c r="H219" s="79"/>
      <c r="I219" s="80">
        <v>0.04</v>
      </c>
      <c r="J219" s="81">
        <v>350</v>
      </c>
      <c r="K219" s="81">
        <f t="shared" ref="K219" si="52">I219*J219</f>
        <v>14</v>
      </c>
      <c r="L219" s="79"/>
      <c r="M219" s="2"/>
      <c r="N219" s="71"/>
    </row>
    <row r="220" spans="1:14" ht="14.1" customHeight="1">
      <c r="A220" s="120"/>
      <c r="B220" s="3"/>
      <c r="C220" s="3"/>
      <c r="D220" s="3"/>
      <c r="E220" s="120"/>
      <c r="F220" s="4"/>
      <c r="G220" s="91" t="s">
        <v>215</v>
      </c>
      <c r="H220" s="109"/>
      <c r="I220" s="80">
        <v>0.06</v>
      </c>
      <c r="J220" s="81">
        <v>750</v>
      </c>
      <c r="K220" s="81">
        <f t="shared" ref="K220:K221" si="53">I220*J220</f>
        <v>45</v>
      </c>
      <c r="L220" s="79"/>
      <c r="M220" s="2"/>
      <c r="N220" s="71"/>
    </row>
    <row r="221" spans="1:14" ht="14.1" customHeight="1">
      <c r="A221" s="505"/>
      <c r="B221" s="3"/>
      <c r="C221" s="3"/>
      <c r="D221" s="3"/>
      <c r="E221" s="505"/>
      <c r="F221" s="4"/>
      <c r="G221" s="91" t="s">
        <v>221</v>
      </c>
      <c r="H221" s="112"/>
      <c r="I221" s="113">
        <v>1.7999999999999999E-2</v>
      </c>
      <c r="J221" s="81">
        <v>980</v>
      </c>
      <c r="K221" s="81">
        <f t="shared" si="53"/>
        <v>17.639999999999997</v>
      </c>
      <c r="L221" s="102"/>
      <c r="M221" s="2"/>
      <c r="N221" s="71"/>
    </row>
    <row r="222" spans="1:14" ht="14.1" customHeight="1">
      <c r="A222" s="3"/>
      <c r="B222" s="3"/>
      <c r="C222" s="3"/>
      <c r="D222" s="3"/>
      <c r="E222" s="3"/>
      <c r="F222" s="4"/>
      <c r="G222" s="83" t="s">
        <v>211</v>
      </c>
      <c r="H222" s="79"/>
      <c r="I222" s="80">
        <v>2</v>
      </c>
      <c r="J222" s="81">
        <v>120</v>
      </c>
      <c r="K222" s="81">
        <f>I222*J222</f>
        <v>240</v>
      </c>
      <c r="L222" s="2"/>
      <c r="M222" s="2"/>
      <c r="N222" s="71"/>
    </row>
    <row r="223" spans="1:14" ht="14.1" customHeight="1">
      <c r="A223" s="3"/>
      <c r="B223" s="3"/>
      <c r="C223" s="3"/>
      <c r="D223" s="3"/>
      <c r="E223" s="3"/>
      <c r="F223" s="4"/>
      <c r="G223" s="83" t="s">
        <v>213</v>
      </c>
      <c r="H223" s="79"/>
      <c r="I223" s="80">
        <v>0.25</v>
      </c>
      <c r="J223" s="81">
        <v>348</v>
      </c>
      <c r="K223" s="81">
        <f t="shared" ref="K223:K224" si="54">I223*J223</f>
        <v>87</v>
      </c>
      <c r="L223" s="2"/>
      <c r="M223" s="2"/>
      <c r="N223" s="71"/>
    </row>
    <row r="224" spans="1:14" ht="14.1" customHeight="1">
      <c r="A224" s="3"/>
      <c r="B224" s="3"/>
      <c r="C224" s="3"/>
      <c r="D224" s="3"/>
      <c r="E224" s="3"/>
      <c r="F224" s="4"/>
      <c r="G224" s="83" t="s">
        <v>45</v>
      </c>
      <c r="H224" s="79"/>
      <c r="I224" s="80">
        <v>0.2</v>
      </c>
      <c r="J224" s="81">
        <v>45</v>
      </c>
      <c r="K224" s="81">
        <f t="shared" si="54"/>
        <v>9</v>
      </c>
      <c r="L224" s="2"/>
      <c r="M224" s="2"/>
      <c r="N224" s="71"/>
    </row>
    <row r="225" spans="1:14" ht="14.1" customHeight="1">
      <c r="A225" s="3"/>
      <c r="B225" s="3"/>
      <c r="C225" s="3"/>
      <c r="D225" s="3"/>
      <c r="E225" s="256" t="s">
        <v>9</v>
      </c>
      <c r="F225" s="110">
        <f>SUM(F219:F224)</f>
        <v>43.744</v>
      </c>
      <c r="G225" s="256"/>
      <c r="H225" s="256"/>
      <c r="I225" s="97"/>
      <c r="J225" s="97"/>
      <c r="K225" s="111">
        <f>SUM(K219:K224)</f>
        <v>412.64</v>
      </c>
      <c r="L225" s="111">
        <f>K225/F225</f>
        <v>9.4330651060716892</v>
      </c>
      <c r="M225" s="2"/>
      <c r="N225" s="71"/>
    </row>
    <row r="226" spans="1:14" ht="14.1" customHeight="1">
      <c r="A226" s="120">
        <v>7761</v>
      </c>
      <c r="B226" s="100" t="s">
        <v>485</v>
      </c>
      <c r="C226" s="89" t="s">
        <v>217</v>
      </c>
      <c r="D226" s="89" t="s">
        <v>180</v>
      </c>
      <c r="E226" s="505" t="s">
        <v>93</v>
      </c>
      <c r="F226" s="99">
        <f>40*1.0936</f>
        <v>43.744</v>
      </c>
      <c r="G226" s="91" t="s">
        <v>123</v>
      </c>
      <c r="H226" s="505"/>
      <c r="I226" s="96">
        <v>0.24</v>
      </c>
      <c r="J226" s="81">
        <v>750</v>
      </c>
      <c r="K226" s="94">
        <f t="shared" ref="K226:K228" si="55">I226*J226</f>
        <v>180</v>
      </c>
      <c r="L226" s="102"/>
      <c r="M226" s="2"/>
      <c r="N226" s="71"/>
    </row>
    <row r="227" spans="1:14" ht="14.1" customHeight="1">
      <c r="A227" s="3"/>
      <c r="B227" s="3"/>
      <c r="C227" s="3"/>
      <c r="D227" s="3"/>
      <c r="E227" s="3"/>
      <c r="F227" s="4"/>
      <c r="G227" s="91" t="s">
        <v>888</v>
      </c>
      <c r="H227" s="109"/>
      <c r="I227" s="80">
        <v>3.5000000000000003E-2</v>
      </c>
      <c r="J227" s="81">
        <v>690</v>
      </c>
      <c r="K227" s="81">
        <f t="shared" si="55"/>
        <v>24.150000000000002</v>
      </c>
      <c r="L227" s="102"/>
      <c r="M227" s="2"/>
      <c r="N227" s="71"/>
    </row>
    <row r="228" spans="1:14" ht="14.1" customHeight="1">
      <c r="A228" s="3"/>
      <c r="B228" s="3"/>
      <c r="C228" s="3"/>
      <c r="D228" s="3"/>
      <c r="E228" s="3"/>
      <c r="F228" s="4"/>
      <c r="G228" s="91" t="s">
        <v>209</v>
      </c>
      <c r="H228" s="79"/>
      <c r="I228" s="80">
        <v>0.03</v>
      </c>
      <c r="J228" s="81">
        <v>350</v>
      </c>
      <c r="K228" s="81">
        <f t="shared" si="55"/>
        <v>10.5</v>
      </c>
      <c r="L228" s="79"/>
      <c r="M228" s="2"/>
      <c r="N228" s="71"/>
    </row>
    <row r="229" spans="1:14" ht="14.1" customHeight="1">
      <c r="A229" s="3"/>
      <c r="B229" s="3"/>
      <c r="C229" s="3"/>
      <c r="D229" s="3"/>
      <c r="E229" s="3"/>
      <c r="F229" s="4"/>
      <c r="G229" s="506" t="s">
        <v>211</v>
      </c>
      <c r="H229" s="79"/>
      <c r="I229" s="80">
        <v>3</v>
      </c>
      <c r="J229" s="81">
        <v>120</v>
      </c>
      <c r="K229" s="81">
        <f>I229*J229</f>
        <v>360</v>
      </c>
      <c r="L229" s="102"/>
      <c r="M229" s="2"/>
      <c r="N229" s="71"/>
    </row>
    <row r="230" spans="1:14" ht="14.1" customHeight="1">
      <c r="A230" s="3"/>
      <c r="B230" s="3"/>
      <c r="C230" s="3"/>
      <c r="D230" s="3"/>
      <c r="E230" s="3"/>
      <c r="F230" s="4"/>
      <c r="G230" s="506" t="s">
        <v>213</v>
      </c>
      <c r="H230" s="79"/>
      <c r="I230" s="80">
        <v>0.3</v>
      </c>
      <c r="J230" s="81">
        <v>348</v>
      </c>
      <c r="K230" s="81">
        <f t="shared" ref="K230:K231" si="56">I230*J230</f>
        <v>104.39999999999999</v>
      </c>
      <c r="L230" s="102"/>
      <c r="M230" s="2"/>
      <c r="N230" s="71"/>
    </row>
    <row r="231" spans="1:14" ht="14.1" customHeight="1">
      <c r="A231" s="3"/>
      <c r="B231" s="3"/>
      <c r="C231" s="3"/>
      <c r="D231" s="3"/>
      <c r="E231" s="3"/>
      <c r="F231" s="4"/>
      <c r="G231" s="506" t="s">
        <v>45</v>
      </c>
      <c r="H231" s="79"/>
      <c r="I231" s="80">
        <v>0.2</v>
      </c>
      <c r="J231" s="81">
        <v>45</v>
      </c>
      <c r="K231" s="81">
        <f t="shared" si="56"/>
        <v>9</v>
      </c>
      <c r="L231" s="102"/>
      <c r="M231" s="2"/>
      <c r="N231" s="71"/>
    </row>
    <row r="232" spans="1:14" ht="14.1" customHeight="1">
      <c r="A232" s="3"/>
      <c r="B232" s="3"/>
      <c r="C232" s="3"/>
      <c r="D232" s="3"/>
      <c r="E232" s="504" t="s">
        <v>9</v>
      </c>
      <c r="F232" s="110">
        <f>SUM(F226:F231)</f>
        <v>43.744</v>
      </c>
      <c r="G232" s="504"/>
      <c r="H232" s="504"/>
      <c r="I232" s="97"/>
      <c r="J232" s="97"/>
      <c r="K232" s="111">
        <f>SUM(K226:K231)</f>
        <v>688.05</v>
      </c>
      <c r="L232" s="111">
        <f>K232/F232</f>
        <v>15.729014264813459</v>
      </c>
      <c r="M232" s="2"/>
      <c r="N232" s="71"/>
    </row>
    <row r="233" spans="1:14" ht="14.1" customHeight="1">
      <c r="A233" s="3">
        <v>7762</v>
      </c>
      <c r="B233" s="100" t="s">
        <v>1018</v>
      </c>
      <c r="C233" s="541" t="s">
        <v>792</v>
      </c>
      <c r="D233" s="3" t="s">
        <v>1019</v>
      </c>
      <c r="E233" s="505" t="s">
        <v>93</v>
      </c>
      <c r="F233" s="99">
        <f>20*1.0936</f>
        <v>21.872</v>
      </c>
      <c r="G233" s="91" t="s">
        <v>209</v>
      </c>
      <c r="H233" s="79"/>
      <c r="I233" s="80">
        <v>0.6</v>
      </c>
      <c r="J233" s="81">
        <v>350</v>
      </c>
      <c r="K233" s="81">
        <f t="shared" ref="K233" si="57">I233*J233</f>
        <v>210</v>
      </c>
      <c r="L233" s="102"/>
      <c r="M233" s="2"/>
      <c r="N233" s="71"/>
    </row>
    <row r="234" spans="1:14" ht="14.1" customHeight="1">
      <c r="A234" s="3"/>
      <c r="B234" s="3"/>
      <c r="C234" s="3"/>
      <c r="D234" s="3"/>
      <c r="E234" s="3"/>
      <c r="F234" s="4"/>
      <c r="G234" s="91" t="s">
        <v>123</v>
      </c>
      <c r="H234" s="505"/>
      <c r="I234" s="96">
        <v>0.35</v>
      </c>
      <c r="J234" s="81">
        <v>750</v>
      </c>
      <c r="K234" s="94">
        <f t="shared" ref="K234" si="58">I234*J234</f>
        <v>262.5</v>
      </c>
      <c r="L234" s="102"/>
      <c r="M234" s="2"/>
      <c r="N234" s="71"/>
    </row>
    <row r="235" spans="1:14" ht="14.1" customHeight="1">
      <c r="A235" s="3"/>
      <c r="B235" s="3"/>
      <c r="C235" s="3"/>
      <c r="D235" s="3"/>
      <c r="E235" s="3"/>
      <c r="F235" s="4"/>
      <c r="G235" s="91" t="s">
        <v>677</v>
      </c>
      <c r="H235" s="79"/>
      <c r="I235" s="80">
        <v>0.03</v>
      </c>
      <c r="J235" s="81">
        <v>680</v>
      </c>
      <c r="K235" s="81">
        <f t="shared" ref="K235" si="59">I235*J235</f>
        <v>20.399999999999999</v>
      </c>
      <c r="L235" s="79"/>
      <c r="M235" s="2"/>
      <c r="N235" s="71"/>
    </row>
    <row r="236" spans="1:14" ht="14.1" customHeight="1">
      <c r="A236" s="3"/>
      <c r="B236" s="3"/>
      <c r="C236" s="3"/>
      <c r="D236" s="3"/>
      <c r="E236" s="3"/>
      <c r="F236" s="4"/>
      <c r="G236" s="506" t="s">
        <v>211</v>
      </c>
      <c r="H236" s="79"/>
      <c r="I236" s="80">
        <v>2.5</v>
      </c>
      <c r="J236" s="81">
        <v>120</v>
      </c>
      <c r="K236" s="81">
        <f>I236*J236</f>
        <v>300</v>
      </c>
      <c r="L236" s="102"/>
      <c r="M236" s="2"/>
      <c r="N236" s="71"/>
    </row>
    <row r="237" spans="1:14" ht="14.1" customHeight="1">
      <c r="A237" s="3"/>
      <c r="B237" s="3"/>
      <c r="C237" s="3"/>
      <c r="D237" s="3"/>
      <c r="E237" s="3"/>
      <c r="F237" s="4"/>
      <c r="G237" s="506" t="s">
        <v>213</v>
      </c>
      <c r="H237" s="79"/>
      <c r="I237" s="80">
        <v>0.25</v>
      </c>
      <c r="J237" s="81">
        <v>348</v>
      </c>
      <c r="K237" s="81">
        <f t="shared" ref="K237:K239" si="60">I237*J237</f>
        <v>87</v>
      </c>
      <c r="L237" s="102"/>
      <c r="M237" s="2"/>
      <c r="N237" s="71"/>
    </row>
    <row r="238" spans="1:14" ht="14.1" customHeight="1">
      <c r="A238" s="3"/>
      <c r="B238" s="3"/>
      <c r="C238" s="3"/>
      <c r="D238" s="3"/>
      <c r="E238" s="3"/>
      <c r="F238" s="4"/>
      <c r="G238" s="506" t="s">
        <v>45</v>
      </c>
      <c r="H238" s="79"/>
      <c r="I238" s="80">
        <v>0.18</v>
      </c>
      <c r="J238" s="81">
        <v>45</v>
      </c>
      <c r="K238" s="81">
        <f t="shared" si="60"/>
        <v>8.1</v>
      </c>
      <c r="L238" s="102"/>
      <c r="M238" s="2"/>
      <c r="N238" s="71"/>
    </row>
    <row r="239" spans="1:14" ht="14.1" customHeight="1">
      <c r="A239" s="3"/>
      <c r="B239" s="3"/>
      <c r="C239" s="3"/>
      <c r="D239" s="3"/>
      <c r="E239" s="3"/>
      <c r="F239" s="4"/>
      <c r="G239" s="505" t="s">
        <v>28</v>
      </c>
      <c r="H239" s="79"/>
      <c r="I239" s="80">
        <v>0.25</v>
      </c>
      <c r="J239" s="81">
        <v>17</v>
      </c>
      <c r="K239" s="81">
        <f t="shared" si="60"/>
        <v>4.25</v>
      </c>
      <c r="L239" s="102"/>
      <c r="M239" s="2"/>
      <c r="N239" s="71"/>
    </row>
    <row r="240" spans="1:14" ht="14.1" customHeight="1">
      <c r="A240" s="3"/>
      <c r="B240" s="3"/>
      <c r="C240" s="3"/>
      <c r="D240" s="3"/>
      <c r="E240" s="504" t="s">
        <v>9</v>
      </c>
      <c r="F240" s="110">
        <f>SUM(F233:F239)</f>
        <v>21.872</v>
      </c>
      <c r="G240" s="504"/>
      <c r="H240" s="504"/>
      <c r="I240" s="97"/>
      <c r="J240" s="97"/>
      <c r="K240" s="111">
        <f>SUM(K233:K239)</f>
        <v>892.25</v>
      </c>
      <c r="L240" s="111">
        <f>K240/F240</f>
        <v>40.794166057059257</v>
      </c>
      <c r="M240" s="2"/>
      <c r="N240" s="71"/>
    </row>
    <row r="241" spans="1:14" ht="14.1" customHeight="1">
      <c r="A241" s="505">
        <v>7763</v>
      </c>
      <c r="B241" s="100" t="s">
        <v>1018</v>
      </c>
      <c r="C241" s="541" t="s">
        <v>792</v>
      </c>
      <c r="D241" s="505" t="s">
        <v>867</v>
      </c>
      <c r="E241" s="505" t="s">
        <v>93</v>
      </c>
      <c r="F241" s="99">
        <f>4910*1.0936</f>
        <v>5369.5759999999991</v>
      </c>
      <c r="G241" s="506" t="s">
        <v>211</v>
      </c>
      <c r="H241" s="79"/>
      <c r="I241" s="80">
        <v>1</v>
      </c>
      <c r="J241" s="81">
        <v>120</v>
      </c>
      <c r="K241" s="81">
        <f>I241*J241</f>
        <v>120</v>
      </c>
      <c r="L241" s="102"/>
      <c r="M241" s="2"/>
      <c r="N241" s="71"/>
    </row>
    <row r="242" spans="1:14" ht="14.1" customHeight="1">
      <c r="A242" s="505"/>
      <c r="B242" s="505"/>
      <c r="C242" s="505"/>
      <c r="D242" s="505"/>
      <c r="E242" s="505"/>
      <c r="F242" s="87"/>
      <c r="G242" s="506" t="s">
        <v>45</v>
      </c>
      <c r="H242" s="79"/>
      <c r="I242" s="80">
        <v>0.5</v>
      </c>
      <c r="J242" s="81">
        <v>45</v>
      </c>
      <c r="K242" s="81">
        <f t="shared" ref="K242:K243" si="61">I242*J242</f>
        <v>22.5</v>
      </c>
      <c r="L242" s="102"/>
      <c r="M242" s="2"/>
      <c r="N242" s="71"/>
    </row>
    <row r="243" spans="1:14" ht="14.1" customHeight="1">
      <c r="A243" s="3"/>
      <c r="B243" s="3"/>
      <c r="C243" s="3"/>
      <c r="D243" s="3"/>
      <c r="E243" s="3"/>
      <c r="F243" s="4"/>
      <c r="G243" s="505" t="s">
        <v>28</v>
      </c>
      <c r="H243" s="79"/>
      <c r="I243" s="80">
        <v>0.5</v>
      </c>
      <c r="J243" s="81">
        <v>17</v>
      </c>
      <c r="K243" s="81">
        <f t="shared" si="61"/>
        <v>8.5</v>
      </c>
      <c r="L243" s="102"/>
      <c r="M243" s="2"/>
      <c r="N243" s="71"/>
    </row>
    <row r="244" spans="1:14" ht="14.1" customHeight="1">
      <c r="A244" s="3"/>
      <c r="B244" s="3"/>
      <c r="C244" s="3"/>
      <c r="D244" s="3"/>
      <c r="E244" s="3"/>
      <c r="F244" s="4"/>
      <c r="G244" s="506" t="s">
        <v>214</v>
      </c>
      <c r="H244" s="79"/>
      <c r="I244" s="80">
        <v>40</v>
      </c>
      <c r="J244" s="81">
        <v>360</v>
      </c>
      <c r="K244" s="81">
        <f t="shared" ref="K244" si="62">I244*J244</f>
        <v>14400</v>
      </c>
      <c r="L244" s="102"/>
      <c r="M244" s="2"/>
      <c r="N244" s="71"/>
    </row>
    <row r="245" spans="1:14" ht="14.1" customHeight="1">
      <c r="A245" s="3"/>
      <c r="B245" s="3"/>
      <c r="C245" s="3"/>
      <c r="D245" s="3"/>
      <c r="E245" s="504" t="s">
        <v>9</v>
      </c>
      <c r="F245" s="110">
        <f>SUM(F241:F244)</f>
        <v>5369.5759999999991</v>
      </c>
      <c r="G245" s="504"/>
      <c r="H245" s="504"/>
      <c r="I245" s="97"/>
      <c r="J245" s="97"/>
      <c r="K245" s="111">
        <f>SUM(K241:K244)</f>
        <v>14551</v>
      </c>
      <c r="L245" s="111">
        <f>K245/F245</f>
        <v>2.709897392270824</v>
      </c>
      <c r="M245" s="2"/>
      <c r="N245" s="71"/>
    </row>
    <row r="246" spans="1:14" s="107" customFormat="1" ht="14.1" customHeight="1">
      <c r="A246" s="505">
        <v>7764</v>
      </c>
      <c r="B246" s="100" t="s">
        <v>1020</v>
      </c>
      <c r="C246" s="505" t="s">
        <v>115</v>
      </c>
      <c r="D246" s="505" t="s">
        <v>391</v>
      </c>
      <c r="E246" s="505" t="s">
        <v>93</v>
      </c>
      <c r="F246" s="99">
        <f>20*1.0936</f>
        <v>21.872</v>
      </c>
      <c r="G246" s="91" t="s">
        <v>123</v>
      </c>
      <c r="H246" s="505"/>
      <c r="I246" s="96">
        <f>0.05</f>
        <v>0.05</v>
      </c>
      <c r="J246" s="81">
        <v>750</v>
      </c>
      <c r="K246" s="94">
        <f t="shared" ref="K246:K251" si="63">I246*J246</f>
        <v>37.5</v>
      </c>
      <c r="L246" s="102"/>
      <c r="M246" s="79"/>
    </row>
    <row r="247" spans="1:14" ht="14.1" customHeight="1">
      <c r="A247" s="3"/>
      <c r="B247" s="3"/>
      <c r="C247" s="3"/>
      <c r="D247" s="3"/>
      <c r="E247" s="3"/>
      <c r="F247" s="4"/>
      <c r="G247" s="91" t="s">
        <v>888</v>
      </c>
      <c r="H247" s="109"/>
      <c r="I247" s="80">
        <v>0.8</v>
      </c>
      <c r="J247" s="81">
        <v>690</v>
      </c>
      <c r="K247" s="81">
        <f t="shared" si="63"/>
        <v>552</v>
      </c>
      <c r="L247" s="102"/>
      <c r="M247" s="2"/>
      <c r="N247" s="71"/>
    </row>
    <row r="248" spans="1:14" ht="14.1" customHeight="1">
      <c r="A248" s="3"/>
      <c r="B248" s="3"/>
      <c r="C248" s="3"/>
      <c r="D248" s="3"/>
      <c r="E248" s="3"/>
      <c r="F248" s="4"/>
      <c r="G248" s="91" t="s">
        <v>677</v>
      </c>
      <c r="H248" s="79"/>
      <c r="I248" s="80">
        <v>0.3</v>
      </c>
      <c r="J248" s="81">
        <v>680</v>
      </c>
      <c r="K248" s="81">
        <f t="shared" si="63"/>
        <v>204</v>
      </c>
      <c r="L248" s="79"/>
      <c r="M248" s="2"/>
      <c r="N248" s="71"/>
    </row>
    <row r="249" spans="1:14" ht="14.1" customHeight="1">
      <c r="A249" s="3"/>
      <c r="B249" s="3"/>
      <c r="C249" s="3"/>
      <c r="D249" s="3"/>
      <c r="E249" s="3"/>
      <c r="F249" s="4"/>
      <c r="G249" s="91" t="s">
        <v>215</v>
      </c>
      <c r="H249" s="109"/>
      <c r="I249" s="80">
        <v>0.15</v>
      </c>
      <c r="J249" s="81">
        <v>750</v>
      </c>
      <c r="K249" s="81">
        <f t="shared" si="63"/>
        <v>112.5</v>
      </c>
      <c r="L249" s="79"/>
      <c r="M249" s="2"/>
      <c r="N249" s="71"/>
    </row>
    <row r="250" spans="1:14" ht="14.1" customHeight="1">
      <c r="A250" s="3"/>
      <c r="B250" s="3"/>
      <c r="C250" s="3"/>
      <c r="D250" s="3"/>
      <c r="E250" s="3"/>
      <c r="F250" s="4"/>
      <c r="G250" s="91" t="s">
        <v>221</v>
      </c>
      <c r="H250" s="112"/>
      <c r="I250" s="113">
        <v>1.2</v>
      </c>
      <c r="J250" s="81">
        <v>980</v>
      </c>
      <c r="K250" s="81">
        <f t="shared" si="63"/>
        <v>1176</v>
      </c>
      <c r="L250" s="102"/>
      <c r="M250" s="2"/>
      <c r="N250" s="71"/>
    </row>
    <row r="251" spans="1:14" ht="14.1" customHeight="1">
      <c r="A251" s="3"/>
      <c r="B251" s="3"/>
      <c r="C251" s="3"/>
      <c r="D251" s="3"/>
      <c r="E251" s="3"/>
      <c r="F251" s="4"/>
      <c r="G251" s="91" t="s">
        <v>1021</v>
      </c>
      <c r="H251" s="79"/>
      <c r="I251" s="80">
        <v>0.02</v>
      </c>
      <c r="J251" s="81">
        <v>580</v>
      </c>
      <c r="K251" s="81">
        <f t="shared" si="63"/>
        <v>11.6</v>
      </c>
      <c r="L251" s="102"/>
      <c r="M251" s="2"/>
      <c r="N251" s="71"/>
    </row>
    <row r="252" spans="1:14" ht="14.1" customHeight="1">
      <c r="A252" s="3"/>
      <c r="B252" s="3"/>
      <c r="C252" s="3"/>
      <c r="D252" s="3"/>
      <c r="E252" s="3"/>
      <c r="F252" s="4"/>
      <c r="G252" s="506" t="s">
        <v>211</v>
      </c>
      <c r="H252" s="79"/>
      <c r="I252" s="80">
        <v>5</v>
      </c>
      <c r="J252" s="81">
        <v>120</v>
      </c>
      <c r="K252" s="81">
        <f>I252*J252</f>
        <v>600</v>
      </c>
      <c r="L252" s="102"/>
      <c r="M252" s="2"/>
      <c r="N252" s="71"/>
    </row>
    <row r="253" spans="1:14" ht="14.1" customHeight="1">
      <c r="A253" s="3"/>
      <c r="B253" s="3"/>
      <c r="C253" s="3"/>
      <c r="D253" s="3"/>
      <c r="E253" s="3"/>
      <c r="F253" s="4"/>
      <c r="G253" s="506" t="s">
        <v>45</v>
      </c>
      <c r="H253" s="79"/>
      <c r="I253" s="80">
        <v>0.6</v>
      </c>
      <c r="J253" s="81">
        <v>45</v>
      </c>
      <c r="K253" s="81">
        <f t="shared" ref="K253:K255" si="64">I253*J253</f>
        <v>27</v>
      </c>
      <c r="L253" s="102"/>
      <c r="M253" s="2"/>
      <c r="N253" s="71"/>
    </row>
    <row r="254" spans="1:14" ht="14.1" customHeight="1">
      <c r="A254" s="3"/>
      <c r="B254" s="3"/>
      <c r="C254" s="3"/>
      <c r="D254" s="3"/>
      <c r="E254" s="3"/>
      <c r="F254" s="4"/>
      <c r="G254" s="506" t="s">
        <v>213</v>
      </c>
      <c r="H254" s="79"/>
      <c r="I254" s="80">
        <v>0.6</v>
      </c>
      <c r="J254" s="81">
        <v>348</v>
      </c>
      <c r="K254" s="81">
        <f t="shared" si="64"/>
        <v>208.79999999999998</v>
      </c>
      <c r="L254" s="102"/>
      <c r="M254" s="2"/>
      <c r="N254" s="71"/>
    </row>
    <row r="255" spans="1:14" ht="14.1" customHeight="1">
      <c r="A255" s="3"/>
      <c r="B255" s="3"/>
      <c r="C255" s="3"/>
      <c r="D255" s="3"/>
      <c r="E255" s="3"/>
      <c r="F255" s="4"/>
      <c r="G255" s="506" t="s">
        <v>214</v>
      </c>
      <c r="H255" s="79"/>
      <c r="I255" s="80">
        <v>18</v>
      </c>
      <c r="J255" s="81">
        <v>360</v>
      </c>
      <c r="K255" s="81">
        <f t="shared" si="64"/>
        <v>6480</v>
      </c>
      <c r="L255" s="102"/>
      <c r="M255" s="2"/>
      <c r="N255" s="71"/>
    </row>
    <row r="256" spans="1:14" ht="14.1" customHeight="1">
      <c r="A256" s="85"/>
      <c r="B256" s="85"/>
      <c r="C256" s="85"/>
      <c r="D256" s="85"/>
      <c r="E256" s="234" t="s">
        <v>9</v>
      </c>
      <c r="F256" s="110">
        <f>SUM(F246:F255)</f>
        <v>21.872</v>
      </c>
      <c r="G256" s="234"/>
      <c r="H256" s="234"/>
      <c r="I256" s="97"/>
      <c r="J256" s="97"/>
      <c r="K256" s="111">
        <f>SUM(K246:K255)</f>
        <v>9409.4</v>
      </c>
      <c r="L256" s="175">
        <f>K256/F256</f>
        <v>430.2029992684711</v>
      </c>
      <c r="M256" s="102"/>
      <c r="N256" s="71"/>
    </row>
    <row r="257" spans="1:14" ht="14.1" customHeight="1">
      <c r="A257" s="71"/>
      <c r="B257" s="71"/>
      <c r="C257" s="71"/>
      <c r="D257" s="126" t="s">
        <v>30</v>
      </c>
      <c r="E257" s="126"/>
      <c r="F257" s="127">
        <f>F225+F232+F240+F245+F256</f>
        <v>5500.8079999999991</v>
      </c>
      <c r="G257" s="128"/>
      <c r="H257" s="128"/>
      <c r="I257" s="128"/>
      <c r="J257" s="128"/>
      <c r="K257" s="127">
        <f>K225+K232+K240+K245+K256</f>
        <v>25953.339999999997</v>
      </c>
      <c r="L257" s="129">
        <f>K257/F257</f>
        <v>4.7180959597208263</v>
      </c>
      <c r="M257" s="71"/>
      <c r="N257" s="71"/>
    </row>
    <row r="258" spans="1:14" s="71" customFormat="1" ht="14.1" customHeight="1"/>
    <row r="259" spans="1:14" ht="14.1" customHeight="1"/>
    <row r="260" spans="1:14" ht="14.1" customHeight="1">
      <c r="B260" s="28"/>
      <c r="C260" s="28"/>
      <c r="D260" s="133" t="s">
        <v>1009</v>
      </c>
      <c r="E260" s="405">
        <f>F158+F257</f>
        <v>17366.368000000002</v>
      </c>
      <c r="F260" s="133"/>
      <c r="G260" s="134">
        <f>K52+K79+K106+K112+K158+K196+K216+K257</f>
        <v>376337.81500000006</v>
      </c>
      <c r="H260" s="135"/>
      <c r="I260" s="135"/>
      <c r="J260" s="135"/>
      <c r="K260" s="135"/>
      <c r="L260" s="134">
        <f>G260/E260</f>
        <v>21.670496387039595</v>
      </c>
    </row>
    <row r="261" spans="1:14" ht="14.1" customHeight="1">
      <c r="B261" s="28"/>
      <c r="C261" s="28"/>
      <c r="D261" s="109" t="s">
        <v>855</v>
      </c>
      <c r="E261" s="406"/>
      <c r="F261" s="109"/>
      <c r="G261" s="359">
        <f>K115+K116+K117+K121+K122+K123+J129+J130+J131+J135+J136+J137+J138+J139+J143+J144+J145+J149+J150+J151+J152+J153+J154+K219+K220+K221+K226+K227+K228+K233+K234+K235+K246+K247+K248+K249+K250+K251</f>
        <v>31913.916000000001</v>
      </c>
      <c r="H261" s="370"/>
      <c r="I261" s="359">
        <f>'09'!I130+'10'!G261</f>
        <v>640392.48400000017</v>
      </c>
      <c r="J261" s="438">
        <f>G261+M274</f>
        <v>40071.237999999998</v>
      </c>
      <c r="K261" s="360"/>
      <c r="L261" s="396"/>
    </row>
    <row r="262" spans="1:14" ht="14.1" customHeight="1">
      <c r="B262" s="28"/>
      <c r="C262" s="28"/>
      <c r="D262" s="323" t="s">
        <v>854</v>
      </c>
      <c r="E262" s="361"/>
      <c r="F262" s="323"/>
      <c r="G262" s="397">
        <f>G260-G261</f>
        <v>344423.89900000003</v>
      </c>
      <c r="H262" s="398"/>
      <c r="I262" s="359">
        <f>'09'!I131+'10'!G262</f>
        <v>1729194.8910000001</v>
      </c>
      <c r="J262" s="400"/>
      <c r="K262" s="400"/>
      <c r="L262" s="401"/>
    </row>
    <row r="263" spans="1:14" ht="14.1" customHeight="1">
      <c r="B263" s="28"/>
      <c r="C263" s="28"/>
      <c r="D263" s="109" t="s">
        <v>853</v>
      </c>
      <c r="E263" s="407"/>
      <c r="F263" s="109"/>
      <c r="G263" s="410">
        <f>SUM(G261:G262)</f>
        <v>376337.81500000006</v>
      </c>
      <c r="H263" s="402"/>
      <c r="I263" s="403">
        <f>'01'!G158+'02'!G207+'03'!G300+'04'!G211</f>
        <v>98984</v>
      </c>
      <c r="J263" s="402"/>
      <c r="K263" s="402"/>
      <c r="L263" s="404">
        <f>G263/E260</f>
        <v>21.670496387039595</v>
      </c>
    </row>
    <row r="264" spans="1:14" ht="14.1" customHeight="1">
      <c r="B264" s="28"/>
      <c r="C264" s="28"/>
      <c r="D264" s="395" t="s">
        <v>906</v>
      </c>
      <c r="E264" s="408"/>
      <c r="F264" s="109"/>
      <c r="G264" s="409">
        <f>M274</f>
        <v>8157.3219999999992</v>
      </c>
      <c r="H264" s="392"/>
      <c r="I264" s="391"/>
      <c r="J264" s="391"/>
      <c r="K264" s="393"/>
    </row>
    <row r="265" spans="1:14" ht="14.1" customHeight="1">
      <c r="B265" s="28"/>
      <c r="C265" s="28"/>
      <c r="D265" s="29"/>
      <c r="E265" s="29"/>
      <c r="F265" s="29"/>
      <c r="G265" s="29"/>
      <c r="H265" s="30"/>
      <c r="I265" s="29"/>
      <c r="J265" s="29"/>
      <c r="K265" s="29"/>
      <c r="L265" s="29"/>
    </row>
    <row r="266" spans="1:14" ht="14.1" customHeight="1">
      <c r="B266" s="28"/>
      <c r="C266" s="28"/>
      <c r="D266" s="829" t="s">
        <v>852</v>
      </c>
      <c r="E266" s="829"/>
      <c r="F266" s="357">
        <f>G283</f>
        <v>333510</v>
      </c>
      <c r="G266" s="29"/>
      <c r="H266" s="500" t="s">
        <v>908</v>
      </c>
      <c r="I266" s="830" t="s">
        <v>281</v>
      </c>
      <c r="J266" s="831"/>
      <c r="K266" s="80">
        <v>0.37</v>
      </c>
      <c r="L266" s="81">
        <v>1035</v>
      </c>
      <c r="M266" s="81">
        <f t="shared" ref="M266:M272" si="65">K266*L266</f>
        <v>382.95</v>
      </c>
    </row>
    <row r="267" spans="1:14" ht="14.1" customHeight="1">
      <c r="B267" s="28"/>
      <c r="C267" s="28"/>
      <c r="D267" s="829" t="s">
        <v>835</v>
      </c>
      <c r="E267" s="829"/>
      <c r="F267" s="357">
        <f>G272+G273</f>
        <v>13764</v>
      </c>
      <c r="G267" s="29"/>
      <c r="H267" s="500" t="s">
        <v>909</v>
      </c>
      <c r="I267" s="830" t="s">
        <v>282</v>
      </c>
      <c r="J267" s="831"/>
      <c r="K267" s="80">
        <f>3.1+0.2</f>
        <v>3.3000000000000003</v>
      </c>
      <c r="L267" s="81">
        <v>840</v>
      </c>
      <c r="M267" s="81">
        <f t="shared" si="65"/>
        <v>2772</v>
      </c>
    </row>
    <row r="268" spans="1:14" ht="14.1" customHeight="1">
      <c r="B268" s="28"/>
      <c r="C268" s="28"/>
      <c r="D268" s="829" t="s">
        <v>836</v>
      </c>
      <c r="E268" s="829"/>
      <c r="F268" s="357">
        <f>SUM(F266:F267)</f>
        <v>347274</v>
      </c>
      <c r="G268" s="29"/>
      <c r="H268" s="500" t="s">
        <v>910</v>
      </c>
      <c r="I268" s="834" t="s">
        <v>190</v>
      </c>
      <c r="J268" s="835"/>
      <c r="K268" s="80">
        <f>0.19+0.165</f>
        <v>0.35499999999999998</v>
      </c>
      <c r="L268" s="81">
        <v>644</v>
      </c>
      <c r="M268" s="81">
        <f t="shared" ref="M268" si="66">K268*L268</f>
        <v>228.61999999999998</v>
      </c>
    </row>
    <row r="269" spans="1:14" ht="14.1" customHeight="1">
      <c r="B269" s="28"/>
      <c r="C269" s="28"/>
      <c r="D269" s="368" t="s">
        <v>847</v>
      </c>
      <c r="E269" s="368"/>
      <c r="F269" s="357">
        <f>F266-G262</f>
        <v>-10913.899000000034</v>
      </c>
      <c r="G269" s="29"/>
      <c r="H269" s="500" t="s">
        <v>908</v>
      </c>
      <c r="I269" s="830" t="s">
        <v>196</v>
      </c>
      <c r="J269" s="831"/>
      <c r="K269" s="80">
        <f>0.3</f>
        <v>0.3</v>
      </c>
      <c r="L269" s="81">
        <v>888</v>
      </c>
      <c r="M269" s="81">
        <f t="shared" si="65"/>
        <v>266.39999999999998</v>
      </c>
    </row>
    <row r="270" spans="1:14" ht="14.1" customHeight="1">
      <c r="B270" s="28"/>
      <c r="C270" s="28"/>
      <c r="D270" s="29"/>
      <c r="E270" s="29"/>
      <c r="F270" s="29"/>
      <c r="G270" s="29"/>
      <c r="H270" s="500" t="s">
        <v>912</v>
      </c>
      <c r="I270" s="832" t="s">
        <v>405</v>
      </c>
      <c r="J270" s="833"/>
      <c r="K270" s="80">
        <f>1.26+0.054</f>
        <v>1.3140000000000001</v>
      </c>
      <c r="L270" s="81">
        <v>1708</v>
      </c>
      <c r="M270" s="81">
        <f t="shared" si="65"/>
        <v>2244.3119999999999</v>
      </c>
    </row>
    <row r="271" spans="1:14" ht="14.1" customHeight="1">
      <c r="B271" s="516"/>
      <c r="C271" s="508" t="s">
        <v>833</v>
      </c>
      <c r="D271" s="273" t="s">
        <v>844</v>
      </c>
      <c r="E271" s="273" t="s">
        <v>845</v>
      </c>
      <c r="F271" s="273" t="s">
        <v>846</v>
      </c>
      <c r="G271" s="273" t="s">
        <v>5</v>
      </c>
      <c r="H271" s="500" t="s">
        <v>911</v>
      </c>
      <c r="I271" s="830" t="s">
        <v>192</v>
      </c>
      <c r="J271" s="831"/>
      <c r="K271" s="80">
        <f>1.05+0.13+0.12</f>
        <v>1.3000000000000003</v>
      </c>
      <c r="L271" s="81">
        <v>1126</v>
      </c>
      <c r="M271" s="81">
        <f t="shared" si="65"/>
        <v>1463.8000000000004</v>
      </c>
    </row>
    <row r="272" spans="1:14" ht="14.1" customHeight="1">
      <c r="B272" s="28"/>
      <c r="C272" s="28"/>
      <c r="D272" s="273" t="s">
        <v>837</v>
      </c>
      <c r="E272" s="109">
        <v>15.5</v>
      </c>
      <c r="F272" s="332">
        <v>888</v>
      </c>
      <c r="G272" s="329">
        <f>F272*E272</f>
        <v>13764</v>
      </c>
      <c r="H272" s="500" t="s">
        <v>909</v>
      </c>
      <c r="I272" s="830" t="s">
        <v>199</v>
      </c>
      <c r="J272" s="831"/>
      <c r="K272" s="80">
        <f>0.808+0.7</f>
        <v>1.508</v>
      </c>
      <c r="L272" s="81">
        <v>530</v>
      </c>
      <c r="M272" s="81">
        <f t="shared" si="65"/>
        <v>799.24</v>
      </c>
    </row>
    <row r="273" spans="1:13" ht="14.1" customHeight="1">
      <c r="B273" s="28"/>
      <c r="C273" s="28"/>
      <c r="D273" s="273" t="s">
        <v>849</v>
      </c>
      <c r="E273" s="109">
        <v>34</v>
      </c>
      <c r="F273" s="332"/>
      <c r="G273" s="329">
        <f t="shared" ref="G273:G282" si="67">F273*E273</f>
        <v>0</v>
      </c>
      <c r="H273" s="500" t="s">
        <v>911</v>
      </c>
      <c r="I273" s="830"/>
      <c r="J273" s="831"/>
      <c r="K273" s="80"/>
      <c r="L273" s="81"/>
      <c r="M273" s="81"/>
    </row>
    <row r="274" spans="1:13" ht="14.1" customHeight="1">
      <c r="A274" s="68"/>
      <c r="B274" s="29"/>
      <c r="C274" s="29"/>
      <c r="D274" s="322" t="s">
        <v>843</v>
      </c>
      <c r="E274" s="317"/>
      <c r="F274" s="321"/>
      <c r="G274" s="320">
        <f>SUM(G272:G273)</f>
        <v>13764</v>
      </c>
      <c r="H274" s="29"/>
      <c r="I274" s="844" t="s">
        <v>906</v>
      </c>
      <c r="J274" s="845"/>
      <c r="K274" s="490">
        <f>SUM(K266:K273)</f>
        <v>8.4469999999999992</v>
      </c>
      <c r="L274" s="491"/>
      <c r="M274" s="489">
        <f>SUM(M266:M273)</f>
        <v>8157.3219999999992</v>
      </c>
    </row>
    <row r="275" spans="1:13" ht="14.1" customHeight="1">
      <c r="B275" s="28"/>
      <c r="C275" s="28"/>
      <c r="D275" s="390" t="s">
        <v>968</v>
      </c>
      <c r="E275" s="109">
        <v>360</v>
      </c>
      <c r="F275" s="332">
        <v>100</v>
      </c>
      <c r="G275" s="329">
        <f t="shared" si="67"/>
        <v>36000</v>
      </c>
      <c r="H275" s="29"/>
      <c r="I275" s="29"/>
      <c r="J275" s="29"/>
      <c r="K275" s="29"/>
      <c r="L275" s="29"/>
      <c r="M275" s="263">
        <f>G261+M274</f>
        <v>40071.237999999998</v>
      </c>
    </row>
    <row r="276" spans="1:13" ht="14.1" customHeight="1">
      <c r="B276" s="28"/>
      <c r="C276" s="28"/>
      <c r="D276" s="436" t="s">
        <v>25</v>
      </c>
      <c r="E276" s="109">
        <v>172</v>
      </c>
      <c r="F276" s="332">
        <v>50</v>
      </c>
      <c r="G276" s="329">
        <f t="shared" si="67"/>
        <v>8600</v>
      </c>
      <c r="H276" s="29"/>
      <c r="I276" s="29"/>
      <c r="J276" s="29"/>
      <c r="K276" s="29"/>
      <c r="L276" s="29"/>
    </row>
    <row r="277" spans="1:13" ht="14.1" customHeight="1">
      <c r="B277" s="28"/>
      <c r="C277" s="28"/>
      <c r="D277" s="273" t="s">
        <v>1068</v>
      </c>
      <c r="E277" s="109">
        <v>227</v>
      </c>
      <c r="F277" s="332">
        <v>120</v>
      </c>
      <c r="G277" s="329">
        <f t="shared" si="67"/>
        <v>27240</v>
      </c>
      <c r="H277" s="29"/>
      <c r="I277" s="29"/>
      <c r="J277" s="29"/>
      <c r="K277" s="29"/>
      <c r="L277" s="29"/>
    </row>
    <row r="278" spans="1:13" ht="14.1" customHeight="1">
      <c r="B278" s="28"/>
      <c r="C278" s="28"/>
      <c r="D278" s="273" t="s">
        <v>1067</v>
      </c>
      <c r="E278" s="109">
        <v>416</v>
      </c>
      <c r="F278" s="332">
        <v>120</v>
      </c>
      <c r="G278" s="329">
        <f t="shared" si="67"/>
        <v>49920</v>
      </c>
      <c r="H278" s="28"/>
      <c r="I278" s="28"/>
      <c r="J278" s="28"/>
      <c r="K278" s="28"/>
      <c r="L278" s="28"/>
    </row>
    <row r="279" spans="1:13" ht="14.1" customHeight="1">
      <c r="B279" s="28"/>
      <c r="C279" s="28"/>
      <c r="D279" s="273" t="s">
        <v>839</v>
      </c>
      <c r="E279" s="109">
        <v>120</v>
      </c>
      <c r="F279" s="332">
        <v>90</v>
      </c>
      <c r="G279" s="329">
        <f t="shared" si="67"/>
        <v>10800</v>
      </c>
      <c r="H279" s="28"/>
      <c r="I279" s="28"/>
      <c r="J279" s="28"/>
      <c r="K279" s="28"/>
      <c r="L279" s="28"/>
    </row>
    <row r="280" spans="1:13" ht="14.1" customHeight="1">
      <c r="B280" s="28"/>
      <c r="C280" s="28"/>
      <c r="D280" s="505" t="s">
        <v>19</v>
      </c>
      <c r="E280" s="109">
        <v>74</v>
      </c>
      <c r="F280" s="332">
        <f>200+50+2000</f>
        <v>2250</v>
      </c>
      <c r="G280" s="329">
        <f t="shared" si="67"/>
        <v>166500</v>
      </c>
      <c r="H280" s="28"/>
      <c r="I280" s="28"/>
      <c r="J280" s="28"/>
      <c r="K280" s="28"/>
      <c r="L280" s="28"/>
    </row>
    <row r="281" spans="1:13" ht="14.1" customHeight="1">
      <c r="B281" s="28"/>
      <c r="C281" s="28"/>
      <c r="D281" s="505" t="s">
        <v>184</v>
      </c>
      <c r="E281" s="109">
        <v>336</v>
      </c>
      <c r="F281" s="332">
        <v>100</v>
      </c>
      <c r="G281" s="329">
        <f t="shared" si="67"/>
        <v>33600</v>
      </c>
      <c r="H281" s="28"/>
      <c r="I281" s="28"/>
      <c r="J281" s="28"/>
      <c r="K281" s="28"/>
      <c r="L281" s="28"/>
    </row>
    <row r="282" spans="1:13" ht="14.1" customHeight="1">
      <c r="B282" s="28"/>
      <c r="C282" s="28"/>
      <c r="D282" s="505" t="s">
        <v>28</v>
      </c>
      <c r="E282" s="109">
        <v>17</v>
      </c>
      <c r="F282" s="332">
        <v>50</v>
      </c>
      <c r="G282" s="329">
        <f t="shared" si="67"/>
        <v>850</v>
      </c>
      <c r="H282" s="28"/>
      <c r="I282" s="28"/>
      <c r="J282" s="28"/>
      <c r="K282" s="28"/>
      <c r="L282" s="28"/>
    </row>
    <row r="283" spans="1:13" ht="14.1" customHeight="1">
      <c r="B283" s="28"/>
      <c r="C283" s="28"/>
      <c r="D283" s="331" t="s">
        <v>843</v>
      </c>
      <c r="E283" s="109"/>
      <c r="F283" s="332">
        <f>SUM(F275:F278)</f>
        <v>390</v>
      </c>
      <c r="G283" s="329">
        <f>SUM(G275:G282)</f>
        <v>333510</v>
      </c>
    </row>
    <row r="284" spans="1:13" ht="14.1" customHeight="1">
      <c r="B284" s="28"/>
      <c r="C284" s="28"/>
      <c r="D284" s="322" t="s">
        <v>969</v>
      </c>
      <c r="E284" s="317"/>
      <c r="F284" s="321">
        <f>F274+F283</f>
        <v>390</v>
      </c>
      <c r="G284" s="320">
        <f>G274+G283</f>
        <v>347274</v>
      </c>
    </row>
    <row r="285" spans="1:13" ht="14.1" customHeight="1"/>
    <row r="286" spans="1:13" ht="14.1" customHeight="1"/>
    <row r="287" spans="1:13" ht="14.1" customHeight="1"/>
    <row r="288" spans="1:13" s="64" customFormat="1" ht="14.1" customHeight="1">
      <c r="A288" s="840" t="s">
        <v>240</v>
      </c>
      <c r="B288" s="840"/>
      <c r="C288" s="840" t="s">
        <v>765</v>
      </c>
      <c r="D288" s="840"/>
      <c r="E288" s="840" t="s">
        <v>764</v>
      </c>
      <c r="F288" s="840"/>
      <c r="G288" s="380" t="s">
        <v>66</v>
      </c>
      <c r="H288" s="840" t="s">
        <v>411</v>
      </c>
      <c r="I288" s="840"/>
      <c r="J288" s="840"/>
      <c r="K288" s="840" t="s">
        <v>68</v>
      </c>
      <c r="L288" s="840"/>
      <c r="M288" s="840"/>
    </row>
  </sheetData>
  <mergeCells count="28">
    <mergeCell ref="I271:J271"/>
    <mergeCell ref="I272:J272"/>
    <mergeCell ref="I273:J273"/>
    <mergeCell ref="D268:E268"/>
    <mergeCell ref="I268:J268"/>
    <mergeCell ref="I269:J269"/>
    <mergeCell ref="I270:J270"/>
    <mergeCell ref="K288:M288"/>
    <mergeCell ref="I274:J274"/>
    <mergeCell ref="A288:B288"/>
    <mergeCell ref="C288:D288"/>
    <mergeCell ref="E288:F288"/>
    <mergeCell ref="H288:J288"/>
    <mergeCell ref="K4:M4"/>
    <mergeCell ref="K53:M53"/>
    <mergeCell ref="A1:M1"/>
    <mergeCell ref="A2:M2"/>
    <mergeCell ref="A3:M3"/>
    <mergeCell ref="K107:M107"/>
    <mergeCell ref="K113:M113"/>
    <mergeCell ref="K159:M159"/>
    <mergeCell ref="K197:M197"/>
    <mergeCell ref="K80:M80"/>
    <mergeCell ref="D266:E266"/>
    <mergeCell ref="D267:E267"/>
    <mergeCell ref="K217:M217"/>
    <mergeCell ref="I266:J266"/>
    <mergeCell ref="I267:J267"/>
  </mergeCells>
  <pageMargins left="0.7" right="0.7" top="0.75" bottom="0.75" header="0.3" footer="0.3"/>
  <pageSetup scale="7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FF0000"/>
  </sheetPr>
  <dimension ref="A1:N163"/>
  <sheetViews>
    <sheetView topLeftCell="A121" workbookViewId="0">
      <selection activeCell="G93" sqref="G93:K95"/>
    </sheetView>
  </sheetViews>
  <sheetFormatPr defaultRowHeight="15"/>
  <cols>
    <col min="2" max="2" width="10.85546875" bestFit="1" customWidth="1"/>
    <col min="3" max="3" width="14.85546875" customWidth="1"/>
    <col min="4" max="4" width="19.28515625" customWidth="1"/>
    <col min="5" max="5" width="16.140625" bestFit="1" customWidth="1"/>
    <col min="6" max="6" width="10.140625" customWidth="1"/>
    <col min="7" max="7" width="23" customWidth="1"/>
    <col min="8" max="8" width="6.42578125" bestFit="1" customWidth="1"/>
    <col min="9" max="9" width="10.5703125" bestFit="1" customWidth="1"/>
    <col min="10" max="10" width="10.5703125" customWidth="1"/>
    <col min="11" max="11" width="12" customWidth="1"/>
    <col min="12" max="12" width="9.42578125" bestFit="1" customWidth="1"/>
    <col min="13" max="13" width="12.42578125" customWidth="1"/>
    <col min="14" max="14" width="11.140625" customWidth="1"/>
  </cols>
  <sheetData>
    <row r="1" spans="1:14" ht="18.75">
      <c r="A1" s="846" t="s">
        <v>146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351"/>
    </row>
    <row r="2" spans="1:14" ht="14.1" customHeight="1">
      <c r="A2" s="827" t="s">
        <v>147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384"/>
    </row>
    <row r="3" spans="1:14" s="9" customFormat="1" ht="14.1" customHeight="1">
      <c r="A3" s="828" t="s">
        <v>148</v>
      </c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  <c r="M3" s="828"/>
      <c r="N3" s="385"/>
    </row>
    <row r="4" spans="1:14" s="71" customFormat="1" ht="14.1" customHeight="1">
      <c r="A4" s="70" t="s">
        <v>21</v>
      </c>
      <c r="B4" s="70"/>
      <c r="C4" s="70"/>
      <c r="D4" s="70"/>
      <c r="E4" s="70"/>
      <c r="K4" s="824" t="s">
        <v>1002</v>
      </c>
      <c r="L4" s="824"/>
      <c r="M4" s="824"/>
    </row>
    <row r="5" spans="1:14" s="71" customFormat="1" ht="14.1" customHeight="1">
      <c r="A5" s="482" t="s">
        <v>0</v>
      </c>
      <c r="B5" s="482" t="s">
        <v>7</v>
      </c>
      <c r="C5" s="482" t="s">
        <v>13</v>
      </c>
      <c r="D5" s="482" t="s">
        <v>14</v>
      </c>
      <c r="E5" s="482" t="s">
        <v>8</v>
      </c>
      <c r="F5" s="482" t="s">
        <v>1</v>
      </c>
      <c r="G5" s="482" t="s">
        <v>2</v>
      </c>
      <c r="H5" s="482" t="s">
        <v>15</v>
      </c>
      <c r="I5" s="482" t="s">
        <v>3</v>
      </c>
      <c r="J5" s="482" t="s">
        <v>4</v>
      </c>
      <c r="K5" s="482" t="s">
        <v>5</v>
      </c>
      <c r="L5" s="482" t="s">
        <v>12</v>
      </c>
      <c r="M5" s="482" t="s">
        <v>6</v>
      </c>
    </row>
    <row r="6" spans="1:14" s="71" customFormat="1" ht="14.1" customHeight="1">
      <c r="A6" s="479">
        <v>1</v>
      </c>
      <c r="B6" s="480" t="s">
        <v>966</v>
      </c>
      <c r="C6" s="480" t="s">
        <v>882</v>
      </c>
      <c r="D6" s="480" t="s">
        <v>883</v>
      </c>
      <c r="E6" s="480"/>
      <c r="F6" s="90">
        <f>1358*1.0936</f>
        <v>1485.1088</v>
      </c>
      <c r="G6" s="517" t="s">
        <v>1070</v>
      </c>
      <c r="H6" s="79"/>
      <c r="I6" s="80">
        <v>2</v>
      </c>
      <c r="J6" s="81">
        <v>227</v>
      </c>
      <c r="K6" s="81">
        <f t="shared" ref="K6:K8" si="0">I6*J6</f>
        <v>454</v>
      </c>
      <c r="L6" s="102"/>
      <c r="M6" s="156">
        <f>I6+I10+I16</f>
        <v>50</v>
      </c>
      <c r="N6" s="480" t="s">
        <v>173</v>
      </c>
    </row>
    <row r="7" spans="1:14" s="71" customFormat="1" ht="14.1" customHeight="1">
      <c r="A7" s="479"/>
      <c r="B7" s="480"/>
      <c r="C7" s="480"/>
      <c r="D7" s="480"/>
      <c r="E7" s="479"/>
      <c r="F7" s="98"/>
      <c r="G7" s="517" t="s">
        <v>1067</v>
      </c>
      <c r="H7" s="79"/>
      <c r="I7" s="80">
        <v>1</v>
      </c>
      <c r="J7" s="81">
        <v>416</v>
      </c>
      <c r="K7" s="81">
        <f t="shared" si="0"/>
        <v>416</v>
      </c>
      <c r="L7" s="102"/>
      <c r="M7" s="156" t="e">
        <f>I7+I11+I17+#REF!+I25+#REF!</f>
        <v>#REF!</v>
      </c>
      <c r="N7" s="480" t="s">
        <v>174</v>
      </c>
    </row>
    <row r="8" spans="1:14" s="71" customFormat="1" ht="14.1" customHeight="1">
      <c r="A8" s="479"/>
      <c r="B8" s="480"/>
      <c r="C8" s="480"/>
      <c r="D8" s="480"/>
      <c r="E8" s="479"/>
      <c r="F8" s="98"/>
      <c r="G8" s="517" t="s">
        <v>1065</v>
      </c>
      <c r="H8" s="79"/>
      <c r="I8" s="80">
        <v>1</v>
      </c>
      <c r="J8" s="81">
        <v>165</v>
      </c>
      <c r="K8" s="81">
        <f t="shared" si="0"/>
        <v>165</v>
      </c>
      <c r="L8" s="102"/>
      <c r="M8" s="156" t="e">
        <f>I8+I12+I18+#REF!+I26+#REF!</f>
        <v>#REF!</v>
      </c>
      <c r="N8" s="480" t="s">
        <v>172</v>
      </c>
    </row>
    <row r="9" spans="1:14" s="71" customFormat="1" ht="14.1" customHeight="1">
      <c r="A9" s="479"/>
      <c r="B9" s="480"/>
      <c r="C9" s="480"/>
      <c r="D9" s="480"/>
      <c r="E9" s="482" t="s">
        <v>9</v>
      </c>
      <c r="F9" s="110">
        <f>SUM(F4:F8)</f>
        <v>1485.1088</v>
      </c>
      <c r="G9" s="482"/>
      <c r="H9" s="482"/>
      <c r="I9" s="125"/>
      <c r="J9" s="97"/>
      <c r="K9" s="111">
        <f>SUM(K6:K8)</f>
        <v>1035</v>
      </c>
      <c r="L9" s="111">
        <f>K9/F9</f>
        <v>0.69691863653356578</v>
      </c>
      <c r="M9" s="156" t="e">
        <f>#REF!+I23+#REF!+I32+I35+#REF!+#REF!+#REF!</f>
        <v>#REF!</v>
      </c>
      <c r="N9" s="480" t="s">
        <v>24</v>
      </c>
    </row>
    <row r="10" spans="1:14" s="71" customFormat="1" ht="14.1" customHeight="1">
      <c r="A10" s="479">
        <v>2</v>
      </c>
      <c r="B10" s="480" t="s">
        <v>859</v>
      </c>
      <c r="C10" s="480" t="s">
        <v>278</v>
      </c>
      <c r="D10" s="480" t="s">
        <v>1005</v>
      </c>
      <c r="E10" s="480"/>
      <c r="F10" s="90">
        <f>9568*1.0936</f>
        <v>10463.564799999998</v>
      </c>
      <c r="G10" s="517" t="s">
        <v>24</v>
      </c>
      <c r="H10" s="79"/>
      <c r="I10" s="80">
        <v>45</v>
      </c>
      <c r="J10" s="81">
        <v>74</v>
      </c>
      <c r="K10" s="81">
        <f t="shared" ref="K10:K12" si="1">I10*J10</f>
        <v>3330</v>
      </c>
      <c r="L10" s="2"/>
      <c r="M10" s="156" t="e">
        <f>#REF!+I24+#REF!</f>
        <v>#REF!</v>
      </c>
      <c r="N10" s="480" t="s">
        <v>175</v>
      </c>
    </row>
    <row r="11" spans="1:14" s="71" customFormat="1" ht="14.1" customHeight="1">
      <c r="A11" s="479"/>
      <c r="B11" s="479"/>
      <c r="C11" s="479"/>
      <c r="D11" s="479"/>
      <c r="E11" s="482"/>
      <c r="F11" s="110"/>
      <c r="G11" s="88" t="s">
        <v>18</v>
      </c>
      <c r="H11" s="79"/>
      <c r="I11" s="80">
        <v>75</v>
      </c>
      <c r="J11" s="81">
        <v>46</v>
      </c>
      <c r="K11" s="81">
        <f t="shared" si="1"/>
        <v>3450</v>
      </c>
      <c r="L11" s="2"/>
      <c r="M11" s="156" t="e">
        <f>#REF!+I27+#REF!</f>
        <v>#REF!</v>
      </c>
      <c r="N11" s="481" t="s">
        <v>176</v>
      </c>
    </row>
    <row r="12" spans="1:14" s="71" customFormat="1" ht="14.1" customHeight="1">
      <c r="A12" s="479"/>
      <c r="B12" s="480"/>
      <c r="C12" s="480"/>
      <c r="D12" s="480"/>
      <c r="E12" s="480"/>
      <c r="F12" s="90"/>
      <c r="G12" s="517" t="s">
        <v>1067</v>
      </c>
      <c r="H12" s="79"/>
      <c r="I12" s="80">
        <v>9</v>
      </c>
      <c r="J12" s="81">
        <v>416</v>
      </c>
      <c r="K12" s="81">
        <f t="shared" si="1"/>
        <v>3744</v>
      </c>
      <c r="L12" s="2"/>
      <c r="M12" s="156" t="e">
        <f>I33+I36+#REF!+#REF!+#REF!</f>
        <v>#REF!</v>
      </c>
      <c r="N12" s="430" t="s">
        <v>10</v>
      </c>
    </row>
    <row r="13" spans="1:14" s="71" customFormat="1" ht="14.1" customHeight="1">
      <c r="A13" s="507"/>
      <c r="B13" s="505"/>
      <c r="C13" s="505"/>
      <c r="D13" s="505"/>
      <c r="E13" s="505"/>
      <c r="F13" s="90"/>
      <c r="G13" s="517" t="s">
        <v>1065</v>
      </c>
      <c r="H13" s="79"/>
      <c r="I13" s="80">
        <v>9</v>
      </c>
      <c r="J13" s="81">
        <v>165</v>
      </c>
      <c r="K13" s="81">
        <f>I13*J13</f>
        <v>1485</v>
      </c>
      <c r="L13" s="2"/>
      <c r="M13" s="156"/>
      <c r="N13" s="227"/>
    </row>
    <row r="14" spans="1:14" s="71" customFormat="1" ht="14.1" customHeight="1">
      <c r="A14" s="507"/>
      <c r="B14" s="505"/>
      <c r="C14" s="505"/>
      <c r="D14" s="505"/>
      <c r="E14" s="505"/>
      <c r="F14" s="90"/>
      <c r="G14" s="518" t="s">
        <v>1066</v>
      </c>
      <c r="H14" s="79"/>
      <c r="I14" s="80">
        <v>24</v>
      </c>
      <c r="J14" s="81">
        <v>165</v>
      </c>
      <c r="K14" s="81">
        <f t="shared" ref="K14" si="2">I14*J14</f>
        <v>3960</v>
      </c>
      <c r="L14" s="2"/>
      <c r="M14" s="156"/>
      <c r="N14" s="227"/>
    </row>
    <row r="15" spans="1:14" s="71" customFormat="1" ht="14.1" customHeight="1">
      <c r="A15" s="479"/>
      <c r="B15" s="479"/>
      <c r="C15" s="479"/>
      <c r="D15" s="479"/>
      <c r="E15" s="482" t="s">
        <v>9</v>
      </c>
      <c r="F15" s="110">
        <f>SUM(F10:F14)</f>
        <v>10463.564799999998</v>
      </c>
      <c r="G15" s="482"/>
      <c r="H15" s="482"/>
      <c r="I15" s="125"/>
      <c r="J15" s="97"/>
      <c r="K15" s="111">
        <f>SUM(K10:K14)</f>
        <v>15969</v>
      </c>
      <c r="L15" s="111">
        <f>K15/F15</f>
        <v>1.5261529225680337</v>
      </c>
      <c r="M15" s="102"/>
    </row>
    <row r="16" spans="1:14" s="71" customFormat="1" ht="14.1" customHeight="1">
      <c r="A16" s="479">
        <v>3</v>
      </c>
      <c r="B16" s="480" t="s">
        <v>269</v>
      </c>
      <c r="C16" s="480"/>
      <c r="D16" s="480"/>
      <c r="E16" s="479"/>
      <c r="F16" s="90">
        <f>924*1.0936</f>
        <v>1010.4863999999999</v>
      </c>
      <c r="G16" s="517" t="s">
        <v>1070</v>
      </c>
      <c r="H16" s="79"/>
      <c r="I16" s="80">
        <v>3</v>
      </c>
      <c r="J16" s="81">
        <v>227</v>
      </c>
      <c r="K16" s="81">
        <f t="shared" ref="K16:K17" si="3">I16*J16</f>
        <v>681</v>
      </c>
      <c r="L16" s="102"/>
      <c r="M16" s="102"/>
    </row>
    <row r="17" spans="1:13" s="71" customFormat="1" ht="14.1" customHeight="1">
      <c r="A17" s="479"/>
      <c r="B17" s="480" t="s">
        <v>269</v>
      </c>
      <c r="C17" s="480"/>
      <c r="D17" s="480"/>
      <c r="E17" s="480"/>
      <c r="F17" s="90">
        <f>465*1.0936</f>
        <v>508.52399999999994</v>
      </c>
      <c r="G17" s="517" t="s">
        <v>1067</v>
      </c>
      <c r="H17" s="79"/>
      <c r="I17" s="80">
        <v>2</v>
      </c>
      <c r="J17" s="81">
        <v>416</v>
      </c>
      <c r="K17" s="81">
        <f t="shared" si="3"/>
        <v>832</v>
      </c>
      <c r="L17" s="102"/>
      <c r="M17" s="102"/>
    </row>
    <row r="18" spans="1:13" s="71" customFormat="1" ht="14.1" customHeight="1">
      <c r="A18" s="479"/>
      <c r="B18" s="479"/>
      <c r="C18" s="479"/>
      <c r="D18" s="479"/>
      <c r="E18" s="479"/>
      <c r="F18" s="98"/>
      <c r="G18" s="517" t="s">
        <v>1065</v>
      </c>
      <c r="H18" s="79"/>
      <c r="I18" s="80">
        <v>1</v>
      </c>
      <c r="J18" s="81">
        <v>165</v>
      </c>
      <c r="K18" s="81">
        <f>I18*J18</f>
        <v>165</v>
      </c>
      <c r="L18" s="102"/>
      <c r="M18" s="102"/>
    </row>
    <row r="19" spans="1:13" s="71" customFormat="1" ht="14.1" customHeight="1">
      <c r="A19" s="479"/>
      <c r="B19" s="479"/>
      <c r="C19" s="479"/>
      <c r="D19" s="479"/>
      <c r="E19" s="482" t="s">
        <v>9</v>
      </c>
      <c r="F19" s="110">
        <f>SUM(F16:F18)</f>
        <v>1519.0103999999999</v>
      </c>
      <c r="G19" s="482"/>
      <c r="H19" s="482"/>
      <c r="I19" s="125"/>
      <c r="J19" s="97"/>
      <c r="K19" s="111">
        <f>SUM(K16:K18)</f>
        <v>1678</v>
      </c>
      <c r="L19" s="111">
        <f>K19/F19</f>
        <v>1.1046665644948843</v>
      </c>
      <c r="M19" s="102"/>
    </row>
    <row r="20" spans="1:13" s="71" customFormat="1" ht="14.1" customHeight="1">
      <c r="D20" s="126" t="s">
        <v>30</v>
      </c>
      <c r="E20" s="126"/>
      <c r="F20" s="127">
        <f>F9+F15+F19</f>
        <v>13467.683999999997</v>
      </c>
      <c r="G20" s="128"/>
      <c r="H20" s="128"/>
      <c r="I20" s="128"/>
      <c r="J20" s="128"/>
      <c r="K20" s="127">
        <f>K9+K15+K19</f>
        <v>18682</v>
      </c>
      <c r="L20" s="129">
        <f>K20/F20</f>
        <v>1.3871724343992631</v>
      </c>
    </row>
    <row r="21" spans="1:13" ht="14.1" customHeight="1">
      <c r="A21" s="1" t="s">
        <v>23</v>
      </c>
      <c r="B21" s="1"/>
      <c r="C21" s="1"/>
      <c r="D21" s="1"/>
      <c r="E21" s="1"/>
      <c r="K21" s="824" t="s">
        <v>1002</v>
      </c>
      <c r="L21" s="824"/>
      <c r="M21" s="824"/>
    </row>
    <row r="22" spans="1:13" ht="14.1" customHeight="1">
      <c r="A22" s="6" t="s">
        <v>0</v>
      </c>
      <c r="B22" s="6" t="s">
        <v>7</v>
      </c>
      <c r="C22" s="6" t="s">
        <v>13</v>
      </c>
      <c r="D22" s="6" t="s">
        <v>14</v>
      </c>
      <c r="E22" s="6" t="s">
        <v>8</v>
      </c>
      <c r="F22" s="6" t="s">
        <v>1</v>
      </c>
      <c r="G22" s="6" t="s">
        <v>2</v>
      </c>
      <c r="H22" s="6" t="s">
        <v>15</v>
      </c>
      <c r="I22" s="6" t="s">
        <v>3</v>
      </c>
      <c r="J22" s="6" t="s">
        <v>4</v>
      </c>
      <c r="K22" s="6" t="s">
        <v>5</v>
      </c>
      <c r="L22" s="6" t="s">
        <v>12</v>
      </c>
      <c r="M22" s="6" t="s">
        <v>6</v>
      </c>
    </row>
    <row r="23" spans="1:13" ht="14.1" customHeight="1">
      <c r="A23" s="3">
        <v>1</v>
      </c>
      <c r="B23" s="480" t="s">
        <v>269</v>
      </c>
      <c r="C23" s="480"/>
      <c r="D23" s="480"/>
      <c r="E23" s="480"/>
      <c r="F23" s="90">
        <f>205*1.0936</f>
        <v>224.18799999999999</v>
      </c>
      <c r="G23" s="517" t="s">
        <v>24</v>
      </c>
      <c r="H23" s="79"/>
      <c r="I23" s="80">
        <v>5</v>
      </c>
      <c r="J23" s="81">
        <v>74</v>
      </c>
      <c r="K23" s="81">
        <f t="shared" ref="K23:K25" si="4">I23*J23</f>
        <v>370</v>
      </c>
      <c r="L23" s="2"/>
      <c r="M23" s="21"/>
    </row>
    <row r="24" spans="1:13" ht="14.1" customHeight="1">
      <c r="A24" s="3"/>
      <c r="B24" s="25"/>
      <c r="C24" s="25"/>
      <c r="D24" s="25"/>
      <c r="E24" s="3"/>
      <c r="F24" s="4"/>
      <c r="G24" s="88" t="s">
        <v>18</v>
      </c>
      <c r="H24" s="79"/>
      <c r="I24" s="80">
        <v>2</v>
      </c>
      <c r="J24" s="81">
        <v>46</v>
      </c>
      <c r="K24" s="81">
        <f t="shared" si="4"/>
        <v>92</v>
      </c>
      <c r="L24" s="2"/>
      <c r="M24" s="2"/>
    </row>
    <row r="25" spans="1:13" ht="14.1" customHeight="1">
      <c r="A25" s="3"/>
      <c r="B25" s="25"/>
      <c r="C25" s="25"/>
      <c r="D25" s="25"/>
      <c r="E25" s="3"/>
      <c r="F25" s="4"/>
      <c r="G25" s="517" t="s">
        <v>1067</v>
      </c>
      <c r="H25" s="79"/>
      <c r="I25" s="80">
        <v>0.5</v>
      </c>
      <c r="J25" s="81">
        <v>416</v>
      </c>
      <c r="K25" s="81">
        <f t="shared" si="4"/>
        <v>208</v>
      </c>
      <c r="L25" s="2"/>
      <c r="M25" s="2"/>
    </row>
    <row r="26" spans="1:13" ht="14.1" customHeight="1">
      <c r="A26" s="3"/>
      <c r="B26" s="3"/>
      <c r="C26" s="3"/>
      <c r="D26" s="3"/>
      <c r="E26" s="3"/>
      <c r="F26" s="4"/>
      <c r="G26" s="517" t="s">
        <v>1065</v>
      </c>
      <c r="H26" s="79"/>
      <c r="I26" s="80">
        <v>0.5</v>
      </c>
      <c r="J26" s="81">
        <v>165</v>
      </c>
      <c r="K26" s="81">
        <f>I26*J26</f>
        <v>82.5</v>
      </c>
      <c r="L26" s="2"/>
      <c r="M26" s="2"/>
    </row>
    <row r="27" spans="1:13" ht="14.1" customHeight="1">
      <c r="A27" s="3"/>
      <c r="B27" s="3"/>
      <c r="C27" s="3"/>
      <c r="D27" s="3"/>
      <c r="E27" s="3"/>
      <c r="F27" s="4"/>
      <c r="G27" s="518" t="s">
        <v>1066</v>
      </c>
      <c r="H27" s="79"/>
      <c r="I27" s="80">
        <v>0.5</v>
      </c>
      <c r="J27" s="81">
        <v>165</v>
      </c>
      <c r="K27" s="81">
        <f t="shared" ref="K27" si="5">I27*J27</f>
        <v>82.5</v>
      </c>
      <c r="L27" s="2"/>
      <c r="M27" s="2"/>
    </row>
    <row r="28" spans="1:13" s="107" customFormat="1" ht="14.1" customHeight="1">
      <c r="A28" s="120"/>
      <c r="B28" s="120"/>
      <c r="C28" s="120"/>
      <c r="D28" s="120"/>
      <c r="E28" s="235" t="s">
        <v>9</v>
      </c>
      <c r="F28" s="108">
        <f>SUM(F23:F27)</f>
        <v>224.18799999999999</v>
      </c>
      <c r="G28" s="235"/>
      <c r="H28" s="235"/>
      <c r="I28" s="80"/>
      <c r="J28" s="81"/>
      <c r="K28" s="103">
        <f>SUM(K23:K27)</f>
        <v>835</v>
      </c>
      <c r="L28" s="103">
        <f>K28/F28</f>
        <v>3.7245526076328797</v>
      </c>
      <c r="M28" s="79"/>
    </row>
    <row r="29" spans="1:13" ht="14.1" customHeight="1">
      <c r="A29" s="16"/>
      <c r="B29" s="16"/>
      <c r="C29" s="16"/>
      <c r="D29" s="6" t="s">
        <v>30</v>
      </c>
      <c r="E29" s="6"/>
      <c r="F29" s="50">
        <f>F28</f>
        <v>224.18799999999999</v>
      </c>
      <c r="G29" s="53"/>
      <c r="H29" s="53"/>
      <c r="I29" s="53"/>
      <c r="J29" s="53"/>
      <c r="K29" s="50">
        <f>K28</f>
        <v>835</v>
      </c>
      <c r="L29" s="52">
        <f>K29/F29</f>
        <v>3.7245526076328797</v>
      </c>
      <c r="M29" s="2"/>
    </row>
    <row r="30" spans="1:13" ht="14.1" customHeight="1">
      <c r="A30" s="1" t="s">
        <v>22</v>
      </c>
      <c r="B30" s="1"/>
      <c r="C30" s="1"/>
      <c r="D30" s="1"/>
      <c r="E30" s="1"/>
      <c r="K30" s="824" t="s">
        <v>1002</v>
      </c>
      <c r="L30" s="824"/>
      <c r="M30" s="824"/>
    </row>
    <row r="31" spans="1:13" ht="14.1" customHeight="1">
      <c r="A31" s="6" t="s">
        <v>0</v>
      </c>
      <c r="B31" s="6" t="s">
        <v>7</v>
      </c>
      <c r="C31" s="6" t="s">
        <v>13</v>
      </c>
      <c r="D31" s="6" t="s">
        <v>14</v>
      </c>
      <c r="E31" s="6" t="s">
        <v>8</v>
      </c>
      <c r="F31" s="6" t="s">
        <v>1</v>
      </c>
      <c r="G31" s="6" t="s">
        <v>2</v>
      </c>
      <c r="H31" s="6" t="s">
        <v>15</v>
      </c>
      <c r="I31" s="6" t="s">
        <v>3</v>
      </c>
      <c r="J31" s="6" t="s">
        <v>4</v>
      </c>
      <c r="K31" s="6" t="s">
        <v>5</v>
      </c>
      <c r="L31" s="6" t="s">
        <v>12</v>
      </c>
      <c r="M31" s="6" t="s">
        <v>6</v>
      </c>
    </row>
    <row r="32" spans="1:13" ht="14.1" customHeight="1">
      <c r="A32" s="3">
        <v>1</v>
      </c>
      <c r="B32" s="480" t="s">
        <v>859</v>
      </c>
      <c r="C32" s="480" t="s">
        <v>278</v>
      </c>
      <c r="D32" s="480" t="s">
        <v>1005</v>
      </c>
      <c r="E32" s="480"/>
      <c r="F32" s="90">
        <f>9655*1.0936</f>
        <v>10558.707999999999</v>
      </c>
      <c r="G32" s="120" t="s">
        <v>24</v>
      </c>
      <c r="H32" s="79"/>
      <c r="I32" s="80">
        <v>241</v>
      </c>
      <c r="J32" s="81">
        <v>74</v>
      </c>
      <c r="K32" s="81">
        <f t="shared" ref="K32:K33" si="6">I32*J32</f>
        <v>17834</v>
      </c>
      <c r="L32" s="2"/>
      <c r="M32" s="21"/>
    </row>
    <row r="33" spans="1:14" ht="14.1" customHeight="1">
      <c r="A33" s="3"/>
      <c r="B33" s="480" t="s">
        <v>269</v>
      </c>
      <c r="C33" s="480"/>
      <c r="D33" s="480"/>
      <c r="E33" s="480"/>
      <c r="F33" s="90">
        <f>131*1.0936</f>
        <v>143.26159999999999</v>
      </c>
      <c r="G33" s="84" t="s">
        <v>10</v>
      </c>
      <c r="H33" s="79"/>
      <c r="I33" s="80">
        <v>10</v>
      </c>
      <c r="J33" s="81">
        <v>120</v>
      </c>
      <c r="K33" s="81">
        <f t="shared" si="6"/>
        <v>1200</v>
      </c>
      <c r="L33" s="2"/>
      <c r="M33" s="2"/>
    </row>
    <row r="34" spans="1:14" ht="14.1" customHeight="1">
      <c r="A34" s="3"/>
      <c r="B34" s="25"/>
      <c r="C34" s="25"/>
      <c r="D34" s="25"/>
      <c r="E34" s="6" t="s">
        <v>9</v>
      </c>
      <c r="F34" s="8">
        <f>SUM(F30:F33)</f>
        <v>10701.969599999999</v>
      </c>
      <c r="G34" s="6"/>
      <c r="H34" s="6"/>
      <c r="I34" s="17"/>
      <c r="J34" s="5"/>
      <c r="K34" s="7">
        <f>SUM(K32:K33)</f>
        <v>19034</v>
      </c>
      <c r="L34" s="7">
        <f>K34/F34</f>
        <v>1.7785511182913474</v>
      </c>
      <c r="M34" s="2"/>
    </row>
    <row r="35" spans="1:14" ht="14.1" customHeight="1">
      <c r="A35" s="3">
        <v>2</v>
      </c>
      <c r="B35" s="505" t="s">
        <v>998</v>
      </c>
      <c r="C35" s="505" t="s">
        <v>792</v>
      </c>
      <c r="D35" s="505" t="s">
        <v>999</v>
      </c>
      <c r="E35" s="505"/>
      <c r="F35" s="90">
        <f>11075*1.0936</f>
        <v>12111.619999999999</v>
      </c>
      <c r="G35" s="120" t="s">
        <v>24</v>
      </c>
      <c r="H35" s="79"/>
      <c r="I35" s="80">
        <v>180</v>
      </c>
      <c r="J35" s="81">
        <v>74</v>
      </c>
      <c r="K35" s="81">
        <f t="shared" ref="K35:K36" si="7">I35*J35</f>
        <v>13320</v>
      </c>
      <c r="L35" s="2"/>
      <c r="M35" s="2"/>
    </row>
    <row r="36" spans="1:14" ht="14.1" customHeight="1">
      <c r="A36" s="3"/>
      <c r="B36" s="120"/>
      <c r="C36" s="120"/>
      <c r="D36" s="120"/>
      <c r="E36" s="85"/>
      <c r="F36" s="98"/>
      <c r="G36" s="84" t="s">
        <v>10</v>
      </c>
      <c r="H36" s="79"/>
      <c r="I36" s="80">
        <v>20</v>
      </c>
      <c r="J36" s="81">
        <v>120</v>
      </c>
      <c r="K36" s="81">
        <f t="shared" si="7"/>
        <v>2400</v>
      </c>
      <c r="L36" s="2"/>
      <c r="M36" s="2"/>
    </row>
    <row r="37" spans="1:14" s="71" customFormat="1" ht="14.1" customHeight="1">
      <c r="A37" s="479"/>
      <c r="B37" s="480"/>
      <c r="C37" s="480"/>
      <c r="D37" s="480"/>
      <c r="E37" s="482" t="s">
        <v>9</v>
      </c>
      <c r="F37" s="110">
        <f>SUM(F35:F36)</f>
        <v>12111.619999999999</v>
      </c>
      <c r="G37" s="482"/>
      <c r="H37" s="482"/>
      <c r="I37" s="125"/>
      <c r="J37" s="97"/>
      <c r="K37" s="111">
        <f>SUM(K35:K36)</f>
        <v>15720</v>
      </c>
      <c r="L37" s="111">
        <f>K37/F37</f>
        <v>1.2979271146221563</v>
      </c>
      <c r="M37" s="102"/>
    </row>
    <row r="38" spans="1:14" s="71" customFormat="1" ht="14.1" customHeight="1">
      <c r="D38" s="126" t="s">
        <v>30</v>
      </c>
      <c r="E38" s="126"/>
      <c r="F38" s="127">
        <f>F34+F37</f>
        <v>22813.589599999999</v>
      </c>
      <c r="G38" s="128"/>
      <c r="H38" s="128"/>
      <c r="I38" s="128"/>
      <c r="J38" s="128"/>
      <c r="K38" s="127">
        <f>K34+K37</f>
        <v>34754</v>
      </c>
      <c r="L38" s="129">
        <f>K38/F38</f>
        <v>1.5233902515718087</v>
      </c>
    </row>
    <row r="39" spans="1:14" ht="14.1" customHeight="1">
      <c r="A39" s="1" t="s">
        <v>16</v>
      </c>
      <c r="B39" s="1"/>
      <c r="C39" s="1"/>
      <c r="D39" s="1"/>
      <c r="E39" s="1"/>
      <c r="K39" s="824" t="s">
        <v>1002</v>
      </c>
      <c r="L39" s="824"/>
      <c r="M39" s="824"/>
    </row>
    <row r="40" spans="1:14" ht="14.1" customHeight="1">
      <c r="A40" s="6" t="s">
        <v>0</v>
      </c>
      <c r="B40" s="6" t="s">
        <v>7</v>
      </c>
      <c r="C40" s="6" t="s">
        <v>13</v>
      </c>
      <c r="D40" s="6" t="s">
        <v>14</v>
      </c>
      <c r="E40" s="6" t="s">
        <v>8</v>
      </c>
      <c r="F40" s="6" t="s">
        <v>1</v>
      </c>
      <c r="G40" s="6" t="s">
        <v>2</v>
      </c>
      <c r="H40" s="6" t="s">
        <v>15</v>
      </c>
      <c r="I40" s="6" t="s">
        <v>3</v>
      </c>
      <c r="J40" s="6" t="s">
        <v>4</v>
      </c>
      <c r="K40" s="6" t="s">
        <v>5</v>
      </c>
      <c r="L40" s="6" t="s">
        <v>12</v>
      </c>
      <c r="M40" s="6" t="s">
        <v>6</v>
      </c>
    </row>
    <row r="41" spans="1:14" ht="14.1" customHeight="1">
      <c r="A41" s="120">
        <v>2925</v>
      </c>
      <c r="B41" s="120" t="s">
        <v>388</v>
      </c>
      <c r="C41" s="120" t="s">
        <v>458</v>
      </c>
      <c r="D41" s="120" t="s">
        <v>490</v>
      </c>
      <c r="E41" s="120" t="s">
        <v>236</v>
      </c>
      <c r="F41" s="120"/>
      <c r="G41" s="120" t="s">
        <v>24</v>
      </c>
      <c r="H41" s="79"/>
      <c r="I41" s="80"/>
      <c r="J41" s="81">
        <v>74</v>
      </c>
      <c r="K41" s="81">
        <f t="shared" ref="K41" si="8">I41*J41</f>
        <v>0</v>
      </c>
      <c r="L41" s="2"/>
      <c r="M41" s="35"/>
    </row>
    <row r="42" spans="1:14" ht="14.1" customHeight="1">
      <c r="A42" s="3"/>
      <c r="B42" s="85"/>
      <c r="C42" s="85"/>
      <c r="D42" s="85"/>
      <c r="E42" s="120"/>
      <c r="F42" s="98"/>
      <c r="G42" s="25"/>
      <c r="H42" s="36"/>
      <c r="I42" s="39"/>
      <c r="J42" s="40"/>
      <c r="K42" s="40"/>
      <c r="L42" s="2"/>
      <c r="M42" s="2"/>
    </row>
    <row r="43" spans="1:14" ht="14.1" customHeight="1">
      <c r="A43" s="3"/>
      <c r="B43" s="3"/>
      <c r="C43" s="3"/>
      <c r="D43" s="3"/>
      <c r="E43" s="6" t="s">
        <v>9</v>
      </c>
      <c r="F43" s="8">
        <f>SUM(F41:F42)</f>
        <v>0</v>
      </c>
      <c r="G43" s="6"/>
      <c r="H43" s="6"/>
      <c r="I43" s="17"/>
      <c r="J43" s="5"/>
      <c r="K43" s="7">
        <f>SUM(K41:K42)</f>
        <v>0</v>
      </c>
      <c r="L43" s="7" t="e">
        <f>K43/F43</f>
        <v>#DIV/0!</v>
      </c>
      <c r="M43" s="2"/>
    </row>
    <row r="44" spans="1:14" ht="14.1" customHeight="1">
      <c r="A44" s="11"/>
      <c r="B44" s="11"/>
      <c r="C44" s="11"/>
      <c r="D44" s="23" t="s">
        <v>30</v>
      </c>
      <c r="E44" s="23"/>
      <c r="F44" s="50">
        <f>F43</f>
        <v>0</v>
      </c>
      <c r="G44" s="51"/>
      <c r="H44" s="51"/>
      <c r="I44" s="51"/>
      <c r="J44" s="51"/>
      <c r="K44" s="50">
        <f>K43</f>
        <v>0</v>
      </c>
      <c r="L44" s="52" t="e">
        <f>K44/F44</f>
        <v>#DIV/0!</v>
      </c>
      <c r="M44" s="16"/>
    </row>
    <row r="45" spans="1:14" s="71" customFormat="1" ht="14.1" customHeight="1">
      <c r="A45" s="70" t="s">
        <v>72</v>
      </c>
      <c r="B45" s="70"/>
      <c r="C45" s="70"/>
      <c r="D45" s="70"/>
      <c r="E45" s="70"/>
      <c r="I45" s="140"/>
      <c r="K45" s="824" t="s">
        <v>1002</v>
      </c>
      <c r="L45" s="824"/>
      <c r="M45" s="824"/>
    </row>
    <row r="46" spans="1:14" s="71" customFormat="1" ht="14.1" customHeight="1">
      <c r="A46" s="482" t="s">
        <v>0</v>
      </c>
      <c r="B46" s="482" t="s">
        <v>7</v>
      </c>
      <c r="C46" s="482" t="s">
        <v>13</v>
      </c>
      <c r="D46" s="482" t="s">
        <v>14</v>
      </c>
      <c r="E46" s="482" t="s">
        <v>8</v>
      </c>
      <c r="F46" s="482" t="s">
        <v>1</v>
      </c>
      <c r="G46" s="482" t="s">
        <v>2</v>
      </c>
      <c r="H46" s="482" t="s">
        <v>15</v>
      </c>
      <c r="I46" s="141" t="s">
        <v>3</v>
      </c>
      <c r="J46" s="482" t="s">
        <v>4</v>
      </c>
      <c r="K46" s="482" t="s">
        <v>5</v>
      </c>
      <c r="L46" s="482" t="s">
        <v>12</v>
      </c>
      <c r="M46" s="482" t="s">
        <v>6</v>
      </c>
      <c r="N46" s="123"/>
    </row>
    <row r="47" spans="1:14" s="71" customFormat="1" ht="14.1" customHeight="1">
      <c r="A47" s="480">
        <v>9778</v>
      </c>
      <c r="B47" s="480" t="s">
        <v>786</v>
      </c>
      <c r="C47" s="480" t="s">
        <v>287</v>
      </c>
      <c r="D47" s="480" t="s">
        <v>237</v>
      </c>
      <c r="E47" s="480" t="s">
        <v>1003</v>
      </c>
      <c r="F47" s="87">
        <f>30*1.0936</f>
        <v>32.808</v>
      </c>
      <c r="G47" s="481" t="s">
        <v>405</v>
      </c>
      <c r="H47" s="79"/>
      <c r="I47" s="80">
        <f>0.013</f>
        <v>1.2999999999999999E-2</v>
      </c>
      <c r="J47" s="81">
        <v>1708</v>
      </c>
      <c r="K47" s="81">
        <f t="shared" ref="K47:K51" si="9">I47*J47</f>
        <v>22.204000000000001</v>
      </c>
      <c r="L47" s="79"/>
      <c r="M47" s="102"/>
    </row>
    <row r="48" spans="1:14" ht="14.1" customHeight="1">
      <c r="A48" s="3"/>
      <c r="B48" s="3"/>
      <c r="C48" s="3"/>
      <c r="D48" s="3"/>
      <c r="E48" s="120"/>
      <c r="F48" s="98"/>
      <c r="G48" s="481" t="s">
        <v>183</v>
      </c>
      <c r="H48" s="79"/>
      <c r="I48" s="80">
        <v>3.2000000000000001E-2</v>
      </c>
      <c r="J48" s="81">
        <v>1600</v>
      </c>
      <c r="K48" s="81">
        <f t="shared" si="9"/>
        <v>51.2</v>
      </c>
      <c r="L48" s="79"/>
      <c r="M48" s="102"/>
    </row>
    <row r="49" spans="1:13" ht="14.1" customHeight="1">
      <c r="A49" s="3"/>
      <c r="B49" s="3"/>
      <c r="C49" s="3"/>
      <c r="D49" s="3"/>
      <c r="E49" s="3"/>
      <c r="F49" s="98"/>
      <c r="G49" s="93" t="s">
        <v>315</v>
      </c>
      <c r="H49" s="79"/>
      <c r="I49" s="80">
        <v>5.0000000000000001E-3</v>
      </c>
      <c r="J49" s="81">
        <v>2184</v>
      </c>
      <c r="K49" s="81">
        <f t="shared" si="9"/>
        <v>10.92</v>
      </c>
      <c r="L49" s="79"/>
      <c r="M49" s="102"/>
    </row>
    <row r="50" spans="1:13" ht="14.1" customHeight="1">
      <c r="A50" s="3"/>
      <c r="B50" s="3"/>
      <c r="C50" s="3"/>
      <c r="D50" s="3"/>
      <c r="E50" s="3"/>
      <c r="F50" s="98"/>
      <c r="G50" s="480" t="s">
        <v>184</v>
      </c>
      <c r="H50" s="480"/>
      <c r="I50" s="80">
        <v>0.5</v>
      </c>
      <c r="J50" s="81">
        <v>336</v>
      </c>
      <c r="K50" s="94">
        <f t="shared" si="9"/>
        <v>168</v>
      </c>
      <c r="L50" s="79"/>
      <c r="M50" s="102"/>
    </row>
    <row r="51" spans="1:13" ht="14.1" customHeight="1">
      <c r="A51" s="3"/>
      <c r="B51" s="3"/>
      <c r="C51" s="3"/>
      <c r="D51" s="3"/>
      <c r="E51" s="3"/>
      <c r="F51" s="98"/>
      <c r="G51" s="95" t="s">
        <v>185</v>
      </c>
      <c r="H51" s="79"/>
      <c r="I51" s="96">
        <v>0.1</v>
      </c>
      <c r="J51" s="81">
        <v>490</v>
      </c>
      <c r="K51" s="81">
        <f t="shared" si="9"/>
        <v>49</v>
      </c>
      <c r="L51" s="79"/>
      <c r="M51" s="102"/>
    </row>
    <row r="52" spans="1:13" ht="14.1" customHeight="1">
      <c r="A52" s="3"/>
      <c r="B52" s="3"/>
      <c r="C52" s="3"/>
      <c r="D52" s="3"/>
      <c r="E52" s="6" t="s">
        <v>9</v>
      </c>
      <c r="F52" s="8">
        <f>SUM(F47:F51)</f>
        <v>32.808</v>
      </c>
      <c r="G52" s="6"/>
      <c r="H52" s="6"/>
      <c r="I52" s="17"/>
      <c r="J52" s="5"/>
      <c r="K52" s="7">
        <f>SUM(K47:K51)</f>
        <v>301.32400000000001</v>
      </c>
      <c r="L52" s="7">
        <f>K52/F52</f>
        <v>9.1844672031211907</v>
      </c>
      <c r="M52" s="2"/>
    </row>
    <row r="53" spans="1:13" ht="14.1" customHeight="1">
      <c r="A53" s="120">
        <v>9777</v>
      </c>
      <c r="B53" s="480" t="s">
        <v>786</v>
      </c>
      <c r="C53" s="480" t="s">
        <v>287</v>
      </c>
      <c r="D53" s="480" t="s">
        <v>237</v>
      </c>
      <c r="E53" s="480" t="s">
        <v>501</v>
      </c>
      <c r="F53" s="87">
        <f>30*1.0936</f>
        <v>32.808</v>
      </c>
      <c r="G53" s="481" t="s">
        <v>405</v>
      </c>
      <c r="H53" s="79"/>
      <c r="I53" s="80">
        <v>0.36799999999999999</v>
      </c>
      <c r="J53" s="81">
        <v>1708</v>
      </c>
      <c r="K53" s="81">
        <f t="shared" ref="K53:K57" si="10">I53*J53</f>
        <v>628.54399999999998</v>
      </c>
      <c r="L53" s="79"/>
      <c r="M53" s="79"/>
    </row>
    <row r="54" spans="1:13" ht="14.1" customHeight="1">
      <c r="A54" s="3"/>
      <c r="B54" s="85"/>
      <c r="C54" s="85"/>
      <c r="D54" s="85"/>
      <c r="E54" s="85"/>
      <c r="F54" s="98"/>
      <c r="G54" s="91" t="s">
        <v>192</v>
      </c>
      <c r="H54" s="79"/>
      <c r="I54" s="80">
        <v>0.124</v>
      </c>
      <c r="J54" s="81">
        <v>1126</v>
      </c>
      <c r="K54" s="81">
        <f t="shared" si="10"/>
        <v>139.624</v>
      </c>
      <c r="L54" s="79"/>
      <c r="M54" s="79"/>
    </row>
    <row r="55" spans="1:13" ht="14.1" customHeight="1">
      <c r="A55" s="3"/>
      <c r="B55" s="85"/>
      <c r="C55" s="85"/>
      <c r="D55" s="85"/>
      <c r="E55" s="85"/>
      <c r="F55" s="98"/>
      <c r="G55" s="91" t="s">
        <v>193</v>
      </c>
      <c r="H55" s="79"/>
      <c r="I55" s="80">
        <v>2.04</v>
      </c>
      <c r="J55" s="81">
        <v>1150</v>
      </c>
      <c r="K55" s="81">
        <f t="shared" si="10"/>
        <v>2346</v>
      </c>
      <c r="L55" s="79"/>
      <c r="M55" s="79"/>
    </row>
    <row r="56" spans="1:13" ht="14.1" customHeight="1">
      <c r="A56" s="3"/>
      <c r="B56" s="85"/>
      <c r="C56" s="85"/>
      <c r="D56" s="85"/>
      <c r="E56" s="85"/>
      <c r="F56" s="98"/>
      <c r="G56" s="480" t="s">
        <v>184</v>
      </c>
      <c r="H56" s="480"/>
      <c r="I56" s="80">
        <v>0.4</v>
      </c>
      <c r="J56" s="81">
        <v>336</v>
      </c>
      <c r="K56" s="94">
        <f t="shared" si="10"/>
        <v>134.4</v>
      </c>
      <c r="L56" s="79"/>
      <c r="M56" s="79"/>
    </row>
    <row r="57" spans="1:13" ht="14.1" customHeight="1">
      <c r="A57" s="3"/>
      <c r="B57" s="85"/>
      <c r="C57" s="85"/>
      <c r="D57" s="85"/>
      <c r="E57" s="85"/>
      <c r="F57" s="98"/>
      <c r="G57" s="95" t="s">
        <v>185</v>
      </c>
      <c r="H57" s="79"/>
      <c r="I57" s="96">
        <v>0.08</v>
      </c>
      <c r="J57" s="81">
        <v>490</v>
      </c>
      <c r="K57" s="81">
        <f t="shared" si="10"/>
        <v>39.200000000000003</v>
      </c>
      <c r="L57" s="79"/>
      <c r="M57" s="79"/>
    </row>
    <row r="58" spans="1:13" ht="14.1" customHeight="1">
      <c r="A58" s="3"/>
      <c r="B58" s="85"/>
      <c r="C58" s="85"/>
      <c r="D58" s="85"/>
      <c r="E58" s="6" t="s">
        <v>9</v>
      </c>
      <c r="F58" s="8">
        <f>SUM(F53:F57)</f>
        <v>32.808</v>
      </c>
      <c r="G58" s="6"/>
      <c r="H58" s="6"/>
      <c r="I58" s="17"/>
      <c r="J58" s="5"/>
      <c r="K58" s="7">
        <f>SUM(K53:K57)</f>
        <v>3287.768</v>
      </c>
      <c r="L58" s="7">
        <f>K58/F58</f>
        <v>100.21238722262864</v>
      </c>
      <c r="M58" s="79"/>
    </row>
    <row r="59" spans="1:13" ht="14.1" customHeight="1">
      <c r="A59" s="25">
        <v>9780</v>
      </c>
      <c r="B59" s="543" t="s">
        <v>985</v>
      </c>
      <c r="C59" s="505" t="s">
        <v>278</v>
      </c>
      <c r="D59" s="505" t="s">
        <v>790</v>
      </c>
      <c r="E59" s="505" t="s">
        <v>116</v>
      </c>
      <c r="F59" s="99">
        <f>90*1.0936</f>
        <v>98.423999999999992</v>
      </c>
      <c r="G59" s="481" t="s">
        <v>264</v>
      </c>
      <c r="H59" s="102"/>
      <c r="I59" s="125">
        <v>2E-3</v>
      </c>
      <c r="J59" s="81">
        <v>3530</v>
      </c>
      <c r="K59" s="97">
        <f>I59*J59</f>
        <v>7.0600000000000005</v>
      </c>
      <c r="L59" s="102"/>
      <c r="M59" s="79"/>
    </row>
    <row r="60" spans="1:13" ht="14.1" customHeight="1">
      <c r="A60" s="25"/>
      <c r="B60" s="505"/>
      <c r="C60" s="505"/>
      <c r="D60" s="505"/>
      <c r="E60" s="505"/>
      <c r="F60" s="87"/>
      <c r="G60" s="481" t="s">
        <v>986</v>
      </c>
      <c r="H60" s="102"/>
      <c r="I60" s="125">
        <v>3.6999999999999998E-2</v>
      </c>
      <c r="J60" s="81">
        <v>1792</v>
      </c>
      <c r="K60" s="97">
        <f t="shared" ref="K60:K66" si="11">I60*J60</f>
        <v>66.304000000000002</v>
      </c>
      <c r="L60" s="102"/>
      <c r="M60" s="79"/>
    </row>
    <row r="61" spans="1:13" ht="14.1" customHeight="1">
      <c r="A61" s="25"/>
      <c r="B61" s="505"/>
      <c r="C61" s="505"/>
      <c r="D61" s="505"/>
      <c r="E61" s="505"/>
      <c r="F61" s="87"/>
      <c r="G61" s="481" t="s">
        <v>989</v>
      </c>
      <c r="H61" s="102"/>
      <c r="I61" s="125">
        <v>0.16500000000000001</v>
      </c>
      <c r="J61" s="81">
        <v>3250</v>
      </c>
      <c r="K61" s="97">
        <f t="shared" si="11"/>
        <v>536.25</v>
      </c>
      <c r="L61" s="102"/>
      <c r="M61" s="79"/>
    </row>
    <row r="62" spans="1:13" ht="14.1" customHeight="1">
      <c r="A62" s="25"/>
      <c r="B62" s="543"/>
      <c r="C62" s="543"/>
      <c r="D62" s="543"/>
      <c r="E62" s="543"/>
      <c r="F62" s="87"/>
      <c r="G62" s="544" t="s">
        <v>405</v>
      </c>
      <c r="H62" s="79"/>
      <c r="I62" s="80">
        <v>4.4999999999999998E-2</v>
      </c>
      <c r="J62" s="81">
        <v>1708</v>
      </c>
      <c r="K62" s="81">
        <f t="shared" si="11"/>
        <v>76.86</v>
      </c>
      <c r="L62" s="102"/>
      <c r="M62" s="79"/>
    </row>
    <row r="63" spans="1:13" ht="14.1" customHeight="1">
      <c r="A63" s="25"/>
      <c r="B63" s="543"/>
      <c r="C63" s="543"/>
      <c r="D63" s="543"/>
      <c r="E63" s="543"/>
      <c r="F63" s="87"/>
      <c r="G63" s="91" t="s">
        <v>926</v>
      </c>
      <c r="H63" s="102"/>
      <c r="I63" s="125">
        <v>0.21099999999999999</v>
      </c>
      <c r="J63" s="81">
        <v>2152</v>
      </c>
      <c r="K63" s="81">
        <f t="shared" si="11"/>
        <v>454.072</v>
      </c>
      <c r="L63" s="102"/>
      <c r="M63" s="79"/>
    </row>
    <row r="64" spans="1:13" ht="14.1" customHeight="1">
      <c r="A64" s="25"/>
      <c r="B64" s="543"/>
      <c r="C64" s="543"/>
      <c r="D64" s="543"/>
      <c r="E64" s="543"/>
      <c r="F64" s="87"/>
      <c r="G64" s="91" t="s">
        <v>279</v>
      </c>
      <c r="H64" s="79"/>
      <c r="I64" s="80">
        <v>0.12</v>
      </c>
      <c r="J64" s="81">
        <v>689</v>
      </c>
      <c r="K64" s="81">
        <f t="shared" si="11"/>
        <v>82.679999999999993</v>
      </c>
      <c r="L64" s="102"/>
      <c r="M64" s="79"/>
    </row>
    <row r="65" spans="1:14" ht="14.1" customHeight="1">
      <c r="A65" s="25"/>
      <c r="B65" s="505"/>
      <c r="C65" s="505"/>
      <c r="D65" s="505"/>
      <c r="E65" s="505"/>
      <c r="F65" s="87"/>
      <c r="G65" s="480" t="s">
        <v>184</v>
      </c>
      <c r="H65" s="480"/>
      <c r="I65" s="80">
        <v>0.8</v>
      </c>
      <c r="J65" s="81">
        <v>336</v>
      </c>
      <c r="K65" s="94">
        <f t="shared" si="11"/>
        <v>268.8</v>
      </c>
      <c r="L65" s="102"/>
      <c r="M65" s="102"/>
    </row>
    <row r="66" spans="1:14" ht="14.1" customHeight="1">
      <c r="A66" s="25"/>
      <c r="B66" s="505"/>
      <c r="C66" s="505"/>
      <c r="D66" s="505"/>
      <c r="E66" s="505"/>
      <c r="F66" s="87"/>
      <c r="G66" s="95" t="s">
        <v>185</v>
      </c>
      <c r="H66" s="79"/>
      <c r="I66" s="96">
        <v>0.16</v>
      </c>
      <c r="J66" s="81">
        <v>490</v>
      </c>
      <c r="K66" s="81">
        <f t="shared" si="11"/>
        <v>78.400000000000006</v>
      </c>
      <c r="L66" s="102"/>
      <c r="M66" s="102"/>
    </row>
    <row r="67" spans="1:14" ht="14.1" customHeight="1">
      <c r="A67" s="505"/>
      <c r="B67" s="505"/>
      <c r="C67" s="505"/>
      <c r="D67" s="505"/>
      <c r="E67" s="37" t="s">
        <v>9</v>
      </c>
      <c r="F67" s="41">
        <f>SUM(F59:F66)</f>
        <v>98.423999999999992</v>
      </c>
      <c r="G67" s="6"/>
      <c r="H67" s="6"/>
      <c r="I67" s="17"/>
      <c r="J67" s="5"/>
      <c r="K67" s="7">
        <f>SUM(K59:K66)</f>
        <v>1570.4260000000002</v>
      </c>
      <c r="L67" s="7">
        <f>K67/F67</f>
        <v>15.955722181581731</v>
      </c>
      <c r="M67" s="2"/>
    </row>
    <row r="68" spans="1:14" ht="14.1" customHeight="1">
      <c r="A68" s="25"/>
      <c r="B68" s="505" t="s">
        <v>985</v>
      </c>
      <c r="C68" s="505" t="s">
        <v>278</v>
      </c>
      <c r="D68" s="505" t="s">
        <v>790</v>
      </c>
      <c r="E68" s="505" t="s">
        <v>101</v>
      </c>
      <c r="F68" s="99">
        <f>80*1.0936</f>
        <v>87.488</v>
      </c>
      <c r="G68" s="481" t="s">
        <v>264</v>
      </c>
      <c r="H68" s="102"/>
      <c r="I68" s="125">
        <v>4.8000000000000001E-2</v>
      </c>
      <c r="J68" s="81">
        <v>3530</v>
      </c>
      <c r="K68" s="97">
        <f>I68*J68</f>
        <v>169.44</v>
      </c>
      <c r="L68" s="102"/>
      <c r="M68" s="2"/>
    </row>
    <row r="69" spans="1:14" ht="14.1" customHeight="1">
      <c r="A69" s="25"/>
      <c r="B69" s="505"/>
      <c r="C69" s="505"/>
      <c r="D69" s="505"/>
      <c r="E69" s="505"/>
      <c r="F69" s="87"/>
      <c r="G69" s="481" t="s">
        <v>986</v>
      </c>
      <c r="H69" s="102"/>
      <c r="I69" s="125">
        <v>0.08</v>
      </c>
      <c r="J69" s="81">
        <v>1792</v>
      </c>
      <c r="K69" s="97">
        <f t="shared" ref="K69:K72" si="12">I69*J69</f>
        <v>143.36000000000001</v>
      </c>
      <c r="L69" s="102"/>
      <c r="M69" s="2"/>
    </row>
    <row r="70" spans="1:14" ht="14.1" customHeight="1">
      <c r="A70" s="25"/>
      <c r="B70" s="505"/>
      <c r="C70" s="505"/>
      <c r="D70" s="505"/>
      <c r="E70" s="505"/>
      <c r="F70" s="87"/>
      <c r="G70" s="91" t="s">
        <v>987</v>
      </c>
      <c r="H70" s="102"/>
      <c r="I70" s="125">
        <v>6.8000000000000005E-2</v>
      </c>
      <c r="J70" s="81">
        <v>995</v>
      </c>
      <c r="K70" s="97">
        <f t="shared" si="12"/>
        <v>67.660000000000011</v>
      </c>
      <c r="L70" s="102"/>
      <c r="M70" s="2"/>
    </row>
    <row r="71" spans="1:14" ht="14.1" customHeight="1">
      <c r="A71" s="25"/>
      <c r="B71" s="505"/>
      <c r="C71" s="505"/>
      <c r="D71" s="505"/>
      <c r="E71" s="505"/>
      <c r="F71" s="87"/>
      <c r="G71" s="480" t="s">
        <v>184</v>
      </c>
      <c r="H71" s="480"/>
      <c r="I71" s="80">
        <v>0.8</v>
      </c>
      <c r="J71" s="81">
        <v>336</v>
      </c>
      <c r="K71" s="94">
        <f t="shared" si="12"/>
        <v>268.8</v>
      </c>
      <c r="L71" s="102"/>
      <c r="M71" s="2"/>
    </row>
    <row r="72" spans="1:14" ht="14.1" customHeight="1">
      <c r="A72" s="25"/>
      <c r="B72" s="505"/>
      <c r="C72" s="505"/>
      <c r="D72" s="505"/>
      <c r="E72" s="505"/>
      <c r="F72" s="87"/>
      <c r="G72" s="95" t="s">
        <v>185</v>
      </c>
      <c r="H72" s="79"/>
      <c r="I72" s="96">
        <v>0.16</v>
      </c>
      <c r="J72" s="81">
        <v>490</v>
      </c>
      <c r="K72" s="81">
        <f t="shared" si="12"/>
        <v>78.400000000000006</v>
      </c>
      <c r="L72" s="102"/>
      <c r="M72" s="2"/>
    </row>
    <row r="73" spans="1:14" ht="14.1" customHeight="1">
      <c r="A73" s="120"/>
      <c r="B73" s="479"/>
      <c r="C73" s="479"/>
      <c r="D73" s="479"/>
      <c r="E73" s="6" t="s">
        <v>9</v>
      </c>
      <c r="F73" s="8">
        <f>SUM(F68:F72)</f>
        <v>87.488</v>
      </c>
      <c r="G73" s="6"/>
      <c r="H73" s="6"/>
      <c r="I73" s="17"/>
      <c r="J73" s="5"/>
      <c r="K73" s="7">
        <f>SUM(K68:K72)</f>
        <v>727.66</v>
      </c>
      <c r="L73" s="7">
        <f>K73/F73</f>
        <v>8.317254937820044</v>
      </c>
      <c r="M73" s="2"/>
    </row>
    <row r="74" spans="1:14" ht="14.1" customHeight="1">
      <c r="A74" s="11"/>
      <c r="B74" s="11"/>
      <c r="C74" s="11"/>
      <c r="D74" s="23" t="s">
        <v>30</v>
      </c>
      <c r="E74" s="23"/>
      <c r="F74" s="50">
        <f>F52+F58+F67+F73</f>
        <v>251.52799999999999</v>
      </c>
      <c r="G74" s="51"/>
      <c r="H74" s="51"/>
      <c r="I74" s="51"/>
      <c r="J74" s="51"/>
      <c r="K74" s="50">
        <f>K52+K58+K67+K73</f>
        <v>5887.1779999999999</v>
      </c>
      <c r="L74" s="52">
        <f>K74/F74</f>
        <v>23.405656626697624</v>
      </c>
      <c r="M74" s="16"/>
    </row>
    <row r="75" spans="1:14" ht="14.1" customHeight="1">
      <c r="A75" s="1" t="s">
        <v>40</v>
      </c>
      <c r="B75" s="1"/>
      <c r="C75" s="1"/>
      <c r="D75" s="1"/>
      <c r="E75" s="1"/>
      <c r="I75" s="19"/>
      <c r="K75" s="824" t="s">
        <v>1002</v>
      </c>
      <c r="L75" s="824"/>
      <c r="M75" s="824"/>
    </row>
    <row r="76" spans="1:14" ht="14.1" customHeight="1">
      <c r="A76" s="6" t="s">
        <v>0</v>
      </c>
      <c r="B76" s="6" t="s">
        <v>7</v>
      </c>
      <c r="C76" s="6" t="s">
        <v>13</v>
      </c>
      <c r="D76" s="6" t="s">
        <v>14</v>
      </c>
      <c r="E76" s="6" t="s">
        <v>8</v>
      </c>
      <c r="F76" s="6" t="s">
        <v>1</v>
      </c>
      <c r="G76" s="6" t="s">
        <v>2</v>
      </c>
      <c r="H76" s="6" t="s">
        <v>15</v>
      </c>
      <c r="I76" s="20" t="s">
        <v>3</v>
      </c>
      <c r="J76" s="6" t="s">
        <v>4</v>
      </c>
      <c r="K76" s="6" t="s">
        <v>5</v>
      </c>
      <c r="L76" s="6" t="s">
        <v>12</v>
      </c>
      <c r="M76" s="6" t="s">
        <v>6</v>
      </c>
      <c r="N76" s="10"/>
    </row>
    <row r="77" spans="1:14" ht="14.1" customHeight="1">
      <c r="A77" s="120">
        <v>9994</v>
      </c>
      <c r="B77" s="480" t="s">
        <v>875</v>
      </c>
      <c r="C77" s="480" t="s">
        <v>233</v>
      </c>
      <c r="D77" s="89" t="s">
        <v>905</v>
      </c>
      <c r="E77" s="480" t="s">
        <v>102</v>
      </c>
      <c r="F77" s="87">
        <f>2500*1.0936</f>
        <v>2733.9999999999995</v>
      </c>
      <c r="G77" s="120" t="s">
        <v>27</v>
      </c>
      <c r="H77" s="79"/>
      <c r="I77" s="80">
        <v>165</v>
      </c>
      <c r="J77" s="81">
        <v>22</v>
      </c>
      <c r="K77" s="81">
        <f t="shared" ref="K77:K79" si="13">I77*J77</f>
        <v>3630</v>
      </c>
      <c r="L77" s="22"/>
      <c r="M77" s="22"/>
      <c r="N77" s="67"/>
    </row>
    <row r="78" spans="1:14" ht="14.1" customHeight="1">
      <c r="A78" s="22"/>
      <c r="B78" s="3"/>
      <c r="C78" s="3"/>
      <c r="D78" s="3"/>
      <c r="E78" s="120"/>
      <c r="F78" s="4"/>
      <c r="G78" s="83" t="s">
        <v>49</v>
      </c>
      <c r="H78" s="79"/>
      <c r="I78" s="80">
        <v>22</v>
      </c>
      <c r="J78" s="81">
        <v>34</v>
      </c>
      <c r="K78" s="81">
        <f t="shared" si="13"/>
        <v>748</v>
      </c>
      <c r="L78" s="22"/>
      <c r="M78" s="22"/>
      <c r="N78" s="67"/>
    </row>
    <row r="79" spans="1:14" ht="14.1" customHeight="1">
      <c r="A79" s="22"/>
      <c r="B79" s="3"/>
      <c r="C79" s="3"/>
      <c r="D79" s="3"/>
      <c r="E79" s="3"/>
      <c r="F79" s="22"/>
      <c r="G79" s="120" t="s">
        <v>19</v>
      </c>
      <c r="H79" s="79"/>
      <c r="I79" s="80">
        <v>6.6</v>
      </c>
      <c r="J79" s="81">
        <v>74</v>
      </c>
      <c r="K79" s="81">
        <f t="shared" si="13"/>
        <v>488.4</v>
      </c>
      <c r="L79" s="22"/>
      <c r="M79" s="22"/>
      <c r="N79" s="67"/>
    </row>
    <row r="80" spans="1:14" s="71" customFormat="1" ht="14.1" customHeight="1">
      <c r="A80" s="499"/>
      <c r="B80" s="499"/>
      <c r="C80" s="499"/>
      <c r="D80" s="499"/>
      <c r="E80" s="496" t="s">
        <v>9</v>
      </c>
      <c r="F80" s="110">
        <f>SUM(F77:F79)</f>
        <v>2733.9999999999995</v>
      </c>
      <c r="G80" s="496"/>
      <c r="H80" s="496"/>
      <c r="I80" s="125"/>
      <c r="J80" s="97"/>
      <c r="K80" s="111">
        <f>SUM(K77:K79)</f>
        <v>4866.3999999999996</v>
      </c>
      <c r="L80" s="111">
        <f>K80/F80</f>
        <v>1.7799561082662767</v>
      </c>
      <c r="M80" s="102"/>
    </row>
    <row r="81" spans="1:14" ht="14.1" customHeight="1">
      <c r="A81" s="22">
        <v>9994</v>
      </c>
      <c r="B81" s="480" t="s">
        <v>963</v>
      </c>
      <c r="C81" s="480" t="s">
        <v>937</v>
      </c>
      <c r="D81" s="480" t="s">
        <v>939</v>
      </c>
      <c r="E81" s="480" t="s">
        <v>102</v>
      </c>
      <c r="F81" s="87">
        <f>4000*1.0936</f>
        <v>4374.3999999999996</v>
      </c>
      <c r="G81" s="120" t="s">
        <v>27</v>
      </c>
      <c r="H81" s="79"/>
      <c r="I81" s="80">
        <v>187</v>
      </c>
      <c r="J81" s="81">
        <v>22</v>
      </c>
      <c r="K81" s="81">
        <f t="shared" ref="K81:K85" si="14">I81*J81</f>
        <v>4114</v>
      </c>
      <c r="L81" s="22"/>
      <c r="M81" s="22"/>
      <c r="N81" s="67"/>
    </row>
    <row r="82" spans="1:14" ht="14.1" customHeight="1">
      <c r="A82" s="22"/>
      <c r="B82" s="3"/>
      <c r="C82" s="3"/>
      <c r="D82" s="3"/>
      <c r="E82" s="3"/>
      <c r="F82" s="22"/>
      <c r="G82" s="83" t="s">
        <v>49</v>
      </c>
      <c r="H82" s="79"/>
      <c r="I82" s="80">
        <f>40+15</f>
        <v>55</v>
      </c>
      <c r="J82" s="81">
        <v>34</v>
      </c>
      <c r="K82" s="81">
        <f t="shared" si="14"/>
        <v>1870</v>
      </c>
      <c r="L82" s="22"/>
      <c r="M82" s="22"/>
      <c r="N82" s="67"/>
    </row>
    <row r="83" spans="1:14" s="10" customFormat="1" ht="14.1" customHeight="1">
      <c r="A83" s="22"/>
      <c r="B83" s="3"/>
      <c r="C83" s="3"/>
      <c r="D83" s="3"/>
      <c r="E83" s="3"/>
      <c r="F83" s="22"/>
      <c r="G83" s="120" t="s">
        <v>19</v>
      </c>
      <c r="H83" s="79"/>
      <c r="I83" s="80">
        <f>12+4.5</f>
        <v>16.5</v>
      </c>
      <c r="J83" s="81">
        <v>74</v>
      </c>
      <c r="K83" s="81">
        <f t="shared" si="14"/>
        <v>1221</v>
      </c>
      <c r="L83" s="22"/>
      <c r="M83" s="22"/>
      <c r="N83" s="67"/>
    </row>
    <row r="84" spans="1:14" s="10" customFormat="1" ht="14.1" customHeight="1">
      <c r="A84" s="22"/>
      <c r="B84" s="3"/>
      <c r="C84" s="3"/>
      <c r="D84" s="3"/>
      <c r="E84" s="3"/>
      <c r="F84" s="22"/>
      <c r="G84" s="480" t="s">
        <v>28</v>
      </c>
      <c r="H84" s="79"/>
      <c r="I84" s="80">
        <v>20</v>
      </c>
      <c r="J84" s="81">
        <v>17</v>
      </c>
      <c r="K84" s="81">
        <f t="shared" si="14"/>
        <v>340</v>
      </c>
      <c r="L84" s="2"/>
      <c r="M84" s="22"/>
      <c r="N84" s="67"/>
    </row>
    <row r="85" spans="1:14" s="10" customFormat="1" ht="14.1" customHeight="1">
      <c r="A85" s="22"/>
      <c r="B85" s="3"/>
      <c r="C85" s="3"/>
      <c r="D85" s="3"/>
      <c r="E85" s="3"/>
      <c r="F85" s="22"/>
      <c r="G85" s="95" t="s">
        <v>185</v>
      </c>
      <c r="H85" s="79"/>
      <c r="I85" s="96">
        <v>4</v>
      </c>
      <c r="J85" s="81">
        <v>490</v>
      </c>
      <c r="K85" s="81">
        <f t="shared" si="14"/>
        <v>1960</v>
      </c>
      <c r="L85" s="2"/>
      <c r="M85" s="22"/>
      <c r="N85" s="67"/>
    </row>
    <row r="86" spans="1:14" s="71" customFormat="1" ht="14.1" customHeight="1">
      <c r="A86" s="499"/>
      <c r="B86" s="499"/>
      <c r="C86" s="499"/>
      <c r="D86" s="499"/>
      <c r="E86" s="496" t="s">
        <v>9</v>
      </c>
      <c r="F86" s="110">
        <f>SUM(F81:F85)</f>
        <v>4374.3999999999996</v>
      </c>
      <c r="G86" s="496"/>
      <c r="H86" s="496"/>
      <c r="I86" s="125"/>
      <c r="J86" s="97"/>
      <c r="K86" s="111">
        <f>SUM(K81:K85)</f>
        <v>9505</v>
      </c>
      <c r="L86" s="111">
        <f>K86/F86</f>
        <v>2.1728694220921727</v>
      </c>
      <c r="M86" s="102"/>
    </row>
    <row r="87" spans="1:14" s="71" customFormat="1" ht="14.1" customHeight="1">
      <c r="A87" s="495"/>
      <c r="B87" s="495"/>
      <c r="C87" s="495"/>
      <c r="D87" s="126" t="s">
        <v>30</v>
      </c>
      <c r="E87" s="142"/>
      <c r="F87" s="127">
        <f>F80+F86</f>
        <v>7108.4</v>
      </c>
      <c r="G87" s="128"/>
      <c r="H87" s="128"/>
      <c r="I87" s="128"/>
      <c r="J87" s="128"/>
      <c r="K87" s="127">
        <f>K80+K86</f>
        <v>14371.4</v>
      </c>
      <c r="L87" s="129">
        <f>K87/F87</f>
        <v>2.0217489167745204</v>
      </c>
      <c r="M87" s="131"/>
    </row>
    <row r="88" spans="1:14" s="71" customFormat="1" ht="14.1" customHeight="1">
      <c r="A88" s="70" t="s">
        <v>11</v>
      </c>
      <c r="B88" s="70"/>
      <c r="C88" s="70"/>
      <c r="D88" s="70"/>
      <c r="E88" s="70"/>
      <c r="K88" s="824" t="s">
        <v>1002</v>
      </c>
      <c r="L88" s="824"/>
      <c r="M88" s="824"/>
    </row>
    <row r="89" spans="1:14" s="71" customFormat="1" ht="14.1" customHeight="1">
      <c r="A89" s="482" t="s">
        <v>0</v>
      </c>
      <c r="B89" s="482" t="s">
        <v>7</v>
      </c>
      <c r="C89" s="482" t="s">
        <v>13</v>
      </c>
      <c r="D89" s="482" t="s">
        <v>14</v>
      </c>
      <c r="E89" s="482" t="s">
        <v>8</v>
      </c>
      <c r="F89" s="482" t="s">
        <v>1</v>
      </c>
      <c r="G89" s="482" t="s">
        <v>2</v>
      </c>
      <c r="H89" s="482" t="s">
        <v>15</v>
      </c>
      <c r="I89" s="482" t="s">
        <v>3</v>
      </c>
      <c r="J89" s="482" t="s">
        <v>4</v>
      </c>
      <c r="K89" s="482" t="s">
        <v>5</v>
      </c>
      <c r="L89" s="482" t="s">
        <v>12</v>
      </c>
      <c r="M89" s="482" t="s">
        <v>6</v>
      </c>
      <c r="N89" s="123"/>
    </row>
    <row r="90" spans="1:14" ht="14.1" customHeight="1">
      <c r="A90" s="120">
        <v>9725</v>
      </c>
      <c r="B90" s="480" t="s">
        <v>269</v>
      </c>
      <c r="C90" s="120"/>
      <c r="D90" s="120"/>
      <c r="E90" s="120"/>
      <c r="F90" s="90">
        <f>300*1.0936</f>
        <v>328.08</v>
      </c>
      <c r="G90" s="173" t="s">
        <v>298</v>
      </c>
      <c r="H90" s="79"/>
      <c r="I90" s="80">
        <f>3+1</f>
        <v>4</v>
      </c>
      <c r="J90" s="81">
        <v>435</v>
      </c>
      <c r="K90" s="94">
        <f t="shared" ref="K90:K91" si="15">I90*J90</f>
        <v>1740</v>
      </c>
      <c r="L90" s="2"/>
      <c r="M90" s="2"/>
    </row>
    <row r="91" spans="1:14" ht="14.1" customHeight="1">
      <c r="A91" s="3"/>
      <c r="B91" s="85"/>
      <c r="C91" s="85"/>
      <c r="D91" s="85"/>
      <c r="E91" s="120"/>
      <c r="F91" s="87"/>
      <c r="G91" s="173" t="s">
        <v>799</v>
      </c>
      <c r="H91" s="79"/>
      <c r="I91" s="188">
        <v>3</v>
      </c>
      <c r="J91" s="81">
        <v>350</v>
      </c>
      <c r="K91" s="94">
        <f t="shared" si="15"/>
        <v>1050</v>
      </c>
      <c r="L91" s="2"/>
      <c r="M91" s="2"/>
    </row>
    <row r="92" spans="1:14" s="71" customFormat="1" ht="14.1" customHeight="1">
      <c r="A92" s="479"/>
      <c r="B92" s="479"/>
      <c r="C92" s="479"/>
      <c r="D92" s="479"/>
      <c r="E92" s="482" t="s">
        <v>9</v>
      </c>
      <c r="F92" s="110">
        <f>SUM(F90:F90)</f>
        <v>328.08</v>
      </c>
      <c r="G92" s="482"/>
      <c r="H92" s="482"/>
      <c r="I92" s="97"/>
      <c r="J92" s="97"/>
      <c r="K92" s="111">
        <f>SUM(K90:K91)</f>
        <v>2790</v>
      </c>
      <c r="L92" s="111">
        <f>K92/F92</f>
        <v>8.5040234089246525</v>
      </c>
      <c r="M92" s="102"/>
    </row>
    <row r="93" spans="1:14" ht="14.1" customHeight="1">
      <c r="A93" s="480">
        <v>9726</v>
      </c>
      <c r="B93" s="480" t="s">
        <v>269</v>
      </c>
      <c r="C93" s="480"/>
      <c r="D93" s="480"/>
      <c r="E93" s="480"/>
      <c r="F93" s="90">
        <f>300*1.0936</f>
        <v>328.08</v>
      </c>
      <c r="G93" s="173" t="s">
        <v>298</v>
      </c>
      <c r="H93" s="79"/>
      <c r="I93" s="80">
        <v>6</v>
      </c>
      <c r="J93" s="81">
        <v>435</v>
      </c>
      <c r="K93" s="94">
        <f t="shared" ref="K93:K98" si="16">I93*J93</f>
        <v>2610</v>
      </c>
      <c r="L93" s="2"/>
      <c r="M93" s="2"/>
    </row>
    <row r="94" spans="1:14" ht="14.1" customHeight="1">
      <c r="A94" s="3"/>
      <c r="B94" s="85"/>
      <c r="C94" s="85"/>
      <c r="D94" s="85"/>
      <c r="E94" s="120"/>
      <c r="F94" s="98"/>
      <c r="G94" s="173" t="s">
        <v>799</v>
      </c>
      <c r="H94" s="79"/>
      <c r="I94" s="188">
        <v>6</v>
      </c>
      <c r="J94" s="81">
        <v>350</v>
      </c>
      <c r="K94" s="94">
        <f t="shared" si="16"/>
        <v>2100</v>
      </c>
      <c r="L94" s="2"/>
      <c r="M94" s="2"/>
    </row>
    <row r="95" spans="1:14" ht="14.1" customHeight="1">
      <c r="A95" s="3"/>
      <c r="B95" s="479"/>
      <c r="C95" s="479"/>
      <c r="D95" s="479"/>
      <c r="E95" s="480"/>
      <c r="F95" s="98"/>
      <c r="G95" s="95" t="s">
        <v>204</v>
      </c>
      <c r="H95" s="79"/>
      <c r="I95" s="81">
        <v>6</v>
      </c>
      <c r="J95" s="81">
        <v>375</v>
      </c>
      <c r="K95" s="81">
        <f t="shared" si="16"/>
        <v>2250</v>
      </c>
      <c r="L95" s="2"/>
      <c r="M95" s="2"/>
    </row>
    <row r="96" spans="1:14" ht="14.1" customHeight="1">
      <c r="A96" s="3"/>
      <c r="B96" s="479"/>
      <c r="C96" s="479"/>
      <c r="D96" s="479"/>
      <c r="E96" s="482" t="s">
        <v>9</v>
      </c>
      <c r="F96" s="110">
        <f>SUM(F93:F95)</f>
        <v>328.08</v>
      </c>
      <c r="G96" s="482"/>
      <c r="H96" s="482"/>
      <c r="I96" s="97"/>
      <c r="J96" s="97"/>
      <c r="K96" s="111">
        <f>SUM(K93:K95)</f>
        <v>6960</v>
      </c>
      <c r="L96" s="111">
        <f>K96/F96</f>
        <v>21.214337966349671</v>
      </c>
      <c r="M96" s="2"/>
    </row>
    <row r="97" spans="1:14" ht="14.1" customHeight="1">
      <c r="A97" s="480">
        <v>9728</v>
      </c>
      <c r="B97" s="480" t="s">
        <v>269</v>
      </c>
      <c r="C97" s="480"/>
      <c r="D97" s="480"/>
      <c r="E97" s="480"/>
      <c r="F97" s="90">
        <f>300*1.0936</f>
        <v>328.08</v>
      </c>
      <c r="G97" s="481" t="s">
        <v>587</v>
      </c>
      <c r="H97" s="79"/>
      <c r="I97" s="81">
        <v>1</v>
      </c>
      <c r="J97" s="81">
        <v>456</v>
      </c>
      <c r="K97" s="94">
        <f t="shared" si="16"/>
        <v>456</v>
      </c>
      <c r="L97" s="2"/>
      <c r="M97" s="2"/>
    </row>
    <row r="98" spans="1:14" ht="14.1" customHeight="1">
      <c r="A98" s="3"/>
      <c r="B98" s="479"/>
      <c r="C98" s="479"/>
      <c r="D98" s="479"/>
      <c r="E98" s="480"/>
      <c r="F98" s="98"/>
      <c r="G98" s="480" t="s">
        <v>202</v>
      </c>
      <c r="H98" s="79"/>
      <c r="I98" s="188">
        <v>0.05</v>
      </c>
      <c r="J98" s="81">
        <v>386</v>
      </c>
      <c r="K98" s="81">
        <f t="shared" si="16"/>
        <v>19.3</v>
      </c>
      <c r="L98" s="2"/>
      <c r="M98" s="2"/>
    </row>
    <row r="99" spans="1:14" ht="14.1" customHeight="1">
      <c r="A99" s="3"/>
      <c r="B99" s="479"/>
      <c r="C99" s="479"/>
      <c r="D99" s="479"/>
      <c r="E99" s="482" t="s">
        <v>9</v>
      </c>
      <c r="F99" s="110">
        <f>SUM(F97:F98)</f>
        <v>328.08</v>
      </c>
      <c r="G99" s="482"/>
      <c r="H99" s="482"/>
      <c r="I99" s="97"/>
      <c r="J99" s="97"/>
      <c r="K99" s="111">
        <f>SUM(K97:K98)</f>
        <v>475.3</v>
      </c>
      <c r="L99" s="111">
        <f>K99/F99</f>
        <v>1.4487320165813218</v>
      </c>
      <c r="M99" s="2"/>
    </row>
    <row r="100" spans="1:14" ht="14.1" customHeight="1">
      <c r="A100" s="3">
        <v>9729</v>
      </c>
      <c r="B100" s="480" t="s">
        <v>875</v>
      </c>
      <c r="C100" s="480" t="s">
        <v>233</v>
      </c>
      <c r="D100" s="89" t="s">
        <v>905</v>
      </c>
      <c r="E100" s="480" t="s">
        <v>876</v>
      </c>
      <c r="F100" s="87">
        <f>1580*1.0936</f>
        <v>1727.8879999999999</v>
      </c>
      <c r="G100" s="480" t="s">
        <v>28</v>
      </c>
      <c r="H100" s="79"/>
      <c r="I100" s="80">
        <v>50</v>
      </c>
      <c r="J100" s="81">
        <v>17</v>
      </c>
      <c r="K100" s="81">
        <f t="shared" ref="K100" si="17">I100*J100</f>
        <v>850</v>
      </c>
      <c r="L100" s="2"/>
      <c r="M100" s="2"/>
    </row>
    <row r="101" spans="1:14" s="71" customFormat="1" ht="14.1" customHeight="1">
      <c r="A101" s="479"/>
      <c r="B101" s="479"/>
      <c r="C101" s="479"/>
      <c r="D101" s="479"/>
      <c r="E101" s="482" t="s">
        <v>9</v>
      </c>
      <c r="F101" s="110">
        <f>SUM(F100)</f>
        <v>1727.8879999999999</v>
      </c>
      <c r="G101" s="482"/>
      <c r="H101" s="482"/>
      <c r="I101" s="97"/>
      <c r="J101" s="97"/>
      <c r="K101" s="111">
        <f>SUM(K100)</f>
        <v>850</v>
      </c>
      <c r="L101" s="111">
        <f>K101/F101</f>
        <v>0.49193003250210665</v>
      </c>
      <c r="M101" s="102"/>
    </row>
    <row r="102" spans="1:14" s="71" customFormat="1" ht="14.1" customHeight="1">
      <c r="D102" s="126" t="s">
        <v>30</v>
      </c>
      <c r="E102" s="126"/>
      <c r="F102" s="127">
        <f>F92+F96+F99+F101</f>
        <v>2712.1279999999997</v>
      </c>
      <c r="G102" s="128"/>
      <c r="H102" s="128"/>
      <c r="I102" s="128"/>
      <c r="J102" s="128"/>
      <c r="K102" s="127">
        <f>K92+K96+K99+K101</f>
        <v>11075.3</v>
      </c>
      <c r="L102" s="129">
        <f>K102/F102</f>
        <v>4.0836199471411376</v>
      </c>
    </row>
    <row r="103" spans="1:14" s="71" customFormat="1" ht="14.1" customHeight="1">
      <c r="A103" s="70" t="s">
        <v>42</v>
      </c>
      <c r="B103" s="70"/>
      <c r="C103" s="70"/>
      <c r="D103" s="70"/>
      <c r="E103" s="70"/>
      <c r="K103" s="824" t="s">
        <v>1002</v>
      </c>
      <c r="L103" s="824"/>
      <c r="M103" s="824"/>
    </row>
    <row r="104" spans="1:14" s="71" customFormat="1" ht="14.1" customHeight="1">
      <c r="A104" s="482" t="s">
        <v>0</v>
      </c>
      <c r="B104" s="482" t="s">
        <v>7</v>
      </c>
      <c r="C104" s="482" t="s">
        <v>13</v>
      </c>
      <c r="D104" s="482" t="s">
        <v>14</v>
      </c>
      <c r="E104" s="482" t="s">
        <v>8</v>
      </c>
      <c r="F104" s="482" t="s">
        <v>1</v>
      </c>
      <c r="G104" s="482" t="s">
        <v>2</v>
      </c>
      <c r="H104" s="482" t="s">
        <v>15</v>
      </c>
      <c r="I104" s="482" t="s">
        <v>3</v>
      </c>
      <c r="J104" s="482" t="s">
        <v>4</v>
      </c>
      <c r="K104" s="482" t="s">
        <v>5</v>
      </c>
      <c r="L104" s="482" t="s">
        <v>12</v>
      </c>
      <c r="M104" s="482" t="s">
        <v>6</v>
      </c>
      <c r="N104" s="123"/>
    </row>
    <row r="105" spans="1:14" ht="14.1" customHeight="1">
      <c r="A105" s="120">
        <v>7756</v>
      </c>
      <c r="B105" s="497" t="s">
        <v>917</v>
      </c>
      <c r="C105" s="89" t="s">
        <v>918</v>
      </c>
      <c r="D105" s="89" t="s">
        <v>883</v>
      </c>
      <c r="E105" s="497" t="s">
        <v>93</v>
      </c>
      <c r="F105" s="87">
        <f>40*1.0936</f>
        <v>43.744</v>
      </c>
      <c r="G105" s="91" t="s">
        <v>209</v>
      </c>
      <c r="H105" s="79"/>
      <c r="I105" s="80">
        <v>0.03</v>
      </c>
      <c r="J105" s="81">
        <v>350</v>
      </c>
      <c r="K105" s="81">
        <f t="shared" ref="K105:K107" si="18">I105*J105</f>
        <v>10.5</v>
      </c>
      <c r="L105" s="79"/>
      <c r="M105" s="59"/>
    </row>
    <row r="106" spans="1:14" ht="14.1" customHeight="1">
      <c r="A106" s="3"/>
      <c r="B106" s="3"/>
      <c r="C106" s="3"/>
      <c r="D106" s="3"/>
      <c r="E106" s="3"/>
      <c r="F106" s="4"/>
      <c r="G106" s="91" t="s">
        <v>123</v>
      </c>
      <c r="H106" s="497"/>
      <c r="I106" s="96">
        <v>8.0000000000000002E-3</v>
      </c>
      <c r="J106" s="81">
        <v>750</v>
      </c>
      <c r="K106" s="94">
        <f t="shared" si="18"/>
        <v>6</v>
      </c>
      <c r="L106" s="102"/>
      <c r="M106" s="2"/>
    </row>
    <row r="107" spans="1:14" ht="14.1" customHeight="1">
      <c r="A107" s="3"/>
      <c r="B107" s="3"/>
      <c r="C107" s="3"/>
      <c r="D107" s="3"/>
      <c r="E107" s="3"/>
      <c r="F107" s="4"/>
      <c r="G107" s="91" t="s">
        <v>888</v>
      </c>
      <c r="H107" s="109"/>
      <c r="I107" s="80">
        <v>5.0000000000000001E-3</v>
      </c>
      <c r="J107" s="81">
        <v>690</v>
      </c>
      <c r="K107" s="81">
        <f t="shared" si="18"/>
        <v>3.45</v>
      </c>
      <c r="L107" s="102"/>
      <c r="M107" s="2"/>
    </row>
    <row r="108" spans="1:14" ht="14.1" customHeight="1">
      <c r="A108" s="3"/>
      <c r="B108" s="3"/>
      <c r="C108" s="3"/>
      <c r="D108" s="3"/>
      <c r="E108" s="3"/>
      <c r="F108" s="4"/>
      <c r="G108" s="498" t="s">
        <v>211</v>
      </c>
      <c r="H108" s="79"/>
      <c r="I108" s="80">
        <v>2</v>
      </c>
      <c r="J108" s="81">
        <v>120</v>
      </c>
      <c r="K108" s="81">
        <f>I108*J108</f>
        <v>240</v>
      </c>
      <c r="L108" s="79"/>
      <c r="M108" s="2"/>
    </row>
    <row r="109" spans="1:14" ht="14.1" customHeight="1">
      <c r="A109" s="3"/>
      <c r="B109" s="3"/>
      <c r="C109" s="3"/>
      <c r="D109" s="3"/>
      <c r="E109" s="6"/>
      <c r="F109" s="8"/>
      <c r="G109" s="498" t="s">
        <v>213</v>
      </c>
      <c r="H109" s="79"/>
      <c r="I109" s="80">
        <v>0.3</v>
      </c>
      <c r="J109" s="81">
        <v>348</v>
      </c>
      <c r="K109" s="81">
        <f t="shared" ref="K109:K110" si="19">I109*J109</f>
        <v>104.39999999999999</v>
      </c>
      <c r="L109" s="79"/>
      <c r="M109" s="2"/>
    </row>
    <row r="110" spans="1:14" ht="14.1" customHeight="1">
      <c r="A110" s="3"/>
      <c r="B110" s="3"/>
      <c r="C110" s="3"/>
      <c r="D110" s="3"/>
      <c r="E110" s="6"/>
      <c r="F110" s="8"/>
      <c r="G110" s="498" t="s">
        <v>45</v>
      </c>
      <c r="H110" s="79"/>
      <c r="I110" s="80">
        <v>0.2</v>
      </c>
      <c r="J110" s="81">
        <v>45</v>
      </c>
      <c r="K110" s="81">
        <f t="shared" si="19"/>
        <v>9</v>
      </c>
      <c r="L110" s="79"/>
      <c r="M110" s="2"/>
    </row>
    <row r="111" spans="1:14" ht="14.1" customHeight="1">
      <c r="A111" s="3"/>
      <c r="B111" s="3"/>
      <c r="C111" s="3"/>
      <c r="D111" s="3"/>
      <c r="E111" s="6" t="s">
        <v>9</v>
      </c>
      <c r="F111" s="8">
        <f>SUM(F105:F110)</f>
        <v>43.744</v>
      </c>
      <c r="G111" s="6"/>
      <c r="H111" s="6"/>
      <c r="I111" s="5"/>
      <c r="J111" s="5"/>
      <c r="K111" s="7">
        <f>SUM(K105:K110)</f>
        <v>373.34999999999997</v>
      </c>
      <c r="L111" s="7">
        <f>K111/F111</f>
        <v>8.5348847841989759</v>
      </c>
      <c r="M111" s="59"/>
    </row>
    <row r="112" spans="1:14" ht="14.1" customHeight="1">
      <c r="A112" s="497">
        <v>7756</v>
      </c>
      <c r="B112" s="497" t="s">
        <v>897</v>
      </c>
      <c r="C112" s="89" t="s">
        <v>918</v>
      </c>
      <c r="D112" s="89" t="s">
        <v>883</v>
      </c>
      <c r="E112" s="497" t="s">
        <v>93</v>
      </c>
      <c r="F112" s="87">
        <f>50*1.0936</f>
        <v>54.679999999999993</v>
      </c>
      <c r="G112" s="91" t="s">
        <v>209</v>
      </c>
      <c r="H112" s="79"/>
      <c r="I112" s="80">
        <v>0.33</v>
      </c>
      <c r="J112" s="81">
        <v>350</v>
      </c>
      <c r="K112" s="81">
        <f t="shared" ref="K112:K114" si="20">I112*J112</f>
        <v>115.5</v>
      </c>
      <c r="L112" s="79"/>
      <c r="M112" s="2"/>
    </row>
    <row r="113" spans="1:13" ht="14.1" customHeight="1">
      <c r="A113" s="3"/>
      <c r="B113" s="3"/>
      <c r="C113" s="3"/>
      <c r="D113" s="3"/>
      <c r="E113" s="120"/>
      <c r="F113" s="120"/>
      <c r="G113" s="91" t="s">
        <v>123</v>
      </c>
      <c r="H113" s="497"/>
      <c r="I113" s="96">
        <v>2.5000000000000001E-2</v>
      </c>
      <c r="J113" s="81">
        <v>750</v>
      </c>
      <c r="K113" s="94">
        <f t="shared" si="20"/>
        <v>18.75</v>
      </c>
      <c r="L113" s="102"/>
      <c r="M113" s="2"/>
    </row>
    <row r="114" spans="1:13" ht="14.1" customHeight="1">
      <c r="A114" s="3"/>
      <c r="B114" s="3"/>
      <c r="C114" s="3"/>
      <c r="D114" s="3"/>
      <c r="E114" s="3"/>
      <c r="F114" s="4"/>
      <c r="G114" s="91" t="s">
        <v>888</v>
      </c>
      <c r="H114" s="109"/>
      <c r="I114" s="80">
        <v>5.0000000000000001E-3</v>
      </c>
      <c r="J114" s="81">
        <v>690</v>
      </c>
      <c r="K114" s="81">
        <f t="shared" si="20"/>
        <v>3.45</v>
      </c>
      <c r="L114" s="102"/>
      <c r="M114" s="2"/>
    </row>
    <row r="115" spans="1:13" ht="14.1" customHeight="1">
      <c r="A115" s="3"/>
      <c r="B115" s="3"/>
      <c r="C115" s="3"/>
      <c r="D115" s="3"/>
      <c r="E115" s="3"/>
      <c r="F115" s="4"/>
      <c r="G115" s="498" t="s">
        <v>211</v>
      </c>
      <c r="H115" s="79"/>
      <c r="I115" s="80">
        <v>4</v>
      </c>
      <c r="J115" s="81">
        <v>120</v>
      </c>
      <c r="K115" s="81">
        <f>I115*J115</f>
        <v>480</v>
      </c>
      <c r="L115" s="79"/>
      <c r="M115" s="2"/>
    </row>
    <row r="116" spans="1:13" ht="14.1" customHeight="1">
      <c r="A116" s="3"/>
      <c r="B116" s="3"/>
      <c r="C116" s="3"/>
      <c r="D116" s="3"/>
      <c r="E116" s="3"/>
      <c r="F116" s="4"/>
      <c r="G116" s="498" t="s">
        <v>213</v>
      </c>
      <c r="H116" s="79"/>
      <c r="I116" s="80">
        <v>2.5</v>
      </c>
      <c r="J116" s="81">
        <v>348</v>
      </c>
      <c r="K116" s="81">
        <f t="shared" ref="K116:K117" si="21">I116*J116</f>
        <v>870</v>
      </c>
      <c r="L116" s="79"/>
      <c r="M116" s="2"/>
    </row>
    <row r="117" spans="1:13" ht="14.1" customHeight="1">
      <c r="A117" s="3"/>
      <c r="B117" s="3"/>
      <c r="C117" s="3"/>
      <c r="D117" s="3"/>
      <c r="E117" s="3"/>
      <c r="F117" s="4"/>
      <c r="G117" s="498" t="s">
        <v>45</v>
      </c>
      <c r="H117" s="79"/>
      <c r="I117" s="80">
        <v>0.3</v>
      </c>
      <c r="J117" s="81">
        <v>45</v>
      </c>
      <c r="K117" s="81">
        <f t="shared" si="21"/>
        <v>13.5</v>
      </c>
      <c r="L117" s="79"/>
      <c r="M117" s="2"/>
    </row>
    <row r="118" spans="1:13" ht="14.1" customHeight="1">
      <c r="A118" s="3"/>
      <c r="B118" s="3"/>
      <c r="C118" s="3"/>
      <c r="D118" s="3"/>
      <c r="E118" s="6" t="s">
        <v>9</v>
      </c>
      <c r="F118" s="8">
        <f>SUM(F112:F117)</f>
        <v>54.679999999999993</v>
      </c>
      <c r="G118" s="6"/>
      <c r="H118" s="6"/>
      <c r="I118" s="5"/>
      <c r="J118" s="5"/>
      <c r="K118" s="7">
        <f>SUM(K112:K117)</f>
        <v>1501.2</v>
      </c>
      <c r="L118" s="7">
        <f>K118/F118</f>
        <v>27.454279444038043</v>
      </c>
      <c r="M118" s="59"/>
    </row>
    <row r="119" spans="1:13" ht="14.1" customHeight="1">
      <c r="A119" s="497">
        <v>7756</v>
      </c>
      <c r="B119" s="497" t="s">
        <v>1006</v>
      </c>
      <c r="C119" s="89" t="s">
        <v>1007</v>
      </c>
      <c r="D119" s="89" t="s">
        <v>1008</v>
      </c>
      <c r="E119" s="497" t="s">
        <v>93</v>
      </c>
      <c r="F119" s="87">
        <f>45*1.0936</f>
        <v>49.211999999999996</v>
      </c>
      <c r="G119" s="91" t="s">
        <v>209</v>
      </c>
      <c r="H119" s="79"/>
      <c r="I119" s="80">
        <v>0.3</v>
      </c>
      <c r="J119" s="81">
        <v>350</v>
      </c>
      <c r="K119" s="81">
        <f t="shared" ref="K119:K121" si="22">I119*J119</f>
        <v>105</v>
      </c>
      <c r="L119" s="79"/>
      <c r="M119" s="2"/>
    </row>
    <row r="120" spans="1:13" ht="14.1" customHeight="1">
      <c r="A120" s="120"/>
      <c r="B120" s="3"/>
      <c r="C120" s="3"/>
      <c r="D120" s="3"/>
      <c r="E120" s="120"/>
      <c r="F120" s="4"/>
      <c r="G120" s="91" t="s">
        <v>123</v>
      </c>
      <c r="H120" s="497"/>
      <c r="I120" s="96">
        <v>0.65</v>
      </c>
      <c r="J120" s="81">
        <v>750</v>
      </c>
      <c r="K120" s="94">
        <f t="shared" si="22"/>
        <v>487.5</v>
      </c>
      <c r="L120" s="102"/>
      <c r="M120" s="2"/>
    </row>
    <row r="121" spans="1:13" ht="14.1" customHeight="1">
      <c r="A121" s="3"/>
      <c r="B121" s="3"/>
      <c r="C121" s="3"/>
      <c r="D121" s="3"/>
      <c r="E121" s="3"/>
      <c r="F121" s="4"/>
      <c r="G121" s="91" t="s">
        <v>888</v>
      </c>
      <c r="H121" s="109"/>
      <c r="I121" s="80">
        <v>7.0000000000000007E-2</v>
      </c>
      <c r="J121" s="81">
        <v>690</v>
      </c>
      <c r="K121" s="81">
        <f t="shared" si="22"/>
        <v>48.300000000000004</v>
      </c>
      <c r="L121" s="102"/>
      <c r="M121" s="2"/>
    </row>
    <row r="122" spans="1:13" ht="14.1" customHeight="1">
      <c r="A122" s="3"/>
      <c r="B122" s="3"/>
      <c r="C122" s="3"/>
      <c r="D122" s="3"/>
      <c r="E122" s="3"/>
      <c r="F122" s="4"/>
      <c r="G122" s="498" t="s">
        <v>211</v>
      </c>
      <c r="H122" s="79"/>
      <c r="I122" s="80">
        <v>4</v>
      </c>
      <c r="J122" s="81">
        <v>120</v>
      </c>
      <c r="K122" s="81">
        <f>I122*J122</f>
        <v>480</v>
      </c>
      <c r="L122" s="79"/>
      <c r="M122" s="2"/>
    </row>
    <row r="123" spans="1:13" ht="14.1" customHeight="1">
      <c r="A123" s="3"/>
      <c r="B123" s="3"/>
      <c r="C123" s="3"/>
      <c r="D123" s="3"/>
      <c r="E123" s="3"/>
      <c r="F123" s="4"/>
      <c r="G123" s="498" t="s">
        <v>213</v>
      </c>
      <c r="H123" s="79"/>
      <c r="I123" s="80">
        <v>0.4</v>
      </c>
      <c r="J123" s="81">
        <v>348</v>
      </c>
      <c r="K123" s="81">
        <f t="shared" ref="K123:K124" si="23">I123*J123</f>
        <v>139.20000000000002</v>
      </c>
      <c r="L123" s="79"/>
      <c r="M123" s="2"/>
    </row>
    <row r="124" spans="1:13" ht="14.1" customHeight="1">
      <c r="A124" s="3"/>
      <c r="B124" s="3"/>
      <c r="C124" s="3"/>
      <c r="D124" s="3"/>
      <c r="E124" s="3"/>
      <c r="F124" s="4"/>
      <c r="G124" s="498" t="s">
        <v>45</v>
      </c>
      <c r="H124" s="79"/>
      <c r="I124" s="80">
        <v>0.2</v>
      </c>
      <c r="J124" s="81">
        <v>45</v>
      </c>
      <c r="K124" s="81">
        <f t="shared" si="23"/>
        <v>9</v>
      </c>
      <c r="L124" s="79"/>
      <c r="M124" s="2"/>
    </row>
    <row r="125" spans="1:13" s="71" customFormat="1" ht="14.1" customHeight="1">
      <c r="A125" s="85"/>
      <c r="B125" s="85"/>
      <c r="C125" s="85"/>
      <c r="D125" s="85"/>
      <c r="E125" s="243" t="s">
        <v>9</v>
      </c>
      <c r="F125" s="110">
        <f>SUM(F119:F124)</f>
        <v>49.211999999999996</v>
      </c>
      <c r="G125" s="243"/>
      <c r="H125" s="243"/>
      <c r="I125" s="97"/>
      <c r="J125" s="97"/>
      <c r="K125" s="111">
        <f>SUM(K119:K124)</f>
        <v>1269</v>
      </c>
      <c r="L125" s="111">
        <f>K125/F125</f>
        <v>25.786393562545722</v>
      </c>
      <c r="M125" s="143"/>
    </row>
    <row r="126" spans="1:13" s="71" customFormat="1" ht="14.1" customHeight="1">
      <c r="D126" s="126" t="s">
        <v>30</v>
      </c>
      <c r="E126" s="126"/>
      <c r="F126" s="127">
        <f>F111+F118+F125</f>
        <v>147.636</v>
      </c>
      <c r="G126" s="128"/>
      <c r="H126" s="128"/>
      <c r="I126" s="128"/>
      <c r="J126" s="128"/>
      <c r="K126" s="127">
        <f>K111+K118+K125</f>
        <v>3143.55</v>
      </c>
      <c r="L126" s="129">
        <f>K126/F126</f>
        <v>21.29257091766236</v>
      </c>
    </row>
    <row r="127" spans="1:13" s="71" customFormat="1" ht="14.1" customHeight="1"/>
    <row r="128" spans="1:13" ht="14.1" customHeight="1"/>
    <row r="129" spans="1:13" ht="14.1" customHeight="1">
      <c r="B129" s="28"/>
      <c r="C129" s="28"/>
      <c r="D129" s="133" t="s">
        <v>1009</v>
      </c>
      <c r="E129" s="405">
        <f>F74+F126</f>
        <v>399.16399999999999</v>
      </c>
      <c r="F129" s="133"/>
      <c r="G129" s="134">
        <f>K20+K29+K38+K44+K74+K87+K102+K126</f>
        <v>88748.428</v>
      </c>
      <c r="H129" s="135"/>
      <c r="I129" s="135"/>
      <c r="J129" s="135"/>
      <c r="K129" s="135"/>
      <c r="L129" s="134">
        <f>G129/E129</f>
        <v>222.3357517210971</v>
      </c>
      <c r="M129" s="494" t="s">
        <v>269</v>
      </c>
    </row>
    <row r="130" spans="1:13" ht="14.1" customHeight="1">
      <c r="B130" s="28"/>
      <c r="C130" s="28"/>
      <c r="D130" s="109" t="s">
        <v>855</v>
      </c>
      <c r="E130" s="406"/>
      <c r="F130" s="109"/>
      <c r="G130" s="359">
        <f>K47+K48+K49+K53+K54+K55+K59+K60+K61+K68+K69+K70+K105+K106+K107+K112+K113+K114+K119+K120+K121+K62+K63+K64</f>
        <v>5600.6279999999997</v>
      </c>
      <c r="H130" s="370"/>
      <c r="I130" s="359">
        <f>'08'!I188+'09'!G130</f>
        <v>608478.5680000002</v>
      </c>
      <c r="J130" s="438">
        <f>G130+M143</f>
        <v>11302.652999999998</v>
      </c>
      <c r="K130" s="360"/>
      <c r="L130" s="396"/>
    </row>
    <row r="131" spans="1:13" ht="14.1" customHeight="1">
      <c r="B131" s="28"/>
      <c r="C131" s="28"/>
      <c r="D131" s="323" t="s">
        <v>854</v>
      </c>
      <c r="E131" s="361"/>
      <c r="F131" s="323"/>
      <c r="G131" s="397">
        <f>G129-G130</f>
        <v>83147.8</v>
      </c>
      <c r="H131" s="398"/>
      <c r="I131" s="359">
        <f>'08'!I189+'09'!G131</f>
        <v>1384770.9920000001</v>
      </c>
      <c r="J131" s="400"/>
      <c r="K131" s="400"/>
      <c r="L131" s="401"/>
    </row>
    <row r="132" spans="1:13" ht="14.1" customHeight="1">
      <c r="B132" s="28"/>
      <c r="C132" s="28"/>
      <c r="D132" s="109" t="s">
        <v>853</v>
      </c>
      <c r="E132" s="407"/>
      <c r="F132" s="109"/>
      <c r="G132" s="410">
        <f>SUM(G130:G131)</f>
        <v>88748.428</v>
      </c>
      <c r="H132" s="402"/>
      <c r="I132" s="403"/>
      <c r="J132" s="402"/>
      <c r="K132" s="402"/>
      <c r="L132" s="404">
        <f>G132/E129</f>
        <v>222.3357517210971</v>
      </c>
    </row>
    <row r="133" spans="1:13" ht="14.1" customHeight="1">
      <c r="B133" s="28"/>
      <c r="C133" s="28"/>
      <c r="D133" s="395" t="s">
        <v>906</v>
      </c>
      <c r="E133" s="408"/>
      <c r="F133" s="109"/>
      <c r="G133" s="409">
        <f>M143</f>
        <v>5702.0249999999996</v>
      </c>
      <c r="H133" s="392"/>
      <c r="I133" s="391"/>
      <c r="J133" s="391"/>
      <c r="K133" s="393"/>
    </row>
    <row r="134" spans="1:13" ht="14.1" customHeight="1">
      <c r="B134" s="28"/>
      <c r="C134" s="28"/>
      <c r="D134" s="29"/>
      <c r="E134" s="29"/>
      <c r="F134" s="29"/>
      <c r="G134" s="29"/>
      <c r="H134" s="30"/>
      <c r="I134" s="29"/>
      <c r="J134" s="29"/>
      <c r="K134" s="29"/>
      <c r="L134" s="29"/>
    </row>
    <row r="135" spans="1:13" ht="14.1" customHeight="1">
      <c r="B135" s="28"/>
      <c r="C135" s="28"/>
      <c r="D135" s="829" t="s">
        <v>852</v>
      </c>
      <c r="E135" s="829"/>
      <c r="F135" s="357">
        <f>G149</f>
        <v>76270</v>
      </c>
      <c r="G135" s="29"/>
      <c r="H135" s="500" t="s">
        <v>908</v>
      </c>
      <c r="I135" s="832" t="s">
        <v>405</v>
      </c>
      <c r="J135" s="833"/>
      <c r="K135" s="80">
        <f>0.12+0.7</f>
        <v>0.82</v>
      </c>
      <c r="L135" s="81">
        <v>1708</v>
      </c>
      <c r="M135" s="81">
        <f t="shared" ref="M135:M142" si="24">K135*L135</f>
        <v>1400.56</v>
      </c>
    </row>
    <row r="136" spans="1:13" ht="14.1" customHeight="1">
      <c r="B136" s="28"/>
      <c r="C136" s="28"/>
      <c r="D136" s="829" t="s">
        <v>835</v>
      </c>
      <c r="E136" s="829"/>
      <c r="F136" s="357">
        <f>G141+G142</f>
        <v>32116</v>
      </c>
      <c r="G136" s="29"/>
      <c r="H136" s="500" t="s">
        <v>909</v>
      </c>
      <c r="I136" s="830" t="s">
        <v>192</v>
      </c>
      <c r="J136" s="831"/>
      <c r="K136" s="80">
        <f>0.095+0.2+0.44+0.253+0.022</f>
        <v>1.01</v>
      </c>
      <c r="L136" s="81">
        <v>1126</v>
      </c>
      <c r="M136" s="81">
        <f t="shared" si="24"/>
        <v>1137.26</v>
      </c>
    </row>
    <row r="137" spans="1:13" ht="14.1" customHeight="1">
      <c r="B137" s="28"/>
      <c r="C137" s="28"/>
      <c r="D137" s="829" t="s">
        <v>836</v>
      </c>
      <c r="E137" s="829"/>
      <c r="F137" s="357">
        <f>SUM(F135:F136)</f>
        <v>108386</v>
      </c>
      <c r="G137" s="29"/>
      <c r="H137" s="500" t="s">
        <v>910</v>
      </c>
      <c r="I137" s="830" t="s">
        <v>193</v>
      </c>
      <c r="J137" s="831"/>
      <c r="K137" s="80">
        <f>0.25+1</f>
        <v>1.25</v>
      </c>
      <c r="L137" s="81">
        <v>1150</v>
      </c>
      <c r="M137" s="81">
        <f t="shared" si="24"/>
        <v>1437.5</v>
      </c>
    </row>
    <row r="138" spans="1:13" ht="14.1" customHeight="1">
      <c r="B138" s="28"/>
      <c r="C138" s="28"/>
      <c r="D138" s="368" t="s">
        <v>847</v>
      </c>
      <c r="E138" s="368"/>
      <c r="F138" s="357">
        <f>F135-G131</f>
        <v>-6877.8000000000029</v>
      </c>
      <c r="G138" s="29"/>
      <c r="H138" s="500" t="s">
        <v>908</v>
      </c>
      <c r="I138" s="834" t="s">
        <v>190</v>
      </c>
      <c r="J138" s="835"/>
      <c r="K138" s="80">
        <v>3.5000000000000003E-2</v>
      </c>
      <c r="L138" s="81">
        <v>644</v>
      </c>
      <c r="M138" s="81">
        <f t="shared" si="24"/>
        <v>22.540000000000003</v>
      </c>
    </row>
    <row r="139" spans="1:13" ht="14.1" customHeight="1">
      <c r="B139" s="28"/>
      <c r="C139" s="28"/>
      <c r="D139" s="29"/>
      <c r="E139" s="29"/>
      <c r="F139" s="29"/>
      <c r="G139" s="29"/>
      <c r="H139" s="500" t="s">
        <v>912</v>
      </c>
      <c r="I139" s="830" t="s">
        <v>194</v>
      </c>
      <c r="J139" s="831"/>
      <c r="K139" s="80">
        <v>3.5000000000000003E-2</v>
      </c>
      <c r="L139" s="81">
        <v>879</v>
      </c>
      <c r="M139" s="81">
        <f t="shared" si="24"/>
        <v>30.765000000000004</v>
      </c>
    </row>
    <row r="140" spans="1:13" ht="14.1" customHeight="1">
      <c r="B140" s="836" t="s">
        <v>833</v>
      </c>
      <c r="C140" s="837"/>
      <c r="D140" s="273" t="s">
        <v>844</v>
      </c>
      <c r="E140" s="273" t="s">
        <v>845</v>
      </c>
      <c r="F140" s="273" t="s">
        <v>846</v>
      </c>
      <c r="G140" s="273" t="s">
        <v>5</v>
      </c>
      <c r="H140" s="500" t="s">
        <v>911</v>
      </c>
      <c r="I140" s="830" t="s">
        <v>279</v>
      </c>
      <c r="J140" s="831"/>
      <c r="K140" s="80">
        <v>0.6</v>
      </c>
      <c r="L140" s="81">
        <v>689</v>
      </c>
      <c r="M140" s="81">
        <f t="shared" si="24"/>
        <v>413.4</v>
      </c>
    </row>
    <row r="141" spans="1:13" ht="14.1" customHeight="1">
      <c r="B141" s="28"/>
      <c r="C141" s="28"/>
      <c r="D141" s="273" t="s">
        <v>837</v>
      </c>
      <c r="E141" s="109">
        <v>15.5</v>
      </c>
      <c r="F141" s="122">
        <v>2072</v>
      </c>
      <c r="G141" s="357">
        <f>F141*E141</f>
        <v>32116</v>
      </c>
      <c r="H141" s="500" t="s">
        <v>909</v>
      </c>
      <c r="I141" s="830" t="s">
        <v>562</v>
      </c>
      <c r="J141" s="831"/>
      <c r="K141" s="80">
        <v>0.4</v>
      </c>
      <c r="L141" s="81">
        <v>2885</v>
      </c>
      <c r="M141" s="81">
        <f t="shared" si="24"/>
        <v>1154</v>
      </c>
    </row>
    <row r="142" spans="1:13" ht="14.1" customHeight="1">
      <c r="B142" s="28"/>
      <c r="C142" s="28"/>
      <c r="D142" s="273" t="s">
        <v>1069</v>
      </c>
      <c r="E142" s="109">
        <v>34</v>
      </c>
      <c r="F142" s="122"/>
      <c r="G142" s="357">
        <f t="shared" ref="G142:G148" si="25">F142*E142</f>
        <v>0</v>
      </c>
      <c r="H142" s="500" t="s">
        <v>911</v>
      </c>
      <c r="I142" s="830" t="s">
        <v>199</v>
      </c>
      <c r="J142" s="831"/>
      <c r="K142" s="80">
        <v>0.2</v>
      </c>
      <c r="L142" s="81">
        <v>530</v>
      </c>
      <c r="M142" s="81">
        <f t="shared" si="24"/>
        <v>106</v>
      </c>
    </row>
    <row r="143" spans="1:13" ht="14.1" customHeight="1">
      <c r="A143" s="68"/>
      <c r="B143" s="29"/>
      <c r="C143" s="29"/>
      <c r="D143" s="322" t="s">
        <v>843</v>
      </c>
      <c r="E143" s="317"/>
      <c r="F143" s="492">
        <f>SUM(F141:F142)</f>
        <v>2072</v>
      </c>
      <c r="G143" s="440">
        <f>SUM(G141:G142)</f>
        <v>32116</v>
      </c>
      <c r="H143" s="29"/>
      <c r="I143" s="844" t="s">
        <v>906</v>
      </c>
      <c r="J143" s="845"/>
      <c r="K143" s="490">
        <f>SUM(K135:K142)</f>
        <v>4.3500000000000005</v>
      </c>
      <c r="L143" s="491"/>
      <c r="M143" s="489">
        <f>SUM(M135:M142)</f>
        <v>5702.0249999999996</v>
      </c>
    </row>
    <row r="144" spans="1:13" ht="14.1" customHeight="1">
      <c r="B144" s="28"/>
      <c r="C144" s="28"/>
      <c r="D144" s="518" t="s">
        <v>1066</v>
      </c>
      <c r="E144" s="79">
        <v>165</v>
      </c>
      <c r="F144" s="122">
        <v>120</v>
      </c>
      <c r="G144" s="357">
        <f t="shared" si="25"/>
        <v>19800</v>
      </c>
      <c r="H144" s="29"/>
      <c r="I144" s="29"/>
      <c r="J144" s="29"/>
      <c r="K144" s="29"/>
      <c r="L144" s="29"/>
      <c r="M144" s="263">
        <f>G130+M143</f>
        <v>11302.652999999998</v>
      </c>
    </row>
    <row r="145" spans="2:12" ht="14.1" customHeight="1">
      <c r="B145" s="28"/>
      <c r="C145" s="28"/>
      <c r="D145" s="479" t="s">
        <v>997</v>
      </c>
      <c r="E145" s="102">
        <v>120</v>
      </c>
      <c r="F145" s="444">
        <v>60</v>
      </c>
      <c r="G145" s="440">
        <f t="shared" si="25"/>
        <v>7200</v>
      </c>
      <c r="H145" s="29"/>
      <c r="I145" s="29"/>
      <c r="J145" s="29"/>
      <c r="K145" s="29"/>
      <c r="L145" s="29"/>
    </row>
    <row r="146" spans="2:12" ht="14.1" customHeight="1">
      <c r="B146" s="28"/>
      <c r="C146" s="28"/>
      <c r="D146" s="273" t="s">
        <v>907</v>
      </c>
      <c r="E146" s="389">
        <v>46</v>
      </c>
      <c r="F146" s="122">
        <f>145+120+180</f>
        <v>445</v>
      </c>
      <c r="G146" s="357">
        <f t="shared" si="25"/>
        <v>20470</v>
      </c>
      <c r="H146" s="29"/>
      <c r="I146" s="29"/>
      <c r="J146" s="29"/>
      <c r="K146" s="29"/>
      <c r="L146" s="29"/>
    </row>
    <row r="147" spans="2:12" ht="14.1" customHeight="1">
      <c r="B147" s="28"/>
      <c r="C147" s="28"/>
      <c r="D147" s="273" t="s">
        <v>27</v>
      </c>
      <c r="E147" s="109">
        <v>22</v>
      </c>
      <c r="F147" s="122">
        <v>1000</v>
      </c>
      <c r="G147" s="357">
        <f t="shared" si="25"/>
        <v>22000</v>
      </c>
      <c r="H147" s="29"/>
      <c r="I147" s="29"/>
      <c r="J147" s="29"/>
      <c r="K147" s="29"/>
      <c r="L147" s="29"/>
    </row>
    <row r="148" spans="2:12" ht="14.1" customHeight="1">
      <c r="B148" s="28"/>
      <c r="C148" s="28"/>
      <c r="D148" s="273" t="s">
        <v>1069</v>
      </c>
      <c r="E148" s="109">
        <v>34</v>
      </c>
      <c r="F148" s="122">
        <v>200</v>
      </c>
      <c r="G148" s="357">
        <f t="shared" si="25"/>
        <v>6800</v>
      </c>
      <c r="H148" s="28"/>
      <c r="I148" s="28"/>
      <c r="J148" s="28"/>
      <c r="K148" s="28"/>
      <c r="L148" s="28"/>
    </row>
    <row r="149" spans="2:12" ht="14.1" customHeight="1">
      <c r="B149" s="28"/>
      <c r="C149" s="28"/>
      <c r="D149" s="322" t="s">
        <v>843</v>
      </c>
      <c r="E149" s="317"/>
      <c r="F149" s="492">
        <f>SUM(F144:F148)</f>
        <v>1825</v>
      </c>
      <c r="G149" s="440">
        <f>SUM(G144:G148)</f>
        <v>76270</v>
      </c>
    </row>
    <row r="150" spans="2:12" ht="14.1" customHeight="1">
      <c r="B150" s="28"/>
      <c r="C150" s="28"/>
      <c r="D150" s="322" t="s">
        <v>969</v>
      </c>
      <c r="E150" s="317"/>
      <c r="F150" s="492">
        <f>F143+F149</f>
        <v>3897</v>
      </c>
      <c r="G150" s="440">
        <f>G143+G149</f>
        <v>108386</v>
      </c>
    </row>
    <row r="151" spans="2:12" ht="14.1" customHeight="1"/>
    <row r="152" spans="2:12" ht="14.1" customHeight="1"/>
    <row r="153" spans="2:12" ht="14.1" customHeight="1"/>
    <row r="154" spans="2:12" ht="14.1" customHeight="1"/>
    <row r="155" spans="2:12" ht="14.1" customHeight="1"/>
    <row r="156" spans="2:12" ht="14.1" customHeight="1"/>
    <row r="157" spans="2:12" ht="14.1" customHeight="1"/>
    <row r="158" spans="2:12" ht="14.1" customHeight="1"/>
    <row r="159" spans="2:12" ht="14.1" customHeight="1"/>
    <row r="160" spans="2:12" ht="14.1" customHeight="1"/>
    <row r="161" spans="1:13" ht="14.1" customHeight="1"/>
    <row r="162" spans="1:13" ht="14.1" customHeight="1"/>
    <row r="163" spans="1:13" s="64" customFormat="1" ht="14.1" customHeight="1">
      <c r="A163" s="840" t="s">
        <v>240</v>
      </c>
      <c r="B163" s="840"/>
      <c r="C163" s="840" t="s">
        <v>765</v>
      </c>
      <c r="D163" s="840"/>
      <c r="E163" s="840" t="s">
        <v>764</v>
      </c>
      <c r="F163" s="840"/>
      <c r="G163" s="380" t="s">
        <v>66</v>
      </c>
      <c r="H163" s="840" t="s">
        <v>411</v>
      </c>
      <c r="I163" s="840"/>
      <c r="J163" s="840"/>
      <c r="K163" s="840" t="s">
        <v>68</v>
      </c>
      <c r="L163" s="840"/>
      <c r="M163" s="840"/>
    </row>
  </sheetData>
  <mergeCells count="29">
    <mergeCell ref="A1:M1"/>
    <mergeCell ref="A2:M2"/>
    <mergeCell ref="A3:M3"/>
    <mergeCell ref="B140:C140"/>
    <mergeCell ref="I140:J140"/>
    <mergeCell ref="D137:E137"/>
    <mergeCell ref="I137:J137"/>
    <mergeCell ref="K4:M4"/>
    <mergeCell ref="K21:M21"/>
    <mergeCell ref="K30:M30"/>
    <mergeCell ref="K39:M39"/>
    <mergeCell ref="K45:M45"/>
    <mergeCell ref="K75:M75"/>
    <mergeCell ref="K88:M88"/>
    <mergeCell ref="A163:B163"/>
    <mergeCell ref="C163:D163"/>
    <mergeCell ref="E163:F163"/>
    <mergeCell ref="H163:J163"/>
    <mergeCell ref="I141:J141"/>
    <mergeCell ref="I142:J142"/>
    <mergeCell ref="I143:J143"/>
    <mergeCell ref="K163:M163"/>
    <mergeCell ref="I138:J138"/>
    <mergeCell ref="I139:J139"/>
    <mergeCell ref="K103:M103"/>
    <mergeCell ref="D135:E135"/>
    <mergeCell ref="D136:E136"/>
    <mergeCell ref="I135:J135"/>
    <mergeCell ref="I136:J136"/>
  </mergeCells>
  <pageMargins left="0.45" right="0.2" top="0.25" bottom="0.25" header="0.3" footer="0.3"/>
  <pageSetup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225"/>
  <sheetViews>
    <sheetView topLeftCell="A178" workbookViewId="0">
      <selection activeCell="G89" sqref="G89:L89"/>
    </sheetView>
  </sheetViews>
  <sheetFormatPr defaultRowHeight="15"/>
  <cols>
    <col min="2" max="2" width="10.85546875" customWidth="1"/>
    <col min="3" max="3" width="15.42578125" customWidth="1"/>
    <col min="4" max="4" width="19.140625" customWidth="1"/>
    <col min="5" max="5" width="10.85546875" customWidth="1"/>
    <col min="6" max="6" width="11.140625" bestFit="1" customWidth="1"/>
    <col min="7" max="7" width="23" customWidth="1"/>
    <col min="8" max="8" width="6.42578125" bestFit="1" customWidth="1"/>
    <col min="9" max="9" width="11.140625" bestFit="1" customWidth="1"/>
    <col min="10" max="10" width="12" customWidth="1"/>
    <col min="11" max="11" width="13.140625" customWidth="1"/>
    <col min="12" max="12" width="9.5703125" bestFit="1" customWidth="1"/>
    <col min="13" max="13" width="11" customWidth="1"/>
    <col min="14" max="14" width="13.140625" customWidth="1"/>
  </cols>
  <sheetData>
    <row r="1" spans="1:14" ht="18.75">
      <c r="A1" s="846" t="s">
        <v>146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351"/>
    </row>
    <row r="2" spans="1:14" s="71" customFormat="1" ht="14.1" customHeight="1">
      <c r="A2" s="827" t="s">
        <v>147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384"/>
    </row>
    <row r="3" spans="1:14" s="441" customFormat="1" ht="14.1" customHeight="1">
      <c r="A3" s="934" t="s">
        <v>148</v>
      </c>
      <c r="B3" s="934"/>
      <c r="C3" s="934"/>
      <c r="D3" s="934"/>
      <c r="E3" s="934"/>
      <c r="F3" s="934"/>
      <c r="G3" s="934"/>
      <c r="H3" s="934"/>
      <c r="I3" s="934"/>
      <c r="J3" s="934"/>
      <c r="K3" s="934"/>
      <c r="L3" s="934"/>
      <c r="M3" s="934"/>
      <c r="N3" s="501"/>
    </row>
    <row r="4" spans="1:14" s="71" customFormat="1" ht="14.1" customHeight="1">
      <c r="A4" s="70" t="s">
        <v>21</v>
      </c>
      <c r="B4" s="70"/>
      <c r="C4" s="70"/>
      <c r="D4" s="70"/>
      <c r="E4" s="70"/>
      <c r="K4" s="824" t="s">
        <v>970</v>
      </c>
      <c r="L4" s="824"/>
      <c r="M4" s="824"/>
    </row>
    <row r="5" spans="1:14" s="71" customFormat="1" ht="14.1" customHeight="1">
      <c r="A5" s="274" t="s">
        <v>0</v>
      </c>
      <c r="B5" s="274" t="s">
        <v>7</v>
      </c>
      <c r="C5" s="274" t="s">
        <v>13</v>
      </c>
      <c r="D5" s="274" t="s">
        <v>14</v>
      </c>
      <c r="E5" s="274" t="s">
        <v>8</v>
      </c>
      <c r="F5" s="274" t="s">
        <v>1</v>
      </c>
      <c r="G5" s="274" t="s">
        <v>2</v>
      </c>
      <c r="H5" s="274" t="s">
        <v>15</v>
      </c>
      <c r="I5" s="274" t="s">
        <v>3</v>
      </c>
      <c r="J5" s="274" t="s">
        <v>4</v>
      </c>
      <c r="K5" s="274" t="s">
        <v>5</v>
      </c>
      <c r="L5" s="274" t="s">
        <v>12</v>
      </c>
      <c r="M5" s="274" t="s">
        <v>6</v>
      </c>
    </row>
    <row r="6" spans="1:14" s="71" customFormat="1" ht="14.1" customHeight="1">
      <c r="A6" s="497">
        <v>1</v>
      </c>
      <c r="B6" s="497" t="s">
        <v>998</v>
      </c>
      <c r="C6" s="497" t="s">
        <v>792</v>
      </c>
      <c r="D6" s="525" t="s">
        <v>1016</v>
      </c>
      <c r="E6" s="497"/>
      <c r="F6" s="90">
        <f>10775*1.0936</f>
        <v>11783.539999999999</v>
      </c>
      <c r="G6" s="517" t="s">
        <v>1070</v>
      </c>
      <c r="H6" s="79"/>
      <c r="I6" s="80">
        <v>15</v>
      </c>
      <c r="J6" s="81">
        <v>227</v>
      </c>
      <c r="K6" s="81">
        <f t="shared" ref="K6:K7" si="0">I6*J6</f>
        <v>3405</v>
      </c>
      <c r="L6" s="79"/>
      <c r="M6" s="282">
        <f>I6+I10</f>
        <v>27.5</v>
      </c>
      <c r="N6" s="427" t="s">
        <v>173</v>
      </c>
    </row>
    <row r="7" spans="1:14" s="71" customFormat="1" ht="14.1" customHeight="1">
      <c r="A7" s="497"/>
      <c r="B7" s="497"/>
      <c r="C7" s="497"/>
      <c r="D7" s="497"/>
      <c r="E7" s="497"/>
      <c r="F7" s="87"/>
      <c r="G7" s="517" t="s">
        <v>1067</v>
      </c>
      <c r="H7" s="79"/>
      <c r="I7" s="80">
        <v>8</v>
      </c>
      <c r="J7" s="81">
        <v>416</v>
      </c>
      <c r="K7" s="81">
        <f t="shared" si="0"/>
        <v>3328</v>
      </c>
      <c r="L7" s="79"/>
      <c r="M7" s="282" t="e">
        <f>I7+I11+I16+I25+I31+#REF!</f>
        <v>#REF!</v>
      </c>
      <c r="N7" s="427" t="s">
        <v>174</v>
      </c>
    </row>
    <row r="8" spans="1:14" s="71" customFormat="1" ht="14.1" customHeight="1">
      <c r="A8" s="497"/>
      <c r="B8" s="497"/>
      <c r="C8" s="497"/>
      <c r="D8" s="497"/>
      <c r="E8" s="497"/>
      <c r="F8" s="87"/>
      <c r="G8" s="517" t="s">
        <v>1065</v>
      </c>
      <c r="H8" s="79"/>
      <c r="I8" s="80">
        <v>8</v>
      </c>
      <c r="J8" s="81">
        <v>165</v>
      </c>
      <c r="K8" s="81">
        <f>I8*J8</f>
        <v>1320</v>
      </c>
      <c r="L8" s="79"/>
      <c r="M8" s="282" t="e">
        <f>I8+I12+I17+I26+I32+#REF!</f>
        <v>#REF!</v>
      </c>
      <c r="N8" s="427" t="s">
        <v>172</v>
      </c>
    </row>
    <row r="9" spans="1:14" s="71" customFormat="1" ht="14.1" customHeight="1">
      <c r="A9" s="497"/>
      <c r="B9" s="497"/>
      <c r="C9" s="497"/>
      <c r="D9" s="497"/>
      <c r="E9" s="273" t="s">
        <v>9</v>
      </c>
      <c r="F9" s="108">
        <f>SUM(F6:F8)</f>
        <v>11783.539999999999</v>
      </c>
      <c r="G9" s="273"/>
      <c r="H9" s="273"/>
      <c r="I9" s="80"/>
      <c r="J9" s="81"/>
      <c r="K9" s="103">
        <f>SUM(K6:K8)</f>
        <v>8053</v>
      </c>
      <c r="L9" s="103">
        <f>K9/F9</f>
        <v>0.68341092744625132</v>
      </c>
      <c r="M9" s="282" t="e">
        <f>I14+I23+I29+#REF!+I38+I41+I44+#REF!+#REF!</f>
        <v>#REF!</v>
      </c>
      <c r="N9" s="427" t="s">
        <v>24</v>
      </c>
    </row>
    <row r="10" spans="1:14" s="71" customFormat="1" ht="14.1" customHeight="1">
      <c r="A10" s="497">
        <v>2</v>
      </c>
      <c r="B10" s="497" t="s">
        <v>998</v>
      </c>
      <c r="C10" s="497" t="s">
        <v>792</v>
      </c>
      <c r="D10" s="525" t="s">
        <v>1016</v>
      </c>
      <c r="E10" s="497"/>
      <c r="F10" s="90">
        <f>9228*1.0936</f>
        <v>10091.7408</v>
      </c>
      <c r="G10" s="517" t="s">
        <v>1070</v>
      </c>
      <c r="H10" s="79"/>
      <c r="I10" s="80">
        <v>12.5</v>
      </c>
      <c r="J10" s="81">
        <v>227</v>
      </c>
      <c r="K10" s="81">
        <f t="shared" ref="K10:K11" si="1">I10*J10</f>
        <v>2837.5</v>
      </c>
      <c r="L10" s="79"/>
      <c r="M10" s="282" t="e">
        <f>I15+I24+I30+#REF!</f>
        <v>#REF!</v>
      </c>
      <c r="N10" s="427" t="s">
        <v>175</v>
      </c>
    </row>
    <row r="11" spans="1:14" s="71" customFormat="1" ht="14.1" customHeight="1">
      <c r="A11" s="497"/>
      <c r="B11" s="497"/>
      <c r="C11" s="497"/>
      <c r="D11" s="497"/>
      <c r="E11" s="497"/>
      <c r="F11" s="90"/>
      <c r="G11" s="517" t="s">
        <v>1067</v>
      </c>
      <c r="H11" s="79"/>
      <c r="I11" s="80">
        <v>7.5</v>
      </c>
      <c r="J11" s="81">
        <v>416</v>
      </c>
      <c r="K11" s="81">
        <f t="shared" si="1"/>
        <v>3120</v>
      </c>
      <c r="L11" s="79"/>
      <c r="M11" s="444" t="e">
        <f>I18+I27+I33+#REF!</f>
        <v>#REF!</v>
      </c>
      <c r="N11" s="429" t="s">
        <v>176</v>
      </c>
    </row>
    <row r="12" spans="1:14" s="71" customFormat="1" ht="14.1" customHeight="1">
      <c r="A12" s="497"/>
      <c r="B12" s="497"/>
      <c r="C12" s="497"/>
      <c r="D12" s="497"/>
      <c r="E12" s="497"/>
      <c r="F12" s="90"/>
      <c r="G12" s="517" t="s">
        <v>1065</v>
      </c>
      <c r="H12" s="79"/>
      <c r="I12" s="80">
        <v>7.5</v>
      </c>
      <c r="J12" s="81">
        <v>165</v>
      </c>
      <c r="K12" s="81">
        <f>I12*J12</f>
        <v>1237.5</v>
      </c>
      <c r="L12" s="79"/>
      <c r="M12" s="444" t="e">
        <f>I39+I42+I45+#REF!+#REF!</f>
        <v>#REF!</v>
      </c>
      <c r="N12" s="430" t="s">
        <v>10</v>
      </c>
    </row>
    <row r="13" spans="1:14" s="71" customFormat="1" ht="14.1" customHeight="1">
      <c r="A13" s="497"/>
      <c r="B13" s="497"/>
      <c r="C13" s="497"/>
      <c r="D13" s="497"/>
      <c r="E13" s="273" t="s">
        <v>9</v>
      </c>
      <c r="F13" s="108">
        <f>SUM(F10:F12)</f>
        <v>10091.7408</v>
      </c>
      <c r="G13" s="273"/>
      <c r="H13" s="273"/>
      <c r="I13" s="80"/>
      <c r="J13" s="81"/>
      <c r="K13" s="103">
        <f>SUM(K10:K12)</f>
        <v>7195</v>
      </c>
      <c r="L13" s="103">
        <f>K13/F13</f>
        <v>0.71295925476009059</v>
      </c>
      <c r="M13" s="444"/>
      <c r="N13" s="445"/>
    </row>
    <row r="14" spans="1:14" s="71" customFormat="1" ht="14.1" customHeight="1">
      <c r="A14" s="497">
        <v>3</v>
      </c>
      <c r="B14" s="497" t="s">
        <v>269</v>
      </c>
      <c r="C14" s="497"/>
      <c r="D14" s="497"/>
      <c r="E14" s="497"/>
      <c r="F14" s="90">
        <f>500*1.0936</f>
        <v>546.79999999999995</v>
      </c>
      <c r="G14" s="517" t="s">
        <v>24</v>
      </c>
      <c r="H14" s="79"/>
      <c r="I14" s="80">
        <v>25</v>
      </c>
      <c r="J14" s="81">
        <v>74</v>
      </c>
      <c r="K14" s="81">
        <f t="shared" ref="K14:K16" si="2">I14*J14</f>
        <v>1850</v>
      </c>
      <c r="L14" s="79"/>
      <c r="M14" s="444"/>
      <c r="N14" s="445"/>
    </row>
    <row r="15" spans="1:14" s="71" customFormat="1" ht="14.1" customHeight="1">
      <c r="A15" s="497"/>
      <c r="B15" s="497"/>
      <c r="C15" s="497"/>
      <c r="D15" s="497"/>
      <c r="E15" s="497"/>
      <c r="F15" s="90"/>
      <c r="G15" s="88" t="s">
        <v>18</v>
      </c>
      <c r="H15" s="79"/>
      <c r="I15" s="80">
        <v>11</v>
      </c>
      <c r="J15" s="81">
        <v>46</v>
      </c>
      <c r="K15" s="81">
        <f t="shared" si="2"/>
        <v>506</v>
      </c>
      <c r="L15" s="79"/>
      <c r="M15" s="444"/>
      <c r="N15" s="445"/>
    </row>
    <row r="16" spans="1:14" s="71" customFormat="1" ht="14.1" customHeight="1">
      <c r="A16" s="497"/>
      <c r="B16" s="497"/>
      <c r="C16" s="497"/>
      <c r="D16" s="497"/>
      <c r="E16" s="497"/>
      <c r="F16" s="90"/>
      <c r="G16" s="517" t="s">
        <v>1067</v>
      </c>
      <c r="H16" s="79"/>
      <c r="I16" s="80">
        <v>3</v>
      </c>
      <c r="J16" s="81">
        <v>416</v>
      </c>
      <c r="K16" s="81">
        <f t="shared" si="2"/>
        <v>1248</v>
      </c>
      <c r="L16" s="79"/>
      <c r="M16" s="444"/>
      <c r="N16" s="445"/>
    </row>
    <row r="17" spans="1:14" s="71" customFormat="1" ht="14.1" customHeight="1">
      <c r="A17" s="497"/>
      <c r="B17" s="497"/>
      <c r="C17" s="497"/>
      <c r="D17" s="497"/>
      <c r="E17" s="497"/>
      <c r="F17" s="90"/>
      <c r="G17" s="517" t="s">
        <v>1065</v>
      </c>
      <c r="H17" s="79"/>
      <c r="I17" s="80">
        <v>2</v>
      </c>
      <c r="J17" s="81">
        <v>165</v>
      </c>
      <c r="K17" s="81">
        <f>I17*J17</f>
        <v>330</v>
      </c>
      <c r="L17" s="79"/>
      <c r="M17" s="444"/>
      <c r="N17" s="445"/>
    </row>
    <row r="18" spans="1:14" s="71" customFormat="1" ht="14.1" customHeight="1">
      <c r="A18" s="497"/>
      <c r="B18" s="497"/>
      <c r="C18" s="497"/>
      <c r="D18" s="497"/>
      <c r="E18" s="497"/>
      <c r="F18" s="90"/>
      <c r="G18" s="518" t="s">
        <v>1066</v>
      </c>
      <c r="H18" s="79"/>
      <c r="I18" s="80">
        <v>2.5</v>
      </c>
      <c r="J18" s="81">
        <v>165</v>
      </c>
      <c r="K18" s="81">
        <f t="shared" ref="K18" si="3">I18*J18</f>
        <v>412.5</v>
      </c>
      <c r="L18" s="79"/>
      <c r="M18" s="444"/>
      <c r="N18" s="445"/>
    </row>
    <row r="19" spans="1:14" s="71" customFormat="1" ht="14.1" customHeight="1">
      <c r="A19" s="497"/>
      <c r="B19" s="497"/>
      <c r="C19" s="497"/>
      <c r="D19" s="497"/>
      <c r="E19" s="273" t="s">
        <v>9</v>
      </c>
      <c r="F19" s="108">
        <f>SUM(F14:F18)</f>
        <v>546.79999999999995</v>
      </c>
      <c r="G19" s="273"/>
      <c r="H19" s="273"/>
      <c r="I19" s="80"/>
      <c r="J19" s="81"/>
      <c r="K19" s="103">
        <f>SUM(K14:K18)</f>
        <v>4346.5</v>
      </c>
      <c r="L19" s="103">
        <f>K19/F19</f>
        <v>7.9489758595464526</v>
      </c>
      <c r="M19" s="102"/>
    </row>
    <row r="20" spans="1:14" s="71" customFormat="1" ht="14.1" customHeight="1">
      <c r="D20" s="126" t="s">
        <v>30</v>
      </c>
      <c r="E20" s="126"/>
      <c r="F20" s="127">
        <f>F9+F13+F19</f>
        <v>22422.0808</v>
      </c>
      <c r="G20" s="128"/>
      <c r="H20" s="128"/>
      <c r="I20" s="128"/>
      <c r="J20" s="128"/>
      <c r="K20" s="127">
        <f>K9+K13+K19</f>
        <v>19594.5</v>
      </c>
      <c r="L20" s="129">
        <f>K20/F20</f>
        <v>0.8738930242370726</v>
      </c>
    </row>
    <row r="21" spans="1:14" s="71" customFormat="1" ht="14.1" customHeight="1">
      <c r="A21" s="70" t="s">
        <v>23</v>
      </c>
      <c r="B21" s="70"/>
      <c r="C21" s="70"/>
      <c r="D21" s="70"/>
      <c r="E21" s="70"/>
      <c r="K21" s="824" t="s">
        <v>970</v>
      </c>
      <c r="L21" s="824"/>
      <c r="M21" s="824"/>
    </row>
    <row r="22" spans="1:14" s="71" customFormat="1" ht="14.1" customHeight="1">
      <c r="A22" s="274" t="s">
        <v>0</v>
      </c>
      <c r="B22" s="274" t="s">
        <v>7</v>
      </c>
      <c r="C22" s="274" t="s">
        <v>13</v>
      </c>
      <c r="D22" s="274" t="s">
        <v>14</v>
      </c>
      <c r="E22" s="274" t="s">
        <v>8</v>
      </c>
      <c r="F22" s="274" t="s">
        <v>1</v>
      </c>
      <c r="G22" s="274" t="s">
        <v>2</v>
      </c>
      <c r="H22" s="274" t="s">
        <v>15</v>
      </c>
      <c r="I22" s="274" t="s">
        <v>3</v>
      </c>
      <c r="J22" s="274" t="s">
        <v>4</v>
      </c>
      <c r="K22" s="274" t="s">
        <v>5</v>
      </c>
      <c r="L22" s="274" t="s">
        <v>12</v>
      </c>
      <c r="M22" s="274" t="s">
        <v>6</v>
      </c>
    </row>
    <row r="23" spans="1:14" s="71" customFormat="1" ht="14.1" customHeight="1">
      <c r="A23" s="497">
        <v>1</v>
      </c>
      <c r="B23" s="497" t="s">
        <v>998</v>
      </c>
      <c r="C23" s="497" t="s">
        <v>792</v>
      </c>
      <c r="D23" s="497" t="s">
        <v>999</v>
      </c>
      <c r="E23" s="497"/>
      <c r="F23" s="90">
        <f>11130*1.0936</f>
        <v>12171.767999999998</v>
      </c>
      <c r="G23" s="517" t="s">
        <v>24</v>
      </c>
      <c r="H23" s="79"/>
      <c r="I23" s="80">
        <v>82</v>
      </c>
      <c r="J23" s="81">
        <v>74</v>
      </c>
      <c r="K23" s="81">
        <f t="shared" ref="K23:K25" si="4">I23*J23</f>
        <v>6068</v>
      </c>
      <c r="L23" s="79"/>
      <c r="M23" s="162"/>
    </row>
    <row r="24" spans="1:14" s="71" customFormat="1" ht="14.1" customHeight="1">
      <c r="A24" s="497"/>
      <c r="B24" s="497"/>
      <c r="C24" s="497"/>
      <c r="D24" s="497"/>
      <c r="E24" s="497"/>
      <c r="F24" s="87"/>
      <c r="G24" s="88" t="s">
        <v>18</v>
      </c>
      <c r="H24" s="79"/>
      <c r="I24" s="80">
        <v>50</v>
      </c>
      <c r="J24" s="81">
        <v>46</v>
      </c>
      <c r="K24" s="81">
        <f t="shared" si="4"/>
        <v>2300</v>
      </c>
      <c r="L24" s="79"/>
      <c r="M24" s="79"/>
    </row>
    <row r="25" spans="1:14" s="71" customFormat="1" ht="14.1" customHeight="1">
      <c r="A25" s="497"/>
      <c r="B25" s="497"/>
      <c r="C25" s="497"/>
      <c r="D25" s="497"/>
      <c r="E25" s="497"/>
      <c r="F25" s="87"/>
      <c r="G25" s="517" t="s">
        <v>1067</v>
      </c>
      <c r="H25" s="79"/>
      <c r="I25" s="80">
        <f>24+15</f>
        <v>39</v>
      </c>
      <c r="J25" s="81">
        <v>416</v>
      </c>
      <c r="K25" s="81">
        <f t="shared" si="4"/>
        <v>16224</v>
      </c>
      <c r="L25" s="79"/>
      <c r="M25" s="79"/>
    </row>
    <row r="26" spans="1:14" s="471" customFormat="1" ht="14.1" customHeight="1">
      <c r="A26" s="497"/>
      <c r="B26" s="497"/>
      <c r="C26" s="497"/>
      <c r="D26" s="497"/>
      <c r="E26" s="497"/>
      <c r="F26" s="87"/>
      <c r="G26" s="517" t="s">
        <v>1065</v>
      </c>
      <c r="H26" s="79"/>
      <c r="I26" s="80">
        <f>5+8</f>
        <v>13</v>
      </c>
      <c r="J26" s="81">
        <v>165</v>
      </c>
      <c r="K26" s="81">
        <f>I26*J26</f>
        <v>2145</v>
      </c>
      <c r="L26" s="79"/>
      <c r="M26" s="79"/>
      <c r="N26" s="71"/>
    </row>
    <row r="27" spans="1:14" s="471" customFormat="1" ht="14.1" customHeight="1">
      <c r="A27" s="497"/>
      <c r="B27" s="497"/>
      <c r="C27" s="497"/>
      <c r="D27" s="497"/>
      <c r="E27" s="497"/>
      <c r="F27" s="87"/>
      <c r="G27" s="518" t="s">
        <v>1066</v>
      </c>
      <c r="H27" s="79"/>
      <c r="I27" s="80">
        <v>9</v>
      </c>
      <c r="J27" s="81">
        <v>165</v>
      </c>
      <c r="K27" s="81">
        <f t="shared" ref="K27" si="5">I27*J27</f>
        <v>1485</v>
      </c>
      <c r="L27" s="79"/>
      <c r="M27" s="79"/>
      <c r="N27" s="71"/>
    </row>
    <row r="28" spans="1:14" s="471" customFormat="1" ht="14.1" customHeight="1">
      <c r="A28" s="497"/>
      <c r="B28" s="497"/>
      <c r="C28" s="497"/>
      <c r="D28" s="497"/>
      <c r="E28" s="273" t="s">
        <v>9</v>
      </c>
      <c r="F28" s="108">
        <f>SUM(F23:F27)</f>
        <v>12171.767999999998</v>
      </c>
      <c r="G28" s="273"/>
      <c r="H28" s="273"/>
      <c r="I28" s="80"/>
      <c r="J28" s="81"/>
      <c r="K28" s="103">
        <f>SUM(K23:K27)</f>
        <v>28222</v>
      </c>
      <c r="L28" s="103">
        <f>K28/F28</f>
        <v>2.3186442594042216</v>
      </c>
      <c r="M28" s="79"/>
      <c r="N28" s="71"/>
    </row>
    <row r="29" spans="1:14" s="471" customFormat="1" ht="14.1" customHeight="1">
      <c r="A29" s="497">
        <v>2</v>
      </c>
      <c r="B29" s="497" t="s">
        <v>954</v>
      </c>
      <c r="C29" s="497" t="s">
        <v>955</v>
      </c>
      <c r="D29" s="497" t="s">
        <v>956</v>
      </c>
      <c r="E29" s="497"/>
      <c r="F29" s="87">
        <f>2930*1.0936</f>
        <v>3204.2479999999996</v>
      </c>
      <c r="G29" s="517" t="s">
        <v>24</v>
      </c>
      <c r="H29" s="79"/>
      <c r="I29" s="80">
        <f>34+12</f>
        <v>46</v>
      </c>
      <c r="J29" s="81">
        <v>74</v>
      </c>
      <c r="K29" s="81">
        <f t="shared" ref="K29:K31" si="6">I29*J29</f>
        <v>3404</v>
      </c>
      <c r="L29" s="79"/>
      <c r="M29" s="79"/>
      <c r="N29" s="71"/>
    </row>
    <row r="30" spans="1:14" s="471" customFormat="1" ht="14.1" customHeight="1">
      <c r="A30" s="497"/>
      <c r="B30" s="497" t="s">
        <v>954</v>
      </c>
      <c r="C30" s="497" t="s">
        <v>955</v>
      </c>
      <c r="D30" s="497" t="s">
        <v>956</v>
      </c>
      <c r="E30" s="497"/>
      <c r="F30" s="87">
        <f>2930*1.0936</f>
        <v>3204.2479999999996</v>
      </c>
      <c r="G30" s="88" t="s">
        <v>18</v>
      </c>
      <c r="H30" s="79"/>
      <c r="I30" s="80">
        <f>17+26</f>
        <v>43</v>
      </c>
      <c r="J30" s="81">
        <v>46</v>
      </c>
      <c r="K30" s="81">
        <f t="shared" si="6"/>
        <v>1978</v>
      </c>
      <c r="L30" s="79"/>
      <c r="M30" s="79"/>
      <c r="N30" s="71"/>
    </row>
    <row r="31" spans="1:14" s="471" customFormat="1" ht="14.1" customHeight="1">
      <c r="A31" s="497"/>
      <c r="B31" s="497"/>
      <c r="C31" s="497"/>
      <c r="D31" s="497"/>
      <c r="E31" s="497"/>
      <c r="F31" s="87"/>
      <c r="G31" s="517" t="s">
        <v>1067</v>
      </c>
      <c r="H31" s="79"/>
      <c r="I31" s="80">
        <f>10+18</f>
        <v>28</v>
      </c>
      <c r="J31" s="81">
        <v>416</v>
      </c>
      <c r="K31" s="81">
        <f t="shared" si="6"/>
        <v>11648</v>
      </c>
      <c r="L31" s="79"/>
      <c r="M31" s="79"/>
      <c r="N31" s="71"/>
    </row>
    <row r="32" spans="1:14" s="471" customFormat="1" ht="14.1" customHeight="1">
      <c r="A32" s="497"/>
      <c r="B32" s="497"/>
      <c r="C32" s="497"/>
      <c r="D32" s="497"/>
      <c r="E32" s="497"/>
      <c r="F32" s="87"/>
      <c r="G32" s="517" t="s">
        <v>1065</v>
      </c>
      <c r="H32" s="79"/>
      <c r="I32" s="80">
        <f>5+10</f>
        <v>15</v>
      </c>
      <c r="J32" s="81">
        <v>165</v>
      </c>
      <c r="K32" s="81">
        <f>I32*J32</f>
        <v>2475</v>
      </c>
      <c r="L32" s="79"/>
      <c r="M32" s="79"/>
      <c r="N32" s="71"/>
    </row>
    <row r="33" spans="1:14" s="471" customFormat="1" ht="14.1" customHeight="1">
      <c r="A33" s="497"/>
      <c r="B33" s="497"/>
      <c r="C33" s="497"/>
      <c r="D33" s="497"/>
      <c r="E33" s="497"/>
      <c r="F33" s="87"/>
      <c r="G33" s="518" t="s">
        <v>1066</v>
      </c>
      <c r="H33" s="79"/>
      <c r="I33" s="80">
        <f>6+5</f>
        <v>11</v>
      </c>
      <c r="J33" s="81">
        <v>165</v>
      </c>
      <c r="K33" s="81">
        <f t="shared" ref="K33" si="7">I33*J33</f>
        <v>1815</v>
      </c>
      <c r="L33" s="79"/>
      <c r="M33" s="79"/>
      <c r="N33" s="71"/>
    </row>
    <row r="34" spans="1:14" s="471" customFormat="1" ht="14.1" customHeight="1">
      <c r="A34" s="497"/>
      <c r="B34" s="497"/>
      <c r="C34" s="497"/>
      <c r="D34" s="497"/>
      <c r="E34" s="273" t="s">
        <v>9</v>
      </c>
      <c r="F34" s="108">
        <f>SUM(F29:F33)</f>
        <v>6408.4959999999992</v>
      </c>
      <c r="G34" s="273"/>
      <c r="H34" s="273"/>
      <c r="I34" s="80"/>
      <c r="J34" s="81"/>
      <c r="K34" s="103">
        <f>SUM(K29:K33)</f>
        <v>21320</v>
      </c>
      <c r="L34" s="103">
        <f>K34/F34</f>
        <v>3.3268336283583548</v>
      </c>
      <c r="M34" s="79"/>
      <c r="N34" s="71"/>
    </row>
    <row r="35" spans="1:14" s="471" customFormat="1" ht="14.1" customHeight="1">
      <c r="A35" s="131"/>
      <c r="B35" s="131"/>
      <c r="C35" s="131"/>
      <c r="D35" s="274" t="s">
        <v>30</v>
      </c>
      <c r="E35" s="274"/>
      <c r="F35" s="127">
        <f>F28+F34</f>
        <v>18580.263999999996</v>
      </c>
      <c r="G35" s="132"/>
      <c r="H35" s="132"/>
      <c r="I35" s="132"/>
      <c r="J35" s="132"/>
      <c r="K35" s="127">
        <f>K28+K34</f>
        <v>49542</v>
      </c>
      <c r="L35" s="129">
        <f>K35/F35</f>
        <v>2.6663776144407856</v>
      </c>
      <c r="M35" s="102"/>
      <c r="N35" s="71"/>
    </row>
    <row r="36" spans="1:14" s="71" customFormat="1" ht="14.1" customHeight="1">
      <c r="A36" s="70" t="s">
        <v>22</v>
      </c>
      <c r="B36" s="70"/>
      <c r="C36" s="70"/>
      <c r="D36" s="70"/>
      <c r="E36" s="70"/>
      <c r="K36" s="824" t="s">
        <v>970</v>
      </c>
      <c r="L36" s="824"/>
      <c r="M36" s="824"/>
    </row>
    <row r="37" spans="1:14" s="71" customFormat="1" ht="14.1" customHeight="1">
      <c r="A37" s="274" t="s">
        <v>0</v>
      </c>
      <c r="B37" s="274" t="s">
        <v>7</v>
      </c>
      <c r="C37" s="274" t="s">
        <v>13</v>
      </c>
      <c r="D37" s="274" t="s">
        <v>14</v>
      </c>
      <c r="E37" s="274" t="s">
        <v>8</v>
      </c>
      <c r="F37" s="274" t="s">
        <v>1</v>
      </c>
      <c r="G37" s="274" t="s">
        <v>2</v>
      </c>
      <c r="H37" s="274" t="s">
        <v>15</v>
      </c>
      <c r="I37" s="274" t="s">
        <v>3</v>
      </c>
      <c r="J37" s="274" t="s">
        <v>4</v>
      </c>
      <c r="K37" s="274" t="s">
        <v>5</v>
      </c>
      <c r="L37" s="274" t="s">
        <v>12</v>
      </c>
      <c r="M37" s="274" t="s">
        <v>6</v>
      </c>
    </row>
    <row r="38" spans="1:14" s="71" customFormat="1" ht="14.1" customHeight="1">
      <c r="A38" s="497">
        <v>1</v>
      </c>
      <c r="B38" s="497" t="s">
        <v>277</v>
      </c>
      <c r="C38" s="497" t="s">
        <v>121</v>
      </c>
      <c r="D38" s="497" t="s">
        <v>864</v>
      </c>
      <c r="E38" s="497"/>
      <c r="F38" s="99">
        <f>3680*1.0936</f>
        <v>4024.4479999999999</v>
      </c>
      <c r="G38" s="497" t="s">
        <v>24</v>
      </c>
      <c r="H38" s="79"/>
      <c r="I38" s="80">
        <f>36+24</f>
        <v>60</v>
      </c>
      <c r="J38" s="81">
        <v>74</v>
      </c>
      <c r="K38" s="81">
        <f t="shared" ref="K38:K39" si="8">I38*J38</f>
        <v>4440</v>
      </c>
      <c r="L38" s="79"/>
      <c r="M38" s="162"/>
    </row>
    <row r="39" spans="1:14" s="71" customFormat="1" ht="14.1" customHeight="1">
      <c r="A39" s="497"/>
      <c r="B39" s="497"/>
      <c r="C39" s="497"/>
      <c r="D39" s="497"/>
      <c r="E39" s="497"/>
      <c r="F39" s="87"/>
      <c r="G39" s="430" t="s">
        <v>10</v>
      </c>
      <c r="H39" s="79"/>
      <c r="I39" s="80">
        <v>8</v>
      </c>
      <c r="J39" s="81">
        <v>120</v>
      </c>
      <c r="K39" s="81">
        <f t="shared" si="8"/>
        <v>960</v>
      </c>
      <c r="L39" s="79"/>
      <c r="M39" s="79"/>
    </row>
    <row r="40" spans="1:14" s="71" customFormat="1" ht="14.1" customHeight="1">
      <c r="A40" s="497"/>
      <c r="B40" s="497"/>
      <c r="C40" s="497"/>
      <c r="D40" s="497"/>
      <c r="E40" s="273" t="s">
        <v>9</v>
      </c>
      <c r="F40" s="108">
        <f>SUM(F38:F39)</f>
        <v>4024.4479999999999</v>
      </c>
      <c r="G40" s="273"/>
      <c r="H40" s="273"/>
      <c r="I40" s="80"/>
      <c r="J40" s="81"/>
      <c r="K40" s="103">
        <f>SUM(K38:K39)</f>
        <v>5400</v>
      </c>
      <c r="L40" s="103">
        <f>K40/F40</f>
        <v>1.34179892497058</v>
      </c>
      <c r="M40" s="79"/>
    </row>
    <row r="41" spans="1:14" s="71" customFormat="1" ht="14.1" customHeight="1">
      <c r="A41" s="497">
        <v>2</v>
      </c>
      <c r="B41" s="497" t="s">
        <v>865</v>
      </c>
      <c r="C41" s="497" t="s">
        <v>700</v>
      </c>
      <c r="D41" s="497" t="s">
        <v>297</v>
      </c>
      <c r="E41" s="497"/>
      <c r="F41" s="99">
        <f>4770*1.0936</f>
        <v>5216.4719999999998</v>
      </c>
      <c r="G41" s="497" t="s">
        <v>24</v>
      </c>
      <c r="H41" s="79"/>
      <c r="I41" s="80">
        <v>80</v>
      </c>
      <c r="J41" s="81">
        <v>74</v>
      </c>
      <c r="K41" s="81">
        <f t="shared" ref="K41:K42" si="9">I41*J41</f>
        <v>5920</v>
      </c>
      <c r="L41" s="79"/>
      <c r="M41" s="79"/>
    </row>
    <row r="42" spans="1:14" s="71" customFormat="1" ht="14.1" customHeight="1">
      <c r="A42" s="497"/>
      <c r="B42" s="497" t="s">
        <v>269</v>
      </c>
      <c r="C42" s="497"/>
      <c r="D42" s="497"/>
      <c r="E42" s="497"/>
      <c r="F42" s="502">
        <f>481*1.0936</f>
        <v>526.02159999999992</v>
      </c>
      <c r="G42" s="430" t="s">
        <v>10</v>
      </c>
      <c r="H42" s="79"/>
      <c r="I42" s="80">
        <v>10</v>
      </c>
      <c r="J42" s="81">
        <v>120</v>
      </c>
      <c r="K42" s="81">
        <f t="shared" si="9"/>
        <v>1200</v>
      </c>
      <c r="L42" s="79"/>
      <c r="M42" s="79"/>
    </row>
    <row r="43" spans="1:14" s="71" customFormat="1" ht="14.1" customHeight="1">
      <c r="A43" s="497"/>
      <c r="B43" s="497"/>
      <c r="C43" s="497"/>
      <c r="D43" s="497"/>
      <c r="E43" s="273" t="s">
        <v>9</v>
      </c>
      <c r="F43" s="108">
        <f>SUM(F41:F42)</f>
        <v>5742.4935999999998</v>
      </c>
      <c r="G43" s="273"/>
      <c r="H43" s="273"/>
      <c r="I43" s="80"/>
      <c r="J43" s="81"/>
      <c r="K43" s="103">
        <f>SUM(K41:K42)</f>
        <v>7120</v>
      </c>
      <c r="L43" s="103">
        <f>K43/F43</f>
        <v>1.2398794837141831</v>
      </c>
      <c r="M43" s="79"/>
    </row>
    <row r="44" spans="1:14" s="71" customFormat="1" ht="14.1" customHeight="1">
      <c r="A44" s="497">
        <v>3</v>
      </c>
      <c r="B44" s="497" t="s">
        <v>998</v>
      </c>
      <c r="C44" s="497" t="s">
        <v>792</v>
      </c>
      <c r="D44" s="497" t="s">
        <v>999</v>
      </c>
      <c r="E44" s="497"/>
      <c r="F44" s="222">
        <f>6360*1.0936</f>
        <v>6955.2959999999994</v>
      </c>
      <c r="G44" s="497" t="s">
        <v>24</v>
      </c>
      <c r="H44" s="79"/>
      <c r="I44" s="80">
        <v>90</v>
      </c>
      <c r="J44" s="81">
        <v>74</v>
      </c>
      <c r="K44" s="81">
        <f t="shared" ref="K44:K45" si="10">I44*J44</f>
        <v>6660</v>
      </c>
      <c r="L44" s="79"/>
      <c r="M44" s="79"/>
    </row>
    <row r="45" spans="1:14" s="71" customFormat="1" ht="14.1" customHeight="1">
      <c r="A45" s="497"/>
      <c r="B45" s="497"/>
      <c r="C45" s="497"/>
      <c r="D45" s="497"/>
      <c r="E45" s="497"/>
      <c r="F45" s="87"/>
      <c r="G45" s="430" t="s">
        <v>10</v>
      </c>
      <c r="H45" s="79"/>
      <c r="I45" s="80">
        <v>15</v>
      </c>
      <c r="J45" s="81">
        <v>120</v>
      </c>
      <c r="K45" s="81">
        <f t="shared" si="10"/>
        <v>1800</v>
      </c>
      <c r="L45" s="79"/>
      <c r="M45" s="79"/>
    </row>
    <row r="46" spans="1:14" s="71" customFormat="1" ht="14.1" customHeight="1">
      <c r="A46" s="497"/>
      <c r="B46" s="497"/>
      <c r="C46" s="497"/>
      <c r="D46" s="497"/>
      <c r="E46" s="273" t="s">
        <v>9</v>
      </c>
      <c r="F46" s="108">
        <f>SUM(F44:F45)</f>
        <v>6955.2959999999994</v>
      </c>
      <c r="G46" s="273"/>
      <c r="H46" s="273"/>
      <c r="I46" s="80"/>
      <c r="J46" s="81"/>
      <c r="K46" s="103">
        <f>SUM(K44:K45)</f>
        <v>8460</v>
      </c>
      <c r="L46" s="103">
        <f>K46/F46</f>
        <v>1.2163393189880058</v>
      </c>
      <c r="M46" s="79"/>
    </row>
    <row r="47" spans="1:14" s="71" customFormat="1" ht="14.1" customHeight="1">
      <c r="D47" s="126" t="s">
        <v>30</v>
      </c>
      <c r="E47" s="126"/>
      <c r="F47" s="127">
        <f>F40+F43+F46</f>
        <v>16722.2376</v>
      </c>
      <c r="G47" s="128"/>
      <c r="H47" s="128"/>
      <c r="I47" s="128"/>
      <c r="J47" s="128"/>
      <c r="K47" s="127">
        <f>K40+K43+K46</f>
        <v>20980</v>
      </c>
      <c r="L47" s="129">
        <f>K47/F47</f>
        <v>1.2546167864520714</v>
      </c>
    </row>
    <row r="48" spans="1:14" s="71" customFormat="1" ht="14.1" customHeight="1">
      <c r="A48" s="70" t="s">
        <v>16</v>
      </c>
      <c r="B48" s="70"/>
      <c r="C48" s="70"/>
      <c r="D48" s="70"/>
      <c r="E48" s="70"/>
      <c r="K48" s="824" t="s">
        <v>970</v>
      </c>
      <c r="L48" s="824"/>
      <c r="M48" s="824"/>
    </row>
    <row r="49" spans="1:14" s="71" customFormat="1" ht="14.1" customHeight="1">
      <c r="A49" s="274" t="s">
        <v>0</v>
      </c>
      <c r="B49" s="274" t="s">
        <v>7</v>
      </c>
      <c r="C49" s="274" t="s">
        <v>13</v>
      </c>
      <c r="D49" s="274" t="s">
        <v>14</v>
      </c>
      <c r="E49" s="274" t="s">
        <v>8</v>
      </c>
      <c r="F49" s="274" t="s">
        <v>1</v>
      </c>
      <c r="G49" s="274" t="s">
        <v>2</v>
      </c>
      <c r="H49" s="274" t="s">
        <v>15</v>
      </c>
      <c r="I49" s="274" t="s">
        <v>3</v>
      </c>
      <c r="J49" s="274" t="s">
        <v>4</v>
      </c>
      <c r="K49" s="274" t="s">
        <v>5</v>
      </c>
      <c r="L49" s="274" t="s">
        <v>12</v>
      </c>
      <c r="M49" s="274" t="s">
        <v>6</v>
      </c>
    </row>
    <row r="50" spans="1:14" s="71" customFormat="1" ht="14.1" customHeight="1">
      <c r="A50" s="497">
        <v>8124</v>
      </c>
      <c r="B50" s="497" t="s">
        <v>269</v>
      </c>
      <c r="C50" s="497"/>
      <c r="D50" s="497"/>
      <c r="E50" s="497"/>
      <c r="F50" s="90">
        <f>50/1.0936</f>
        <v>45.7205559619605</v>
      </c>
      <c r="G50" s="95" t="s">
        <v>832</v>
      </c>
      <c r="H50" s="79"/>
      <c r="I50" s="81">
        <v>0.5</v>
      </c>
      <c r="J50" s="81">
        <v>790</v>
      </c>
      <c r="K50" s="81">
        <f t="shared" ref="K50" si="11">I50*J50</f>
        <v>395</v>
      </c>
      <c r="L50" s="79"/>
      <c r="M50" s="124"/>
    </row>
    <row r="51" spans="1:14" s="71" customFormat="1" ht="14.1" customHeight="1">
      <c r="A51" s="497"/>
      <c r="B51" s="497"/>
      <c r="C51" s="497"/>
      <c r="D51" s="497"/>
      <c r="E51" s="497"/>
      <c r="F51" s="497"/>
      <c r="G51" s="497"/>
      <c r="H51" s="79"/>
      <c r="I51" s="80"/>
      <c r="J51" s="81"/>
      <c r="K51" s="81"/>
      <c r="L51" s="79"/>
      <c r="M51" s="102"/>
    </row>
    <row r="52" spans="1:14" s="71" customFormat="1" ht="14.1" customHeight="1">
      <c r="A52" s="428"/>
      <c r="B52" s="428"/>
      <c r="C52" s="428"/>
      <c r="D52" s="428"/>
      <c r="E52" s="274" t="s">
        <v>9</v>
      </c>
      <c r="F52" s="110">
        <f>SUM(F48:F51)</f>
        <v>45.7205559619605</v>
      </c>
      <c r="G52" s="274"/>
      <c r="H52" s="274"/>
      <c r="I52" s="125"/>
      <c r="J52" s="97"/>
      <c r="K52" s="111">
        <f>SUM(K50:K51)</f>
        <v>395</v>
      </c>
      <c r="L52" s="111">
        <f>K52/F52</f>
        <v>8.6394399999999987</v>
      </c>
      <c r="M52" s="102"/>
    </row>
    <row r="53" spans="1:14" s="71" customFormat="1" ht="14.1" customHeight="1">
      <c r="A53" s="425"/>
      <c r="B53" s="425"/>
      <c r="C53" s="425"/>
      <c r="D53" s="126" t="s">
        <v>30</v>
      </c>
      <c r="E53" s="126"/>
      <c r="F53" s="127">
        <f>F52</f>
        <v>45.7205559619605</v>
      </c>
      <c r="G53" s="128"/>
      <c r="H53" s="128"/>
      <c r="I53" s="128"/>
      <c r="J53" s="128"/>
      <c r="K53" s="127">
        <f>K52</f>
        <v>395</v>
      </c>
      <c r="L53" s="129">
        <f>K53/F53</f>
        <v>8.6394399999999987</v>
      </c>
      <c r="M53" s="131"/>
    </row>
    <row r="54" spans="1:14" s="107" customFormat="1" ht="14.1" customHeight="1">
      <c r="A54" s="106" t="s">
        <v>72</v>
      </c>
      <c r="B54" s="106"/>
      <c r="C54" s="106"/>
      <c r="D54" s="106"/>
      <c r="E54" s="106"/>
      <c r="I54" s="149"/>
      <c r="K54" s="867" t="s">
        <v>970</v>
      </c>
      <c r="L54" s="867"/>
      <c r="M54" s="867"/>
    </row>
    <row r="55" spans="1:14" s="107" customFormat="1" ht="14.1" customHeight="1">
      <c r="A55" s="273" t="s">
        <v>0</v>
      </c>
      <c r="B55" s="273" t="s">
        <v>7</v>
      </c>
      <c r="C55" s="273" t="s">
        <v>13</v>
      </c>
      <c r="D55" s="273" t="s">
        <v>14</v>
      </c>
      <c r="E55" s="273" t="s">
        <v>8</v>
      </c>
      <c r="F55" s="273" t="s">
        <v>1</v>
      </c>
      <c r="G55" s="273" t="s">
        <v>2</v>
      </c>
      <c r="H55" s="273" t="s">
        <v>15</v>
      </c>
      <c r="I55" s="150" t="s">
        <v>3</v>
      </c>
      <c r="J55" s="273" t="s">
        <v>4</v>
      </c>
      <c r="K55" s="273" t="s">
        <v>5</v>
      </c>
      <c r="L55" s="273" t="s">
        <v>12</v>
      </c>
      <c r="M55" s="273" t="s">
        <v>6</v>
      </c>
      <c r="N55" s="246"/>
    </row>
    <row r="56" spans="1:14" s="107" customFormat="1" ht="14.1" customHeight="1">
      <c r="A56" s="497">
        <v>9772</v>
      </c>
      <c r="B56" s="497" t="s">
        <v>891</v>
      </c>
      <c r="C56" s="497" t="s">
        <v>121</v>
      </c>
      <c r="D56" s="497" t="s">
        <v>369</v>
      </c>
      <c r="E56" s="497" t="s">
        <v>811</v>
      </c>
      <c r="F56" s="99">
        <f>50*1.0936</f>
        <v>54.679999999999993</v>
      </c>
      <c r="G56" s="93" t="s">
        <v>190</v>
      </c>
      <c r="H56" s="79"/>
      <c r="I56" s="80">
        <v>0.36399999999999999</v>
      </c>
      <c r="J56" s="81">
        <v>644</v>
      </c>
      <c r="K56" s="81">
        <f t="shared" ref="K56:K60" si="12">I56*J56</f>
        <v>234.416</v>
      </c>
      <c r="L56" s="79"/>
      <c r="M56" s="79"/>
    </row>
    <row r="57" spans="1:14" s="107" customFormat="1" ht="14.1" customHeight="1">
      <c r="A57" s="497"/>
      <c r="B57" s="497"/>
      <c r="C57" s="497"/>
      <c r="D57" s="497"/>
      <c r="E57" s="497"/>
      <c r="F57" s="87"/>
      <c r="G57" s="91" t="s">
        <v>192</v>
      </c>
      <c r="H57" s="79"/>
      <c r="I57" s="80">
        <v>0.20100000000000001</v>
      </c>
      <c r="J57" s="81">
        <v>1126</v>
      </c>
      <c r="K57" s="81">
        <f t="shared" si="12"/>
        <v>226.32600000000002</v>
      </c>
      <c r="L57" s="79"/>
      <c r="M57" s="79"/>
    </row>
    <row r="58" spans="1:14" s="107" customFormat="1" ht="14.1" customHeight="1">
      <c r="A58" s="497"/>
      <c r="B58" s="497"/>
      <c r="C58" s="497"/>
      <c r="D58" s="497"/>
      <c r="E58" s="497"/>
      <c r="F58" s="87"/>
      <c r="G58" s="91" t="s">
        <v>193</v>
      </c>
      <c r="H58" s="79"/>
      <c r="I58" s="80">
        <v>1.38</v>
      </c>
      <c r="J58" s="81">
        <v>1150</v>
      </c>
      <c r="K58" s="81">
        <f t="shared" si="12"/>
        <v>1586.9999999999998</v>
      </c>
      <c r="L58" s="79"/>
      <c r="M58" s="79"/>
    </row>
    <row r="59" spans="1:14" s="107" customFormat="1" ht="14.1" customHeight="1">
      <c r="A59" s="497"/>
      <c r="B59" s="497"/>
      <c r="C59" s="497"/>
      <c r="D59" s="497"/>
      <c r="E59" s="497"/>
      <c r="F59" s="87"/>
      <c r="G59" s="497" t="s">
        <v>184</v>
      </c>
      <c r="H59" s="497"/>
      <c r="I59" s="80">
        <v>0.6</v>
      </c>
      <c r="J59" s="81">
        <v>336</v>
      </c>
      <c r="K59" s="94">
        <f t="shared" si="12"/>
        <v>201.6</v>
      </c>
      <c r="L59" s="79"/>
      <c r="M59" s="79"/>
    </row>
    <row r="60" spans="1:14" s="107" customFormat="1" ht="14.1" customHeight="1">
      <c r="A60" s="497"/>
      <c r="B60" s="497"/>
      <c r="C60" s="497"/>
      <c r="D60" s="497"/>
      <c r="E60" s="497"/>
      <c r="F60" s="87"/>
      <c r="G60" s="95" t="s">
        <v>185</v>
      </c>
      <c r="H60" s="79"/>
      <c r="I60" s="96">
        <v>0.12</v>
      </c>
      <c r="J60" s="81">
        <v>490</v>
      </c>
      <c r="K60" s="81">
        <f t="shared" si="12"/>
        <v>58.8</v>
      </c>
      <c r="L60" s="79"/>
      <c r="M60" s="79"/>
    </row>
    <row r="61" spans="1:14" s="107" customFormat="1" ht="14.1" customHeight="1">
      <c r="A61" s="497"/>
      <c r="B61" s="497"/>
      <c r="C61" s="497"/>
      <c r="D61" s="497"/>
      <c r="E61" s="273" t="s">
        <v>9</v>
      </c>
      <c r="F61" s="108">
        <f>SUM(F56:F60)</f>
        <v>54.679999999999993</v>
      </c>
      <c r="G61" s="273"/>
      <c r="H61" s="273"/>
      <c r="I61" s="80"/>
      <c r="J61" s="81"/>
      <c r="K61" s="103">
        <f>SUM(K56:K60)</f>
        <v>2308.1419999999998</v>
      </c>
      <c r="L61" s="103">
        <f>K61/F61</f>
        <v>42.211814191660572</v>
      </c>
      <c r="M61" s="79"/>
    </row>
    <row r="62" spans="1:14" s="107" customFormat="1" ht="14.1" customHeight="1">
      <c r="A62" s="497">
        <v>9768</v>
      </c>
      <c r="B62" s="497" t="s">
        <v>891</v>
      </c>
      <c r="C62" s="497" t="s">
        <v>121</v>
      </c>
      <c r="D62" s="497" t="s">
        <v>120</v>
      </c>
      <c r="E62" s="497" t="s">
        <v>971</v>
      </c>
      <c r="F62" s="99">
        <f>50*1.0936</f>
        <v>54.679999999999993</v>
      </c>
      <c r="G62" s="498" t="s">
        <v>405</v>
      </c>
      <c r="H62" s="79"/>
      <c r="I62" s="80">
        <v>0.10100000000000001</v>
      </c>
      <c r="J62" s="81">
        <v>1708</v>
      </c>
      <c r="K62" s="81">
        <f t="shared" ref="K62:K66" si="13">I62*J62</f>
        <v>172.50800000000001</v>
      </c>
      <c r="L62" s="79"/>
      <c r="M62" s="79"/>
    </row>
    <row r="63" spans="1:14" s="107" customFormat="1" ht="14.1" customHeight="1">
      <c r="A63" s="497"/>
      <c r="B63" s="497"/>
      <c r="C63" s="497"/>
      <c r="D63" s="497"/>
      <c r="E63" s="497"/>
      <c r="F63" s="87"/>
      <c r="G63" s="498" t="s">
        <v>183</v>
      </c>
      <c r="H63" s="79"/>
      <c r="I63" s="80">
        <v>0.153</v>
      </c>
      <c r="J63" s="81">
        <v>1600</v>
      </c>
      <c r="K63" s="81">
        <f t="shared" si="13"/>
        <v>244.79999999999998</v>
      </c>
      <c r="L63" s="79"/>
      <c r="M63" s="79"/>
    </row>
    <row r="64" spans="1:14" s="107" customFormat="1" ht="14.1" customHeight="1">
      <c r="A64" s="497"/>
      <c r="B64" s="497"/>
      <c r="C64" s="497"/>
      <c r="D64" s="497"/>
      <c r="E64" s="497"/>
      <c r="F64" s="87"/>
      <c r="G64" s="93" t="s">
        <v>315</v>
      </c>
      <c r="H64" s="79"/>
      <c r="I64" s="80">
        <v>4.2000000000000003E-2</v>
      </c>
      <c r="J64" s="81">
        <v>2184</v>
      </c>
      <c r="K64" s="81">
        <f t="shared" si="13"/>
        <v>91.728000000000009</v>
      </c>
      <c r="L64" s="79"/>
      <c r="M64" s="79"/>
    </row>
    <row r="65" spans="1:13" s="107" customFormat="1" ht="14.1" customHeight="1">
      <c r="A65" s="497"/>
      <c r="B65" s="497"/>
      <c r="C65" s="497"/>
      <c r="D65" s="497"/>
      <c r="E65" s="497"/>
      <c r="F65" s="87"/>
      <c r="G65" s="497" t="s">
        <v>184</v>
      </c>
      <c r="H65" s="497"/>
      <c r="I65" s="80">
        <v>0.6</v>
      </c>
      <c r="J65" s="81">
        <v>336</v>
      </c>
      <c r="K65" s="94">
        <f t="shared" si="13"/>
        <v>201.6</v>
      </c>
      <c r="L65" s="79"/>
      <c r="M65" s="79"/>
    </row>
    <row r="66" spans="1:13" s="107" customFormat="1" ht="14.1" customHeight="1">
      <c r="A66" s="497"/>
      <c r="B66" s="497"/>
      <c r="C66" s="497"/>
      <c r="D66" s="497"/>
      <c r="E66" s="497"/>
      <c r="F66" s="87"/>
      <c r="G66" s="95" t="s">
        <v>185</v>
      </c>
      <c r="H66" s="79"/>
      <c r="I66" s="96">
        <v>0.12</v>
      </c>
      <c r="J66" s="81">
        <v>490</v>
      </c>
      <c r="K66" s="81">
        <f t="shared" si="13"/>
        <v>58.8</v>
      </c>
      <c r="L66" s="79"/>
      <c r="M66" s="79"/>
    </row>
    <row r="67" spans="1:13" s="107" customFormat="1" ht="14.1" customHeight="1">
      <c r="A67" s="497"/>
      <c r="B67" s="497"/>
      <c r="C67" s="497"/>
      <c r="D67" s="497"/>
      <c r="E67" s="273" t="s">
        <v>9</v>
      </c>
      <c r="F67" s="108">
        <f>SUM(F62:F66)</f>
        <v>54.679999999999993</v>
      </c>
      <c r="G67" s="273"/>
      <c r="H67" s="273"/>
      <c r="I67" s="80"/>
      <c r="J67" s="81"/>
      <c r="K67" s="103">
        <f>SUM(K62:K66)</f>
        <v>769.43599999999992</v>
      </c>
      <c r="L67" s="103">
        <f>K67/F67</f>
        <v>14.071616678858815</v>
      </c>
      <c r="M67" s="79"/>
    </row>
    <row r="68" spans="1:13" s="107" customFormat="1" ht="14.1" customHeight="1">
      <c r="A68" s="497">
        <v>9769</v>
      </c>
      <c r="B68" s="497" t="s">
        <v>972</v>
      </c>
      <c r="C68" s="497" t="s">
        <v>973</v>
      </c>
      <c r="D68" s="497" t="s">
        <v>540</v>
      </c>
      <c r="E68" s="497" t="s">
        <v>974</v>
      </c>
      <c r="F68" s="99">
        <f>40*1.0936</f>
        <v>43.744</v>
      </c>
      <c r="G68" s="498" t="s">
        <v>405</v>
      </c>
      <c r="H68" s="79"/>
      <c r="I68" s="80">
        <v>0.21</v>
      </c>
      <c r="J68" s="81">
        <v>1708</v>
      </c>
      <c r="K68" s="81">
        <f t="shared" ref="K68:K72" si="14">I68*J68</f>
        <v>358.68</v>
      </c>
      <c r="L68" s="79"/>
      <c r="M68" s="79"/>
    </row>
    <row r="69" spans="1:13" s="107" customFormat="1" ht="14.1" customHeight="1">
      <c r="A69" s="497"/>
      <c r="B69" s="497"/>
      <c r="C69" s="497"/>
      <c r="D69" s="497"/>
      <c r="E69" s="497"/>
      <c r="F69" s="87"/>
      <c r="G69" s="498" t="s">
        <v>183</v>
      </c>
      <c r="H69" s="79"/>
      <c r="I69" s="80">
        <v>0.126</v>
      </c>
      <c r="J69" s="81">
        <v>1600</v>
      </c>
      <c r="K69" s="81">
        <f t="shared" si="14"/>
        <v>201.6</v>
      </c>
      <c r="L69" s="79"/>
      <c r="M69" s="79"/>
    </row>
    <row r="70" spans="1:13" s="107" customFormat="1" ht="14.1" customHeight="1">
      <c r="A70" s="497"/>
      <c r="B70" s="497"/>
      <c r="C70" s="497"/>
      <c r="D70" s="497"/>
      <c r="E70" s="497"/>
      <c r="F70" s="87"/>
      <c r="G70" s="91" t="s">
        <v>194</v>
      </c>
      <c r="H70" s="79"/>
      <c r="I70" s="80">
        <v>1.68</v>
      </c>
      <c r="J70" s="81">
        <v>879</v>
      </c>
      <c r="K70" s="81">
        <f t="shared" si="14"/>
        <v>1476.72</v>
      </c>
      <c r="L70" s="79"/>
      <c r="M70" s="79"/>
    </row>
    <row r="71" spans="1:13" s="107" customFormat="1" ht="14.1" customHeight="1">
      <c r="A71" s="497"/>
      <c r="B71" s="497"/>
      <c r="C71" s="497"/>
      <c r="D71" s="497"/>
      <c r="E71" s="497"/>
      <c r="F71" s="87"/>
      <c r="G71" s="497" t="s">
        <v>184</v>
      </c>
      <c r="H71" s="497"/>
      <c r="I71" s="80">
        <v>0.6</v>
      </c>
      <c r="J71" s="81">
        <v>336</v>
      </c>
      <c r="K71" s="94">
        <f t="shared" si="14"/>
        <v>201.6</v>
      </c>
      <c r="L71" s="79"/>
      <c r="M71" s="79"/>
    </row>
    <row r="72" spans="1:13" s="107" customFormat="1" ht="14.1" customHeight="1">
      <c r="A72" s="497"/>
      <c r="B72" s="497"/>
      <c r="C72" s="497"/>
      <c r="D72" s="497"/>
      <c r="E72" s="497"/>
      <c r="F72" s="87"/>
      <c r="G72" s="95" t="s">
        <v>185</v>
      </c>
      <c r="H72" s="79"/>
      <c r="I72" s="96">
        <v>0.12</v>
      </c>
      <c r="J72" s="81">
        <v>490</v>
      </c>
      <c r="K72" s="81">
        <f t="shared" si="14"/>
        <v>58.8</v>
      </c>
      <c r="L72" s="79"/>
      <c r="M72" s="79"/>
    </row>
    <row r="73" spans="1:13" s="107" customFormat="1" ht="14.1" customHeight="1">
      <c r="A73" s="497"/>
      <c r="B73" s="497"/>
      <c r="C73" s="497"/>
      <c r="D73" s="497"/>
      <c r="E73" s="273" t="s">
        <v>9</v>
      </c>
      <c r="F73" s="108">
        <f>SUM(F68:F72)</f>
        <v>43.744</v>
      </c>
      <c r="G73" s="273"/>
      <c r="H73" s="273"/>
      <c r="I73" s="80"/>
      <c r="J73" s="81"/>
      <c r="K73" s="103">
        <f>SUM(K68:K72)</f>
        <v>2297.4</v>
      </c>
      <c r="L73" s="103">
        <f>K73/F73</f>
        <v>52.519202633504023</v>
      </c>
      <c r="M73" s="79"/>
    </row>
    <row r="74" spans="1:13" s="107" customFormat="1" ht="14.1" customHeight="1">
      <c r="A74" s="497">
        <v>9767</v>
      </c>
      <c r="B74" s="497" t="s">
        <v>896</v>
      </c>
      <c r="C74" s="89" t="s">
        <v>115</v>
      </c>
      <c r="D74" s="89" t="s">
        <v>975</v>
      </c>
      <c r="E74" s="497" t="s">
        <v>102</v>
      </c>
      <c r="F74" s="99">
        <f>25*1.0936</f>
        <v>27.339999999999996</v>
      </c>
      <c r="G74" s="91" t="s">
        <v>196</v>
      </c>
      <c r="H74" s="79"/>
      <c r="I74" s="80">
        <v>0.31</v>
      </c>
      <c r="J74" s="81">
        <v>888</v>
      </c>
      <c r="K74" s="81">
        <f t="shared" ref="K74:K75" si="15">I74*J74</f>
        <v>275.27999999999997</v>
      </c>
      <c r="L74" s="79"/>
      <c r="M74" s="79"/>
    </row>
    <row r="75" spans="1:13" s="107" customFormat="1" ht="14.1" customHeight="1">
      <c r="A75" s="497"/>
      <c r="B75" s="497"/>
      <c r="C75" s="497"/>
      <c r="D75" s="497"/>
      <c r="E75" s="497"/>
      <c r="F75" s="87"/>
      <c r="G75" s="91" t="s">
        <v>192</v>
      </c>
      <c r="H75" s="79"/>
      <c r="I75" s="80">
        <v>0.42</v>
      </c>
      <c r="J75" s="81">
        <v>1126</v>
      </c>
      <c r="K75" s="81">
        <f t="shared" si="15"/>
        <v>472.91999999999996</v>
      </c>
      <c r="L75" s="79"/>
      <c r="M75" s="79"/>
    </row>
    <row r="76" spans="1:13" s="107" customFormat="1" ht="14.1" customHeight="1">
      <c r="A76" s="497"/>
      <c r="B76" s="497"/>
      <c r="C76" s="497"/>
      <c r="D76" s="497"/>
      <c r="E76" s="497"/>
      <c r="F76" s="87"/>
      <c r="G76" s="91" t="s">
        <v>191</v>
      </c>
      <c r="H76" s="79"/>
      <c r="I76" s="80">
        <v>2.16</v>
      </c>
      <c r="J76" s="81">
        <v>1628</v>
      </c>
      <c r="K76" s="81">
        <f t="shared" ref="K76:K78" si="16">I76*J76</f>
        <v>3516.48</v>
      </c>
      <c r="L76" s="79"/>
      <c r="M76" s="79"/>
    </row>
    <row r="77" spans="1:13" s="107" customFormat="1" ht="14.1" customHeight="1">
      <c r="A77" s="497"/>
      <c r="B77" s="497"/>
      <c r="C77" s="497"/>
      <c r="D77" s="497"/>
      <c r="E77" s="497"/>
      <c r="F77" s="87"/>
      <c r="G77" s="497" t="s">
        <v>184</v>
      </c>
      <c r="H77" s="497"/>
      <c r="I77" s="80">
        <v>0.5</v>
      </c>
      <c r="J77" s="81">
        <v>336</v>
      </c>
      <c r="K77" s="94">
        <f t="shared" si="16"/>
        <v>168</v>
      </c>
      <c r="L77" s="79"/>
      <c r="M77" s="79"/>
    </row>
    <row r="78" spans="1:13" s="107" customFormat="1" ht="14.1" customHeight="1">
      <c r="A78" s="497"/>
      <c r="B78" s="497"/>
      <c r="C78" s="497"/>
      <c r="D78" s="497"/>
      <c r="E78" s="497"/>
      <c r="F78" s="87"/>
      <c r="G78" s="95" t="s">
        <v>185</v>
      </c>
      <c r="H78" s="79"/>
      <c r="I78" s="96">
        <v>0.1</v>
      </c>
      <c r="J78" s="81">
        <v>490</v>
      </c>
      <c r="K78" s="81">
        <f t="shared" si="16"/>
        <v>49</v>
      </c>
      <c r="L78" s="79"/>
      <c r="M78" s="79"/>
    </row>
    <row r="79" spans="1:13" s="107" customFormat="1" ht="14.1" customHeight="1">
      <c r="A79" s="497"/>
      <c r="B79" s="497"/>
      <c r="C79" s="497"/>
      <c r="D79" s="497"/>
      <c r="E79" s="273" t="s">
        <v>9</v>
      </c>
      <c r="F79" s="108">
        <f>SUM(F74:F78)</f>
        <v>27.339999999999996</v>
      </c>
      <c r="G79" s="273"/>
      <c r="H79" s="273"/>
      <c r="I79" s="80"/>
      <c r="J79" s="81"/>
      <c r="K79" s="103">
        <f>SUM(K74:K78)</f>
        <v>4481.68</v>
      </c>
      <c r="L79" s="152">
        <f>K79/F79</f>
        <v>163.92392099487932</v>
      </c>
      <c r="M79" s="79"/>
    </row>
    <row r="80" spans="1:13" s="107" customFormat="1" ht="14.1" customHeight="1">
      <c r="A80" s="497">
        <v>9765</v>
      </c>
      <c r="B80" s="497" t="s">
        <v>976</v>
      </c>
      <c r="C80" s="497" t="s">
        <v>700</v>
      </c>
      <c r="D80" s="497" t="s">
        <v>297</v>
      </c>
      <c r="E80" s="497" t="s">
        <v>978</v>
      </c>
      <c r="F80" s="99">
        <f>15*1.0936</f>
        <v>16.404</v>
      </c>
      <c r="G80" s="498" t="s">
        <v>405</v>
      </c>
      <c r="H80" s="79"/>
      <c r="I80" s="80">
        <v>4.7E-2</v>
      </c>
      <c r="J80" s="81">
        <v>1708</v>
      </c>
      <c r="K80" s="81">
        <f t="shared" ref="K80:K84" si="17">I80*J80</f>
        <v>80.275999999999996</v>
      </c>
      <c r="L80" s="79"/>
      <c r="M80" s="79"/>
    </row>
    <row r="81" spans="1:13" s="107" customFormat="1" ht="14.1" customHeight="1">
      <c r="A81" s="497"/>
      <c r="B81" s="497"/>
      <c r="C81" s="497"/>
      <c r="D81" s="497"/>
      <c r="E81" s="497" t="s">
        <v>977</v>
      </c>
      <c r="F81" s="87"/>
      <c r="G81" s="91" t="s">
        <v>192</v>
      </c>
      <c r="H81" s="79"/>
      <c r="I81" s="80">
        <v>0.10199999999999999</v>
      </c>
      <c r="J81" s="81">
        <v>1126</v>
      </c>
      <c r="K81" s="81">
        <f t="shared" si="17"/>
        <v>114.85199999999999</v>
      </c>
      <c r="L81" s="79"/>
      <c r="M81" s="79"/>
    </row>
    <row r="82" spans="1:13" s="107" customFormat="1" ht="14.1" customHeight="1">
      <c r="A82" s="497"/>
      <c r="B82" s="497"/>
      <c r="C82" s="497"/>
      <c r="D82" s="497"/>
      <c r="E82" s="497"/>
      <c r="F82" s="87"/>
      <c r="G82" s="91" t="s">
        <v>193</v>
      </c>
      <c r="H82" s="79"/>
      <c r="I82" s="80">
        <v>0.37</v>
      </c>
      <c r="J82" s="81">
        <v>1150</v>
      </c>
      <c r="K82" s="81">
        <f t="shared" si="17"/>
        <v>425.5</v>
      </c>
      <c r="L82" s="79"/>
      <c r="M82" s="79"/>
    </row>
    <row r="83" spans="1:13" s="107" customFormat="1" ht="14.1" customHeight="1">
      <c r="A83" s="497"/>
      <c r="B83" s="497"/>
      <c r="C83" s="497"/>
      <c r="D83" s="497"/>
      <c r="E83" s="497"/>
      <c r="F83" s="87"/>
      <c r="G83" s="497" t="s">
        <v>184</v>
      </c>
      <c r="H83" s="497"/>
      <c r="I83" s="80">
        <v>0.3</v>
      </c>
      <c r="J83" s="81">
        <v>336</v>
      </c>
      <c r="K83" s="94">
        <f t="shared" si="17"/>
        <v>100.8</v>
      </c>
      <c r="L83" s="79"/>
      <c r="M83" s="79"/>
    </row>
    <row r="84" spans="1:13" s="107" customFormat="1" ht="14.1" customHeight="1">
      <c r="A84" s="497"/>
      <c r="B84" s="497"/>
      <c r="C84" s="497"/>
      <c r="D84" s="497"/>
      <c r="E84" s="497"/>
      <c r="F84" s="87"/>
      <c r="G84" s="95" t="s">
        <v>185</v>
      </c>
      <c r="H84" s="79"/>
      <c r="I84" s="96">
        <v>0.06</v>
      </c>
      <c r="J84" s="81">
        <v>490</v>
      </c>
      <c r="K84" s="81">
        <f t="shared" si="17"/>
        <v>29.4</v>
      </c>
      <c r="L84" s="79"/>
      <c r="M84" s="79"/>
    </row>
    <row r="85" spans="1:13" s="107" customFormat="1" ht="14.1" customHeight="1">
      <c r="A85" s="497"/>
      <c r="B85" s="497"/>
      <c r="C85" s="497"/>
      <c r="D85" s="497"/>
      <c r="E85" s="273" t="s">
        <v>9</v>
      </c>
      <c r="F85" s="108">
        <f>SUM(F80:F84)</f>
        <v>16.404</v>
      </c>
      <c r="G85" s="273"/>
      <c r="H85" s="273"/>
      <c r="I85" s="80"/>
      <c r="J85" s="81"/>
      <c r="K85" s="103">
        <f>SUM(K80:K84)</f>
        <v>750.82799999999986</v>
      </c>
      <c r="L85" s="103">
        <f>K85/F85</f>
        <v>45.771031455742495</v>
      </c>
      <c r="M85" s="79"/>
    </row>
    <row r="86" spans="1:13" s="107" customFormat="1" ht="14.1" customHeight="1">
      <c r="A86" s="497">
        <v>9764</v>
      </c>
      <c r="B86" s="497" t="s">
        <v>980</v>
      </c>
      <c r="C86" s="497" t="s">
        <v>700</v>
      </c>
      <c r="D86" s="497" t="s">
        <v>297</v>
      </c>
      <c r="E86" s="497" t="s">
        <v>979</v>
      </c>
      <c r="F86" s="99">
        <f>15*1.0936</f>
        <v>16.404</v>
      </c>
      <c r="G86" s="498" t="s">
        <v>405</v>
      </c>
      <c r="H86" s="79"/>
      <c r="I86" s="80">
        <v>0.21199999999999999</v>
      </c>
      <c r="J86" s="81">
        <v>1708</v>
      </c>
      <c r="K86" s="81">
        <f t="shared" ref="K86:K91" si="18">I86*J86</f>
        <v>362.096</v>
      </c>
      <c r="L86" s="79"/>
      <c r="M86" s="79"/>
    </row>
    <row r="87" spans="1:13" s="107" customFormat="1" ht="14.1" customHeight="1">
      <c r="A87" s="497"/>
      <c r="B87" s="497"/>
      <c r="C87" s="497"/>
      <c r="D87" s="497"/>
      <c r="E87" s="497"/>
      <c r="F87" s="87"/>
      <c r="G87" s="91" t="s">
        <v>192</v>
      </c>
      <c r="H87" s="79"/>
      <c r="I87" s="80">
        <v>6.4000000000000001E-2</v>
      </c>
      <c r="J87" s="81">
        <v>1126</v>
      </c>
      <c r="K87" s="81">
        <f t="shared" si="18"/>
        <v>72.064000000000007</v>
      </c>
      <c r="L87" s="79"/>
      <c r="M87" s="79"/>
    </row>
    <row r="88" spans="1:13" s="107" customFormat="1" ht="14.1" customHeight="1">
      <c r="A88" s="497"/>
      <c r="B88" s="497"/>
      <c r="C88" s="497"/>
      <c r="D88" s="497"/>
      <c r="E88" s="497"/>
      <c r="F88" s="87"/>
      <c r="G88" s="91" t="s">
        <v>193</v>
      </c>
      <c r="H88" s="79"/>
      <c r="I88" s="80">
        <v>0.47</v>
      </c>
      <c r="J88" s="81">
        <v>1150</v>
      </c>
      <c r="K88" s="81">
        <f t="shared" si="18"/>
        <v>540.5</v>
      </c>
      <c r="L88" s="79"/>
      <c r="M88" s="79"/>
    </row>
    <row r="89" spans="1:13" s="107" customFormat="1" ht="14.1" customHeight="1">
      <c r="A89" s="497"/>
      <c r="B89" s="497"/>
      <c r="C89" s="497"/>
      <c r="D89" s="497"/>
      <c r="E89" s="497"/>
      <c r="F89" s="87"/>
      <c r="G89" s="91" t="s">
        <v>199</v>
      </c>
      <c r="H89" s="79"/>
      <c r="I89" s="80">
        <v>0.65400000000000003</v>
      </c>
      <c r="J89" s="81">
        <v>530</v>
      </c>
      <c r="K89" s="81">
        <f t="shared" si="18"/>
        <v>346.62</v>
      </c>
      <c r="L89" s="79"/>
      <c r="M89" s="79"/>
    </row>
    <row r="90" spans="1:13" s="107" customFormat="1" ht="14.1" customHeight="1">
      <c r="A90" s="497"/>
      <c r="B90" s="497"/>
      <c r="C90" s="497"/>
      <c r="D90" s="497"/>
      <c r="E90" s="497"/>
      <c r="F90" s="87"/>
      <c r="G90" s="497" t="s">
        <v>184</v>
      </c>
      <c r="H90" s="497"/>
      <c r="I90" s="80">
        <v>0.3</v>
      </c>
      <c r="J90" s="81">
        <v>336</v>
      </c>
      <c r="K90" s="94">
        <f t="shared" si="18"/>
        <v>100.8</v>
      </c>
      <c r="L90" s="79"/>
      <c r="M90" s="79"/>
    </row>
    <row r="91" spans="1:13" s="107" customFormat="1" ht="14.1" customHeight="1">
      <c r="A91" s="497"/>
      <c r="B91" s="497"/>
      <c r="C91" s="497"/>
      <c r="D91" s="497"/>
      <c r="E91" s="497"/>
      <c r="F91" s="87"/>
      <c r="G91" s="95" t="s">
        <v>185</v>
      </c>
      <c r="H91" s="79"/>
      <c r="I91" s="96">
        <v>0.06</v>
      </c>
      <c r="J91" s="81">
        <v>490</v>
      </c>
      <c r="K91" s="81">
        <f t="shared" si="18"/>
        <v>29.4</v>
      </c>
      <c r="L91" s="79"/>
      <c r="M91" s="79"/>
    </row>
    <row r="92" spans="1:13" s="107" customFormat="1" ht="14.1" customHeight="1">
      <c r="A92" s="497"/>
      <c r="B92" s="497"/>
      <c r="C92" s="497"/>
      <c r="D92" s="497"/>
      <c r="E92" s="273" t="s">
        <v>9</v>
      </c>
      <c r="F92" s="108">
        <f>SUM(F86:F91)</f>
        <v>16.404</v>
      </c>
      <c r="G92" s="273"/>
      <c r="H92" s="273"/>
      <c r="I92" s="80"/>
      <c r="J92" s="81"/>
      <c r="K92" s="103">
        <f>SUM(K86:K91)</f>
        <v>1451.4800000000002</v>
      </c>
      <c r="L92" s="103">
        <f>K92/F92</f>
        <v>88.483296756888578</v>
      </c>
      <c r="M92" s="79"/>
    </row>
    <row r="93" spans="1:13" s="107" customFormat="1" ht="14.1" customHeight="1">
      <c r="A93" s="497">
        <v>9761</v>
      </c>
      <c r="B93" s="497" t="s">
        <v>981</v>
      </c>
      <c r="C93" s="497" t="s">
        <v>700</v>
      </c>
      <c r="D93" s="497" t="s">
        <v>297</v>
      </c>
      <c r="E93" s="497" t="s">
        <v>982</v>
      </c>
      <c r="F93" s="99">
        <f>15*1.0936</f>
        <v>16.404</v>
      </c>
      <c r="G93" s="498" t="s">
        <v>405</v>
      </c>
      <c r="H93" s="79"/>
      <c r="I93" s="80">
        <v>0.19800000000000001</v>
      </c>
      <c r="J93" s="81">
        <v>1708</v>
      </c>
      <c r="K93" s="81">
        <f t="shared" ref="K93:K97" si="19">I93*J93</f>
        <v>338.18400000000003</v>
      </c>
      <c r="L93" s="79"/>
      <c r="M93" s="79"/>
    </row>
    <row r="94" spans="1:13" s="107" customFormat="1" ht="14.1" customHeight="1">
      <c r="A94" s="497"/>
      <c r="B94" s="497"/>
      <c r="C94" s="497"/>
      <c r="D94" s="497"/>
      <c r="E94" s="497" t="s">
        <v>93</v>
      </c>
      <c r="F94" s="87"/>
      <c r="G94" s="498" t="s">
        <v>183</v>
      </c>
      <c r="H94" s="79"/>
      <c r="I94" s="80">
        <v>7.9000000000000001E-2</v>
      </c>
      <c r="J94" s="81">
        <v>1600</v>
      </c>
      <c r="K94" s="81">
        <f t="shared" si="19"/>
        <v>126.4</v>
      </c>
      <c r="L94" s="79"/>
      <c r="M94" s="79"/>
    </row>
    <row r="95" spans="1:13" s="107" customFormat="1" ht="14.1" customHeight="1">
      <c r="A95" s="497"/>
      <c r="B95" s="497"/>
      <c r="C95" s="497"/>
      <c r="D95" s="497"/>
      <c r="E95" s="497"/>
      <c r="F95" s="87"/>
      <c r="G95" s="93" t="s">
        <v>315</v>
      </c>
      <c r="H95" s="79"/>
      <c r="I95" s="80">
        <v>0.32</v>
      </c>
      <c r="J95" s="81">
        <v>2184</v>
      </c>
      <c r="K95" s="81">
        <f t="shared" si="19"/>
        <v>698.88</v>
      </c>
      <c r="L95" s="79"/>
      <c r="M95" s="79"/>
    </row>
    <row r="96" spans="1:13" s="107" customFormat="1" ht="14.1" customHeight="1">
      <c r="A96" s="497"/>
      <c r="B96" s="497"/>
      <c r="C96" s="497"/>
      <c r="D96" s="497"/>
      <c r="E96" s="497"/>
      <c r="F96" s="87"/>
      <c r="G96" s="497" t="s">
        <v>184</v>
      </c>
      <c r="H96" s="497"/>
      <c r="I96" s="80">
        <v>0.3</v>
      </c>
      <c r="J96" s="81">
        <v>336</v>
      </c>
      <c r="K96" s="94">
        <f t="shared" si="19"/>
        <v>100.8</v>
      </c>
      <c r="L96" s="79"/>
      <c r="M96" s="79"/>
    </row>
    <row r="97" spans="1:13" s="107" customFormat="1" ht="14.1" customHeight="1">
      <c r="A97" s="497"/>
      <c r="B97" s="497"/>
      <c r="C97" s="497"/>
      <c r="D97" s="497"/>
      <c r="E97" s="497"/>
      <c r="F97" s="87"/>
      <c r="G97" s="95" t="s">
        <v>185</v>
      </c>
      <c r="H97" s="79"/>
      <c r="I97" s="96">
        <v>0.06</v>
      </c>
      <c r="J97" s="81">
        <v>490</v>
      </c>
      <c r="K97" s="81">
        <f t="shared" si="19"/>
        <v>29.4</v>
      </c>
      <c r="L97" s="79"/>
      <c r="M97" s="79"/>
    </row>
    <row r="98" spans="1:13" s="107" customFormat="1" ht="14.1" customHeight="1">
      <c r="A98" s="497"/>
      <c r="B98" s="497"/>
      <c r="C98" s="497"/>
      <c r="D98" s="497"/>
      <c r="E98" s="273" t="s">
        <v>9</v>
      </c>
      <c r="F98" s="108">
        <f>SUM(F93:F97)</f>
        <v>16.404</v>
      </c>
      <c r="G98" s="273"/>
      <c r="H98" s="273"/>
      <c r="I98" s="80"/>
      <c r="J98" s="81"/>
      <c r="K98" s="103">
        <f>SUM(K93:K97)</f>
        <v>1293.664</v>
      </c>
      <c r="L98" s="103">
        <f>K98/F98</f>
        <v>78.862716410631549</v>
      </c>
      <c r="M98" s="79"/>
    </row>
    <row r="99" spans="1:13" s="107" customFormat="1" ht="14.1" customHeight="1">
      <c r="A99" s="497">
        <v>9763</v>
      </c>
      <c r="B99" s="497" t="s">
        <v>983</v>
      </c>
      <c r="C99" s="497" t="s">
        <v>700</v>
      </c>
      <c r="D99" s="497" t="s">
        <v>297</v>
      </c>
      <c r="E99" s="497" t="s">
        <v>984</v>
      </c>
      <c r="F99" s="99">
        <f>15*1.0936</f>
        <v>16.404</v>
      </c>
      <c r="G99" s="498" t="s">
        <v>405</v>
      </c>
      <c r="H99" s="79"/>
      <c r="I99" s="80">
        <v>0.17599999999999999</v>
      </c>
      <c r="J99" s="81">
        <v>1708</v>
      </c>
      <c r="K99" s="81">
        <f t="shared" ref="K99:K103" si="20">I99*J99</f>
        <v>300.608</v>
      </c>
      <c r="L99" s="79"/>
      <c r="M99" s="79"/>
    </row>
    <row r="100" spans="1:13" s="107" customFormat="1" ht="14.1" customHeight="1">
      <c r="A100" s="497"/>
      <c r="B100" s="497"/>
      <c r="C100" s="497"/>
      <c r="D100" s="497"/>
      <c r="E100" s="497" t="s">
        <v>635</v>
      </c>
      <c r="F100" s="87"/>
      <c r="G100" s="498" t="s">
        <v>183</v>
      </c>
      <c r="H100" s="79"/>
      <c r="I100" s="80">
        <v>3.9E-2</v>
      </c>
      <c r="J100" s="81">
        <v>1600</v>
      </c>
      <c r="K100" s="81">
        <f t="shared" si="20"/>
        <v>62.4</v>
      </c>
      <c r="L100" s="79"/>
      <c r="M100" s="79"/>
    </row>
    <row r="101" spans="1:13" s="107" customFormat="1" ht="14.1" customHeight="1">
      <c r="A101" s="497"/>
      <c r="B101" s="497"/>
      <c r="C101" s="497"/>
      <c r="D101" s="497"/>
      <c r="E101" s="497"/>
      <c r="F101" s="87"/>
      <c r="G101" s="93" t="s">
        <v>315</v>
      </c>
      <c r="H101" s="79"/>
      <c r="I101" s="80">
        <v>5.2999999999999999E-2</v>
      </c>
      <c r="J101" s="81">
        <v>2184</v>
      </c>
      <c r="K101" s="81">
        <f t="shared" si="20"/>
        <v>115.752</v>
      </c>
      <c r="L101" s="79"/>
      <c r="M101" s="79"/>
    </row>
    <row r="102" spans="1:13" s="107" customFormat="1" ht="14.1" customHeight="1">
      <c r="A102" s="497"/>
      <c r="B102" s="497"/>
      <c r="C102" s="497"/>
      <c r="D102" s="497"/>
      <c r="E102" s="497"/>
      <c r="F102" s="87"/>
      <c r="G102" s="497" t="s">
        <v>184</v>
      </c>
      <c r="H102" s="497"/>
      <c r="I102" s="80">
        <v>0.3</v>
      </c>
      <c r="J102" s="81">
        <v>336</v>
      </c>
      <c r="K102" s="94">
        <f t="shared" si="20"/>
        <v>100.8</v>
      </c>
      <c r="L102" s="79"/>
      <c r="M102" s="79"/>
    </row>
    <row r="103" spans="1:13" s="107" customFormat="1" ht="14.1" customHeight="1">
      <c r="A103" s="497"/>
      <c r="B103" s="497"/>
      <c r="C103" s="497"/>
      <c r="D103" s="497"/>
      <c r="E103" s="497"/>
      <c r="F103" s="87"/>
      <c r="G103" s="95" t="s">
        <v>185</v>
      </c>
      <c r="H103" s="79"/>
      <c r="I103" s="96">
        <v>0.06</v>
      </c>
      <c r="J103" s="81">
        <v>490</v>
      </c>
      <c r="K103" s="81">
        <f t="shared" si="20"/>
        <v>29.4</v>
      </c>
      <c r="L103" s="79"/>
      <c r="M103" s="79"/>
    </row>
    <row r="104" spans="1:13" s="107" customFormat="1" ht="14.1" customHeight="1">
      <c r="A104" s="497"/>
      <c r="B104" s="497"/>
      <c r="C104" s="497"/>
      <c r="D104" s="497"/>
      <c r="E104" s="273" t="s">
        <v>9</v>
      </c>
      <c r="F104" s="108">
        <f>SUM(F99:F103)</f>
        <v>16.404</v>
      </c>
      <c r="G104" s="273"/>
      <c r="H104" s="273"/>
      <c r="I104" s="80"/>
      <c r="J104" s="81"/>
      <c r="K104" s="103">
        <f>SUM(K99:K103)</f>
        <v>608.95999999999992</v>
      </c>
      <c r="L104" s="103">
        <f>K104/F104</f>
        <v>37.122653011460613</v>
      </c>
      <c r="M104" s="79"/>
    </row>
    <row r="105" spans="1:13" s="107" customFormat="1" ht="14.1" customHeight="1">
      <c r="A105" s="497">
        <v>9766</v>
      </c>
      <c r="B105" s="497" t="s">
        <v>985</v>
      </c>
      <c r="C105" s="497" t="s">
        <v>278</v>
      </c>
      <c r="D105" s="497" t="s">
        <v>467</v>
      </c>
      <c r="E105" s="497" t="s">
        <v>262</v>
      </c>
      <c r="F105" s="99">
        <f>30*1.0936</f>
        <v>32.808</v>
      </c>
      <c r="G105" s="498" t="s">
        <v>405</v>
      </c>
      <c r="H105" s="79"/>
      <c r="I105" s="80">
        <v>0.14399999999999999</v>
      </c>
      <c r="J105" s="81">
        <v>1708</v>
      </c>
      <c r="K105" s="81">
        <f t="shared" ref="K105:K109" si="21">I105*J105</f>
        <v>245.95199999999997</v>
      </c>
      <c r="L105" s="79"/>
      <c r="M105" s="79"/>
    </row>
    <row r="106" spans="1:13" s="107" customFormat="1" ht="14.1" customHeight="1">
      <c r="A106" s="497"/>
      <c r="B106" s="497"/>
      <c r="C106" s="497"/>
      <c r="D106" s="497"/>
      <c r="E106" s="497"/>
      <c r="F106" s="87"/>
      <c r="G106" s="91" t="s">
        <v>926</v>
      </c>
      <c r="H106" s="79"/>
      <c r="I106" s="80">
        <v>0.108</v>
      </c>
      <c r="J106" s="81">
        <v>2152</v>
      </c>
      <c r="K106" s="81">
        <f t="shared" si="21"/>
        <v>232.416</v>
      </c>
      <c r="L106" s="79"/>
      <c r="M106" s="79"/>
    </row>
    <row r="107" spans="1:13" s="107" customFormat="1" ht="14.1" customHeight="1">
      <c r="A107" s="497"/>
      <c r="B107" s="497"/>
      <c r="C107" s="497"/>
      <c r="D107" s="497"/>
      <c r="E107" s="273"/>
      <c r="F107" s="108"/>
      <c r="G107" s="93" t="s">
        <v>315</v>
      </c>
      <c r="H107" s="79"/>
      <c r="I107" s="80">
        <v>0.11</v>
      </c>
      <c r="J107" s="81">
        <v>2184</v>
      </c>
      <c r="K107" s="81">
        <f t="shared" si="21"/>
        <v>240.24</v>
      </c>
      <c r="L107" s="79"/>
      <c r="M107" s="79"/>
    </row>
    <row r="108" spans="1:13" s="107" customFormat="1" ht="14.1" customHeight="1">
      <c r="A108" s="497"/>
      <c r="B108" s="497"/>
      <c r="C108" s="497"/>
      <c r="D108" s="497"/>
      <c r="E108" s="273"/>
      <c r="F108" s="108"/>
      <c r="G108" s="497" t="s">
        <v>184</v>
      </c>
      <c r="H108" s="497"/>
      <c r="I108" s="80">
        <v>0.6</v>
      </c>
      <c r="J108" s="81">
        <v>336</v>
      </c>
      <c r="K108" s="94">
        <f t="shared" si="21"/>
        <v>201.6</v>
      </c>
      <c r="L108" s="79"/>
      <c r="M108" s="79"/>
    </row>
    <row r="109" spans="1:13" s="107" customFormat="1" ht="14.1" customHeight="1">
      <c r="A109" s="497"/>
      <c r="B109" s="497"/>
      <c r="C109" s="497"/>
      <c r="D109" s="497"/>
      <c r="E109" s="273"/>
      <c r="F109" s="108"/>
      <c r="G109" s="95" t="s">
        <v>185</v>
      </c>
      <c r="H109" s="79"/>
      <c r="I109" s="96">
        <v>0.12</v>
      </c>
      <c r="J109" s="81">
        <v>490</v>
      </c>
      <c r="K109" s="81">
        <f t="shared" si="21"/>
        <v>58.8</v>
      </c>
      <c r="L109" s="79"/>
      <c r="M109" s="79"/>
    </row>
    <row r="110" spans="1:13" s="107" customFormat="1" ht="14.1" customHeight="1">
      <c r="A110" s="497"/>
      <c r="B110" s="497"/>
      <c r="C110" s="497"/>
      <c r="D110" s="497"/>
      <c r="E110" s="273" t="s">
        <v>9</v>
      </c>
      <c r="F110" s="108">
        <f>SUM(F105:F109)</f>
        <v>32.808</v>
      </c>
      <c r="G110" s="273"/>
      <c r="H110" s="273"/>
      <c r="I110" s="80"/>
      <c r="J110" s="81"/>
      <c r="K110" s="103">
        <f>SUM(K105:K109)</f>
        <v>979.00799999999992</v>
      </c>
      <c r="L110" s="103">
        <f>K110/F110</f>
        <v>29.840526700804681</v>
      </c>
      <c r="M110" s="79"/>
    </row>
    <row r="111" spans="1:13" s="107" customFormat="1" ht="14.1" customHeight="1">
      <c r="A111" s="497">
        <v>9776</v>
      </c>
      <c r="B111" s="497" t="s">
        <v>985</v>
      </c>
      <c r="C111" s="497" t="s">
        <v>278</v>
      </c>
      <c r="D111" s="497" t="s">
        <v>790</v>
      </c>
      <c r="E111" s="497" t="s">
        <v>101</v>
      </c>
      <c r="F111" s="99">
        <f>100*1.0936</f>
        <v>109.35999999999999</v>
      </c>
      <c r="G111" s="498" t="s">
        <v>264</v>
      </c>
      <c r="H111" s="79"/>
      <c r="I111" s="80">
        <v>0.216</v>
      </c>
      <c r="J111" s="81">
        <v>3530</v>
      </c>
      <c r="K111" s="81">
        <f>I111*J111</f>
        <v>762.48</v>
      </c>
      <c r="L111" s="79"/>
      <c r="M111" s="79"/>
    </row>
    <row r="112" spans="1:13" s="107" customFormat="1" ht="14.1" customHeight="1">
      <c r="A112" s="497"/>
      <c r="B112" s="497"/>
      <c r="C112" s="497"/>
      <c r="D112" s="497"/>
      <c r="E112" s="497"/>
      <c r="F112" s="87"/>
      <c r="G112" s="498" t="s">
        <v>986</v>
      </c>
      <c r="H112" s="79"/>
      <c r="I112" s="80">
        <v>0.54100000000000004</v>
      </c>
      <c r="J112" s="81">
        <v>1792</v>
      </c>
      <c r="K112" s="81">
        <f t="shared" ref="K112:K115" si="22">I112*J112</f>
        <v>969.47200000000009</v>
      </c>
      <c r="L112" s="79"/>
      <c r="M112" s="79"/>
    </row>
    <row r="113" spans="1:13" s="107" customFormat="1" ht="14.1" customHeight="1">
      <c r="A113" s="497"/>
      <c r="B113" s="497"/>
      <c r="C113" s="497"/>
      <c r="D113" s="497"/>
      <c r="E113" s="497"/>
      <c r="F113" s="87"/>
      <c r="G113" s="91" t="s">
        <v>987</v>
      </c>
      <c r="H113" s="79"/>
      <c r="I113" s="80">
        <v>0.45300000000000001</v>
      </c>
      <c r="J113" s="81">
        <v>995</v>
      </c>
      <c r="K113" s="81">
        <f t="shared" si="22"/>
        <v>450.73500000000001</v>
      </c>
      <c r="L113" s="79"/>
      <c r="M113" s="79"/>
    </row>
    <row r="114" spans="1:13" s="107" customFormat="1" ht="14.1" customHeight="1">
      <c r="A114" s="497"/>
      <c r="B114" s="497"/>
      <c r="C114" s="497"/>
      <c r="D114" s="497"/>
      <c r="E114" s="497"/>
      <c r="F114" s="87"/>
      <c r="G114" s="497" t="s">
        <v>184</v>
      </c>
      <c r="H114" s="497"/>
      <c r="I114" s="80">
        <v>0.8</v>
      </c>
      <c r="J114" s="81">
        <v>336</v>
      </c>
      <c r="K114" s="94">
        <f t="shared" si="22"/>
        <v>268.8</v>
      </c>
      <c r="L114" s="79"/>
      <c r="M114" s="79"/>
    </row>
    <row r="115" spans="1:13" s="107" customFormat="1" ht="14.1" customHeight="1">
      <c r="A115" s="497"/>
      <c r="B115" s="497"/>
      <c r="C115" s="497"/>
      <c r="D115" s="497"/>
      <c r="E115" s="497"/>
      <c r="F115" s="87"/>
      <c r="G115" s="95" t="s">
        <v>185</v>
      </c>
      <c r="H115" s="79"/>
      <c r="I115" s="96">
        <v>0.16</v>
      </c>
      <c r="J115" s="81">
        <v>490</v>
      </c>
      <c r="K115" s="81">
        <f t="shared" si="22"/>
        <v>78.400000000000006</v>
      </c>
      <c r="L115" s="79"/>
      <c r="M115" s="79"/>
    </row>
    <row r="116" spans="1:13" s="107" customFormat="1" ht="14.1" customHeight="1">
      <c r="A116" s="497"/>
      <c r="B116" s="497"/>
      <c r="C116" s="497"/>
      <c r="D116" s="497"/>
      <c r="E116" s="497"/>
      <c r="F116" s="87"/>
      <c r="G116" s="95" t="s">
        <v>988</v>
      </c>
      <c r="H116" s="79"/>
      <c r="I116" s="96">
        <v>0.16</v>
      </c>
      <c r="J116" s="81">
        <v>395</v>
      </c>
      <c r="K116" s="81">
        <f t="shared" ref="K116" si="23">I116*J116</f>
        <v>63.2</v>
      </c>
      <c r="L116" s="79"/>
      <c r="M116" s="79"/>
    </row>
    <row r="117" spans="1:13" s="107" customFormat="1" ht="14.1" customHeight="1">
      <c r="A117" s="497"/>
      <c r="B117" s="497"/>
      <c r="C117" s="497"/>
      <c r="D117" s="497"/>
      <c r="E117" s="273" t="s">
        <v>9</v>
      </c>
      <c r="F117" s="108">
        <f>SUM(F111:F116)</f>
        <v>109.35999999999999</v>
      </c>
      <c r="G117" s="273"/>
      <c r="H117" s="273"/>
      <c r="I117" s="80"/>
      <c r="J117" s="81"/>
      <c r="K117" s="103">
        <f>SUM(K111:K116)</f>
        <v>2593.0870000000004</v>
      </c>
      <c r="L117" s="103">
        <f>K117/F117</f>
        <v>23.711475859546461</v>
      </c>
      <c r="M117" s="79"/>
    </row>
    <row r="118" spans="1:13" s="107" customFormat="1" ht="14.1" customHeight="1">
      <c r="A118" s="497">
        <v>9775</v>
      </c>
      <c r="B118" s="497" t="s">
        <v>985</v>
      </c>
      <c r="C118" s="497" t="s">
        <v>278</v>
      </c>
      <c r="D118" s="497" t="s">
        <v>790</v>
      </c>
      <c r="E118" s="497" t="s">
        <v>116</v>
      </c>
      <c r="F118" s="99">
        <f>100*1.0936</f>
        <v>109.35999999999999</v>
      </c>
      <c r="G118" s="498" t="s">
        <v>264</v>
      </c>
      <c r="H118" s="79"/>
      <c r="I118" s="80">
        <v>2.9000000000000001E-2</v>
      </c>
      <c r="J118" s="81">
        <v>3530</v>
      </c>
      <c r="K118" s="81">
        <f>I118*J118</f>
        <v>102.37</v>
      </c>
      <c r="L118" s="79"/>
      <c r="M118" s="79"/>
    </row>
    <row r="119" spans="1:13" s="107" customFormat="1" ht="14.1" customHeight="1">
      <c r="A119" s="497"/>
      <c r="B119" s="497"/>
      <c r="C119" s="497"/>
      <c r="D119" s="497"/>
      <c r="E119" s="497"/>
      <c r="F119" s="87"/>
      <c r="G119" s="498" t="s">
        <v>986</v>
      </c>
      <c r="H119" s="79"/>
      <c r="I119" s="80">
        <v>0.374</v>
      </c>
      <c r="J119" s="81">
        <v>1792</v>
      </c>
      <c r="K119" s="81">
        <f t="shared" ref="K119:K123" si="24">I119*J119</f>
        <v>670.20799999999997</v>
      </c>
      <c r="L119" s="79"/>
      <c r="M119" s="79"/>
    </row>
    <row r="120" spans="1:13" s="107" customFormat="1" ht="14.1" customHeight="1">
      <c r="A120" s="497"/>
      <c r="B120" s="497"/>
      <c r="C120" s="497"/>
      <c r="D120" s="497"/>
      <c r="E120" s="497"/>
      <c r="F120" s="87"/>
      <c r="G120" s="498" t="s">
        <v>989</v>
      </c>
      <c r="H120" s="79"/>
      <c r="I120" s="80">
        <v>1.2</v>
      </c>
      <c r="J120" s="81">
        <v>3250</v>
      </c>
      <c r="K120" s="81">
        <f t="shared" si="24"/>
        <v>3900</v>
      </c>
      <c r="L120" s="79"/>
      <c r="M120" s="79"/>
    </row>
    <row r="121" spans="1:13" s="107" customFormat="1" ht="14.1" customHeight="1">
      <c r="A121" s="497"/>
      <c r="B121" s="497"/>
      <c r="C121" s="497"/>
      <c r="D121" s="497"/>
      <c r="E121" s="497"/>
      <c r="F121" s="87"/>
      <c r="G121" s="497" t="s">
        <v>184</v>
      </c>
      <c r="H121" s="497"/>
      <c r="I121" s="80">
        <v>0.8</v>
      </c>
      <c r="J121" s="81">
        <v>336</v>
      </c>
      <c r="K121" s="94">
        <f t="shared" si="24"/>
        <v>268.8</v>
      </c>
      <c r="L121" s="79"/>
      <c r="M121" s="79"/>
    </row>
    <row r="122" spans="1:13" s="107" customFormat="1" ht="14.1" customHeight="1">
      <c r="A122" s="497"/>
      <c r="B122" s="497"/>
      <c r="C122" s="497"/>
      <c r="D122" s="497"/>
      <c r="E122" s="497"/>
      <c r="F122" s="87"/>
      <c r="G122" s="95" t="s">
        <v>185</v>
      </c>
      <c r="H122" s="79"/>
      <c r="I122" s="96">
        <v>0.16</v>
      </c>
      <c r="J122" s="81">
        <v>490</v>
      </c>
      <c r="K122" s="81">
        <f t="shared" si="24"/>
        <v>78.400000000000006</v>
      </c>
      <c r="L122" s="79"/>
      <c r="M122" s="79"/>
    </row>
    <row r="123" spans="1:13" s="107" customFormat="1" ht="14.1" customHeight="1">
      <c r="A123" s="497"/>
      <c r="B123" s="497"/>
      <c r="C123" s="497"/>
      <c r="D123" s="497"/>
      <c r="E123" s="497"/>
      <c r="F123" s="87"/>
      <c r="G123" s="95" t="s">
        <v>988</v>
      </c>
      <c r="H123" s="79"/>
      <c r="I123" s="96">
        <v>0.16</v>
      </c>
      <c r="J123" s="81">
        <v>395</v>
      </c>
      <c r="K123" s="81">
        <f t="shared" si="24"/>
        <v>63.2</v>
      </c>
      <c r="L123" s="79"/>
      <c r="M123" s="79"/>
    </row>
    <row r="124" spans="1:13" s="107" customFormat="1" ht="14.1" customHeight="1">
      <c r="A124" s="497"/>
      <c r="B124" s="497"/>
      <c r="C124" s="497"/>
      <c r="D124" s="497"/>
      <c r="E124" s="273" t="s">
        <v>9</v>
      </c>
      <c r="F124" s="108">
        <f>SUM(F118:F123)</f>
        <v>109.35999999999999</v>
      </c>
      <c r="G124" s="273"/>
      <c r="H124" s="273"/>
      <c r="I124" s="80"/>
      <c r="J124" s="81"/>
      <c r="K124" s="103">
        <f>SUM(K118:K123)</f>
        <v>5082.9779999999992</v>
      </c>
      <c r="L124" s="103">
        <f>K124/F124</f>
        <v>46.479316020482806</v>
      </c>
      <c r="M124" s="79"/>
    </row>
    <row r="125" spans="1:13" s="107" customFormat="1" ht="14.1" customHeight="1">
      <c r="A125" s="497">
        <v>9778</v>
      </c>
      <c r="B125" s="497" t="s">
        <v>990</v>
      </c>
      <c r="C125" s="89" t="s">
        <v>766</v>
      </c>
      <c r="D125" s="89" t="s">
        <v>465</v>
      </c>
      <c r="E125" s="497" t="s">
        <v>232</v>
      </c>
      <c r="F125" s="99">
        <f>4300*1.0936</f>
        <v>4702.4799999999996</v>
      </c>
      <c r="G125" s="498" t="s">
        <v>314</v>
      </c>
      <c r="H125" s="79"/>
      <c r="I125" s="81">
        <f>0.75+0.26</f>
        <v>1.01</v>
      </c>
      <c r="J125" s="81">
        <v>1695</v>
      </c>
      <c r="K125" s="81">
        <f>I125*J125</f>
        <v>1711.95</v>
      </c>
      <c r="L125" s="79"/>
      <c r="M125" s="79"/>
    </row>
    <row r="126" spans="1:13" s="107" customFormat="1" ht="14.1" customHeight="1">
      <c r="A126" s="497"/>
      <c r="B126" s="497"/>
      <c r="C126" s="497"/>
      <c r="D126" s="497"/>
      <c r="E126" s="497"/>
      <c r="F126" s="87"/>
      <c r="G126" s="91" t="s">
        <v>192</v>
      </c>
      <c r="H126" s="79"/>
      <c r="I126" s="80">
        <f>1.25+0.76</f>
        <v>2.0099999999999998</v>
      </c>
      <c r="J126" s="81">
        <v>1126</v>
      </c>
      <c r="K126" s="81">
        <f t="shared" ref="K126:K130" si="25">I126*J126</f>
        <v>2263.2599999999998</v>
      </c>
      <c r="L126" s="79"/>
      <c r="M126" s="79"/>
    </row>
    <row r="127" spans="1:13" s="107" customFormat="1" ht="14.1" customHeight="1">
      <c r="A127" s="497"/>
      <c r="B127" s="497"/>
      <c r="C127" s="497"/>
      <c r="D127" s="497"/>
      <c r="E127" s="497"/>
      <c r="F127" s="87"/>
      <c r="G127" s="91" t="s">
        <v>193</v>
      </c>
      <c r="H127" s="79"/>
      <c r="I127" s="80">
        <f>4+1.06</f>
        <v>5.0600000000000005</v>
      </c>
      <c r="J127" s="81">
        <v>1150</v>
      </c>
      <c r="K127" s="81">
        <f t="shared" si="25"/>
        <v>5819.0000000000009</v>
      </c>
      <c r="L127" s="79"/>
      <c r="M127" s="79"/>
    </row>
    <row r="128" spans="1:13" s="107" customFormat="1" ht="14.1" customHeight="1">
      <c r="A128" s="497"/>
      <c r="B128" s="497"/>
      <c r="C128" s="497"/>
      <c r="D128" s="497"/>
      <c r="E128" s="497"/>
      <c r="F128" s="87"/>
      <c r="G128" s="91" t="s">
        <v>199</v>
      </c>
      <c r="H128" s="79"/>
      <c r="I128" s="80">
        <f>18.5+8.14</f>
        <v>26.64</v>
      </c>
      <c r="J128" s="81">
        <v>530</v>
      </c>
      <c r="K128" s="81">
        <f t="shared" si="25"/>
        <v>14119.2</v>
      </c>
      <c r="L128" s="79"/>
      <c r="M128" s="79"/>
    </row>
    <row r="129" spans="1:14" s="107" customFormat="1" ht="14.1" customHeight="1">
      <c r="A129" s="497"/>
      <c r="B129" s="497"/>
      <c r="C129" s="497"/>
      <c r="D129" s="497"/>
      <c r="E129" s="497"/>
      <c r="F129" s="87"/>
      <c r="G129" s="497" t="s">
        <v>184</v>
      </c>
      <c r="H129" s="497"/>
      <c r="I129" s="80">
        <f>5+2</f>
        <v>7</v>
      </c>
      <c r="J129" s="81">
        <v>336</v>
      </c>
      <c r="K129" s="94">
        <f t="shared" si="25"/>
        <v>2352</v>
      </c>
      <c r="L129" s="79"/>
      <c r="M129" s="79"/>
    </row>
    <row r="130" spans="1:14" s="107" customFormat="1" ht="14.1" customHeight="1">
      <c r="A130" s="497"/>
      <c r="B130" s="497"/>
      <c r="C130" s="497"/>
      <c r="D130" s="497"/>
      <c r="E130" s="497"/>
      <c r="F130" s="87"/>
      <c r="G130" s="95" t="s">
        <v>185</v>
      </c>
      <c r="H130" s="79"/>
      <c r="I130" s="96">
        <f>1+0.4</f>
        <v>1.4</v>
      </c>
      <c r="J130" s="81">
        <v>490</v>
      </c>
      <c r="K130" s="81">
        <f t="shared" si="25"/>
        <v>686</v>
      </c>
      <c r="L130" s="79"/>
      <c r="M130" s="79"/>
    </row>
    <row r="131" spans="1:14" s="107" customFormat="1" ht="14.1" customHeight="1">
      <c r="A131" s="497"/>
      <c r="B131" s="497"/>
      <c r="C131" s="497"/>
      <c r="D131" s="497"/>
      <c r="E131" s="273" t="s">
        <v>9</v>
      </c>
      <c r="F131" s="108">
        <f>SUM(F125:F130)</f>
        <v>4702.4799999999996</v>
      </c>
      <c r="G131" s="273"/>
      <c r="H131" s="273"/>
      <c r="I131" s="80"/>
      <c r="J131" s="81"/>
      <c r="K131" s="103">
        <f>SUM(K125:K130)</f>
        <v>26951.410000000003</v>
      </c>
      <c r="L131" s="103">
        <f>K131/F131</f>
        <v>5.7313183681801956</v>
      </c>
      <c r="M131" s="79"/>
    </row>
    <row r="132" spans="1:14" s="107" customFormat="1" ht="14.1" customHeight="1">
      <c r="A132" s="497"/>
      <c r="B132" s="497" t="s">
        <v>991</v>
      </c>
      <c r="C132" s="497" t="s">
        <v>992</v>
      </c>
      <c r="D132" s="497" t="s">
        <v>993</v>
      </c>
      <c r="E132" s="497" t="s">
        <v>994</v>
      </c>
      <c r="F132" s="99">
        <f>1300*1.0936</f>
        <v>1421.6799999999998</v>
      </c>
      <c r="G132" s="91" t="s">
        <v>281</v>
      </c>
      <c r="H132" s="79"/>
      <c r="I132" s="80">
        <v>0.625</v>
      </c>
      <c r="J132" s="81">
        <v>1035</v>
      </c>
      <c r="K132" s="81">
        <f t="shared" ref="K132:K136" si="26">I132*J132</f>
        <v>646.875</v>
      </c>
      <c r="L132" s="79"/>
      <c r="M132" s="79"/>
    </row>
    <row r="133" spans="1:14" s="107" customFormat="1" ht="14.1" customHeight="1">
      <c r="A133" s="497"/>
      <c r="B133" s="497"/>
      <c r="C133" s="497"/>
      <c r="D133" s="497"/>
      <c r="E133" s="273"/>
      <c r="F133" s="108"/>
      <c r="G133" s="91" t="s">
        <v>282</v>
      </c>
      <c r="H133" s="79"/>
      <c r="I133" s="80">
        <v>1.875</v>
      </c>
      <c r="J133" s="81">
        <v>840</v>
      </c>
      <c r="K133" s="81">
        <f t="shared" si="26"/>
        <v>1575</v>
      </c>
      <c r="L133" s="79"/>
      <c r="M133" s="79"/>
    </row>
    <row r="134" spans="1:14" s="107" customFormat="1" ht="14.1" customHeight="1">
      <c r="A134" s="497"/>
      <c r="B134" s="497"/>
      <c r="C134" s="497"/>
      <c r="D134" s="497"/>
      <c r="E134" s="273"/>
      <c r="F134" s="108"/>
      <c r="G134" s="498" t="s">
        <v>472</v>
      </c>
      <c r="H134" s="79"/>
      <c r="I134" s="80">
        <v>4.375</v>
      </c>
      <c r="J134" s="81">
        <v>904</v>
      </c>
      <c r="K134" s="81">
        <f t="shared" si="26"/>
        <v>3955</v>
      </c>
      <c r="L134" s="79"/>
      <c r="M134" s="79"/>
    </row>
    <row r="135" spans="1:14" s="107" customFormat="1" ht="14.1" customHeight="1">
      <c r="A135" s="497"/>
      <c r="B135" s="497"/>
      <c r="C135" s="497"/>
      <c r="D135" s="497"/>
      <c r="E135" s="273"/>
      <c r="F135" s="108"/>
      <c r="G135" s="497" t="s">
        <v>28</v>
      </c>
      <c r="H135" s="79"/>
      <c r="I135" s="80">
        <v>5</v>
      </c>
      <c r="J135" s="81">
        <v>17</v>
      </c>
      <c r="K135" s="81">
        <f t="shared" si="26"/>
        <v>85</v>
      </c>
      <c r="L135" s="103"/>
      <c r="M135" s="79"/>
    </row>
    <row r="136" spans="1:14" s="107" customFormat="1" ht="14.1" customHeight="1">
      <c r="A136" s="497"/>
      <c r="B136" s="497"/>
      <c r="C136" s="497"/>
      <c r="D136" s="497"/>
      <c r="E136" s="273"/>
      <c r="F136" s="108"/>
      <c r="G136" s="95" t="s">
        <v>899</v>
      </c>
      <c r="H136" s="79"/>
      <c r="I136" s="80">
        <v>2</v>
      </c>
      <c r="J136" s="81">
        <v>65</v>
      </c>
      <c r="K136" s="81">
        <f t="shared" si="26"/>
        <v>130</v>
      </c>
      <c r="L136" s="103"/>
      <c r="M136" s="79"/>
    </row>
    <row r="137" spans="1:14" s="107" customFormat="1" ht="14.1" customHeight="1">
      <c r="A137" s="497"/>
      <c r="B137" s="497"/>
      <c r="C137" s="497"/>
      <c r="D137" s="497"/>
      <c r="E137" s="273" t="s">
        <v>9</v>
      </c>
      <c r="F137" s="108">
        <f>SUM(F132:F136)</f>
        <v>1421.6799999999998</v>
      </c>
      <c r="G137" s="273"/>
      <c r="H137" s="273"/>
      <c r="I137" s="80"/>
      <c r="J137" s="81"/>
      <c r="K137" s="103">
        <f>SUM(K132:K136)</f>
        <v>6391.875</v>
      </c>
      <c r="L137" s="103">
        <f>K137/F137</f>
        <v>4.4960012098362503</v>
      </c>
      <c r="M137" s="79"/>
    </row>
    <row r="138" spans="1:14" s="71" customFormat="1" ht="14.1" customHeight="1">
      <c r="A138" s="495"/>
      <c r="B138" s="495"/>
      <c r="C138" s="495"/>
      <c r="D138" s="126" t="s">
        <v>30</v>
      </c>
      <c r="E138" s="126"/>
      <c r="F138" s="127">
        <f>F61+F67+F73+F79+F85+F92+F98+F104+F110+F117+F124+F131+F137</f>
        <v>6621.7479999999996</v>
      </c>
      <c r="G138" s="128"/>
      <c r="H138" s="128"/>
      <c r="I138" s="128"/>
      <c r="J138" s="128"/>
      <c r="K138" s="127">
        <f>K61+K67+K73+K79+K85+K92+K98+K104+K110+K117+K124+K131+K137</f>
        <v>55959.948000000004</v>
      </c>
      <c r="L138" s="129">
        <f>K138/F138</f>
        <v>8.4509328956644083</v>
      </c>
      <c r="M138" s="131"/>
    </row>
    <row r="139" spans="1:14" s="71" customFormat="1" ht="13.5" customHeight="1">
      <c r="A139" s="70" t="s">
        <v>40</v>
      </c>
      <c r="B139" s="70"/>
      <c r="C139" s="70"/>
      <c r="D139" s="70"/>
      <c r="E139" s="70"/>
      <c r="I139" s="140"/>
      <c r="K139" s="824" t="s">
        <v>970</v>
      </c>
      <c r="L139" s="824"/>
      <c r="M139" s="824"/>
    </row>
    <row r="140" spans="1:14" s="71" customFormat="1" ht="13.5" customHeight="1">
      <c r="A140" s="274" t="s">
        <v>0</v>
      </c>
      <c r="B140" s="274" t="s">
        <v>7</v>
      </c>
      <c r="C140" s="274" t="s">
        <v>13</v>
      </c>
      <c r="D140" s="274" t="s">
        <v>14</v>
      </c>
      <c r="E140" s="274" t="s">
        <v>8</v>
      </c>
      <c r="F140" s="274" t="s">
        <v>1</v>
      </c>
      <c r="G140" s="274" t="s">
        <v>2</v>
      </c>
      <c r="H140" s="274" t="s">
        <v>15</v>
      </c>
      <c r="I140" s="141" t="s">
        <v>3</v>
      </c>
      <c r="J140" s="274" t="s">
        <v>4</v>
      </c>
      <c r="K140" s="274" t="s">
        <v>5</v>
      </c>
      <c r="L140" s="274" t="s">
        <v>12</v>
      </c>
      <c r="M140" s="274" t="s">
        <v>6</v>
      </c>
      <c r="N140" s="123"/>
    </row>
    <row r="141" spans="1:14" s="71" customFormat="1" ht="13.5" customHeight="1">
      <c r="A141" s="428">
        <v>7686</v>
      </c>
      <c r="B141" s="434" t="s">
        <v>963</v>
      </c>
      <c r="C141" s="434" t="s">
        <v>937</v>
      </c>
      <c r="D141" s="434" t="s">
        <v>939</v>
      </c>
      <c r="E141" s="89" t="s">
        <v>964</v>
      </c>
      <c r="F141" s="87">
        <f>2890*1.0936</f>
        <v>3160.5039999999999</v>
      </c>
      <c r="G141" s="505" t="s">
        <v>27</v>
      </c>
      <c r="H141" s="79"/>
      <c r="I141" s="80">
        <v>425</v>
      </c>
      <c r="J141" s="81">
        <v>22</v>
      </c>
      <c r="K141" s="81">
        <f t="shared" ref="K141:K143" si="27">I141*J141</f>
        <v>9350</v>
      </c>
      <c r="L141" s="428"/>
      <c r="M141" s="428"/>
      <c r="N141" s="424"/>
    </row>
    <row r="142" spans="1:14" s="71" customFormat="1" ht="13.5" customHeight="1">
      <c r="A142" s="428"/>
      <c r="B142" s="448"/>
      <c r="C142" s="447"/>
      <c r="D142" s="447"/>
      <c r="E142" s="428"/>
      <c r="F142" s="446"/>
      <c r="G142" s="506" t="s">
        <v>49</v>
      </c>
      <c r="H142" s="79"/>
      <c r="I142" s="80">
        <v>34</v>
      </c>
      <c r="J142" s="81">
        <v>34</v>
      </c>
      <c r="K142" s="81">
        <f t="shared" si="27"/>
        <v>1156</v>
      </c>
      <c r="L142" s="428"/>
      <c r="M142" s="428"/>
      <c r="N142" s="424"/>
    </row>
    <row r="143" spans="1:14" s="71" customFormat="1" ht="13.5" customHeight="1">
      <c r="A143" s="428"/>
      <c r="B143" s="428"/>
      <c r="C143" s="428"/>
      <c r="D143" s="428"/>
      <c r="E143" s="428"/>
      <c r="F143" s="428"/>
      <c r="G143" s="505" t="s">
        <v>19</v>
      </c>
      <c r="H143" s="79"/>
      <c r="I143" s="80">
        <v>10.199999999999999</v>
      </c>
      <c r="J143" s="81">
        <v>74</v>
      </c>
      <c r="K143" s="81">
        <f t="shared" si="27"/>
        <v>754.8</v>
      </c>
      <c r="L143" s="428"/>
      <c r="M143" s="428"/>
      <c r="N143" s="424"/>
    </row>
    <row r="144" spans="1:14" s="71" customFormat="1" ht="13.5" customHeight="1">
      <c r="A144" s="428"/>
      <c r="B144" s="428"/>
      <c r="C144" s="428"/>
      <c r="D144" s="428"/>
      <c r="E144" s="274" t="s">
        <v>9</v>
      </c>
      <c r="F144" s="110">
        <f>SUM(F141:F143)</f>
        <v>3160.5039999999999</v>
      </c>
      <c r="G144" s="273"/>
      <c r="H144" s="273"/>
      <c r="I144" s="80"/>
      <c r="J144" s="81"/>
      <c r="K144" s="103">
        <f>SUM(K141:K143)</f>
        <v>11260.8</v>
      </c>
      <c r="L144" s="111">
        <f>K144/F144</f>
        <v>3.5629760316708978</v>
      </c>
      <c r="M144" s="102"/>
    </row>
    <row r="145" spans="1:14" s="71" customFormat="1" ht="13.5" customHeight="1">
      <c r="A145" s="428">
        <v>7671</v>
      </c>
      <c r="B145" s="434" t="s">
        <v>875</v>
      </c>
      <c r="C145" s="434" t="s">
        <v>233</v>
      </c>
      <c r="D145" s="89" t="s">
        <v>905</v>
      </c>
      <c r="E145" s="434" t="s">
        <v>876</v>
      </c>
      <c r="F145" s="87">
        <f>5540*1.0936</f>
        <v>6058.5439999999999</v>
      </c>
      <c r="G145" s="505" t="s">
        <v>27</v>
      </c>
      <c r="H145" s="79"/>
      <c r="I145" s="80">
        <v>305</v>
      </c>
      <c r="J145" s="81">
        <v>22</v>
      </c>
      <c r="K145" s="81">
        <f t="shared" ref="K145:K147" si="28">I145*J145</f>
        <v>6710</v>
      </c>
      <c r="L145" s="428"/>
      <c r="M145" s="428"/>
      <c r="N145" s="424"/>
    </row>
    <row r="146" spans="1:14" s="71" customFormat="1" ht="13.5" customHeight="1">
      <c r="A146" s="428"/>
      <c r="B146" s="428"/>
      <c r="C146" s="428"/>
      <c r="D146" s="428"/>
      <c r="E146" s="428"/>
      <c r="F146" s="428"/>
      <c r="G146" s="506" t="s">
        <v>49</v>
      </c>
      <c r="H146" s="79"/>
      <c r="I146" s="80">
        <v>25</v>
      </c>
      <c r="J146" s="81">
        <v>34</v>
      </c>
      <c r="K146" s="81">
        <f t="shared" si="28"/>
        <v>850</v>
      </c>
      <c r="L146" s="428"/>
      <c r="M146" s="428"/>
      <c r="N146" s="424"/>
    </row>
    <row r="147" spans="1:14" s="71" customFormat="1" ht="13.5" customHeight="1">
      <c r="A147" s="428"/>
      <c r="B147" s="428"/>
      <c r="C147" s="428"/>
      <c r="D147" s="428"/>
      <c r="E147" s="428"/>
      <c r="F147" s="428"/>
      <c r="G147" s="505" t="s">
        <v>19</v>
      </c>
      <c r="H147" s="79"/>
      <c r="I147" s="80">
        <v>7.5</v>
      </c>
      <c r="J147" s="81">
        <v>74</v>
      </c>
      <c r="K147" s="81">
        <f t="shared" si="28"/>
        <v>555</v>
      </c>
      <c r="L147" s="428"/>
      <c r="M147" s="428"/>
      <c r="N147" s="424"/>
    </row>
    <row r="148" spans="1:14" s="71" customFormat="1" ht="13.5" customHeight="1">
      <c r="A148" s="428"/>
      <c r="B148" s="428"/>
      <c r="C148" s="428"/>
      <c r="D148" s="428"/>
      <c r="E148" s="274" t="s">
        <v>9</v>
      </c>
      <c r="F148" s="110">
        <f>SUM(F145:F147)</f>
        <v>6058.5439999999999</v>
      </c>
      <c r="G148" s="273"/>
      <c r="H148" s="273"/>
      <c r="I148" s="80"/>
      <c r="J148" s="81"/>
      <c r="K148" s="103">
        <f>SUM(K145:K147)</f>
        <v>8115</v>
      </c>
      <c r="L148" s="111">
        <f>K148/F148</f>
        <v>1.3394307279108644</v>
      </c>
      <c r="M148" s="102"/>
    </row>
    <row r="149" spans="1:14" s="71" customFormat="1" ht="13.5" customHeight="1">
      <c r="A149" s="428">
        <v>7694</v>
      </c>
      <c r="B149" s="434" t="s">
        <v>991</v>
      </c>
      <c r="C149" s="434" t="s">
        <v>992</v>
      </c>
      <c r="D149" s="434" t="s">
        <v>993</v>
      </c>
      <c r="E149" s="434" t="s">
        <v>994</v>
      </c>
      <c r="F149" s="99">
        <f>1300*1.0936</f>
        <v>1421.6799999999998</v>
      </c>
      <c r="G149" s="505" t="s">
        <v>28</v>
      </c>
      <c r="H149" s="79"/>
      <c r="I149" s="80">
        <v>3.75</v>
      </c>
      <c r="J149" s="81">
        <v>17</v>
      </c>
      <c r="K149" s="81">
        <f t="shared" ref="K149" si="29">I149*J149</f>
        <v>63.75</v>
      </c>
      <c r="L149" s="111"/>
      <c r="M149" s="102"/>
    </row>
    <row r="150" spans="1:14" s="71" customFormat="1" ht="13.5" customHeight="1">
      <c r="A150" s="428"/>
      <c r="B150" s="428"/>
      <c r="C150" s="428"/>
      <c r="D150" s="428"/>
      <c r="E150" s="428"/>
      <c r="F150" s="98"/>
      <c r="G150" s="506" t="s">
        <v>49</v>
      </c>
      <c r="H150" s="79"/>
      <c r="I150" s="80">
        <v>2.5</v>
      </c>
      <c r="J150" s="81">
        <v>34</v>
      </c>
      <c r="K150" s="81">
        <f t="shared" ref="K150:K152" si="30">I150*J150</f>
        <v>85</v>
      </c>
      <c r="L150" s="111"/>
      <c r="M150" s="102"/>
    </row>
    <row r="151" spans="1:14" s="71" customFormat="1" ht="13.5" customHeight="1">
      <c r="A151" s="428"/>
      <c r="B151" s="428"/>
      <c r="C151" s="428"/>
      <c r="D151" s="428"/>
      <c r="E151" s="428"/>
      <c r="F151" s="98"/>
      <c r="G151" s="505" t="s">
        <v>19</v>
      </c>
      <c r="H151" s="79"/>
      <c r="I151" s="80">
        <v>1.875</v>
      </c>
      <c r="J151" s="81">
        <v>74</v>
      </c>
      <c r="K151" s="81">
        <f t="shared" si="30"/>
        <v>138.75</v>
      </c>
      <c r="L151" s="111"/>
      <c r="M151" s="102"/>
    </row>
    <row r="152" spans="1:14" s="71" customFormat="1" ht="13.5" customHeight="1">
      <c r="A152" s="433"/>
      <c r="B152" s="433"/>
      <c r="C152" s="433"/>
      <c r="D152" s="433"/>
      <c r="E152" s="433"/>
      <c r="F152" s="98"/>
      <c r="G152" s="95" t="s">
        <v>185</v>
      </c>
      <c r="H152" s="79"/>
      <c r="I152" s="96">
        <v>0.25</v>
      </c>
      <c r="J152" s="81">
        <v>490</v>
      </c>
      <c r="K152" s="81">
        <f t="shared" si="30"/>
        <v>122.5</v>
      </c>
      <c r="L152" s="111"/>
      <c r="M152" s="102"/>
    </row>
    <row r="153" spans="1:14" s="71" customFormat="1" ht="13.5" customHeight="1">
      <c r="A153" s="428"/>
      <c r="B153" s="428"/>
      <c r="C153" s="428"/>
      <c r="D153" s="428"/>
      <c r="E153" s="274" t="s">
        <v>9</v>
      </c>
      <c r="F153" s="110">
        <f>SUM(F149:F152)</f>
        <v>1421.6799999999998</v>
      </c>
      <c r="G153" s="273"/>
      <c r="H153" s="273"/>
      <c r="I153" s="80"/>
      <c r="J153" s="81"/>
      <c r="K153" s="103">
        <f>SUM(K149:K152)</f>
        <v>410</v>
      </c>
      <c r="L153" s="111">
        <f>K153/F153</f>
        <v>0.28839119914467393</v>
      </c>
      <c r="M153" s="102"/>
    </row>
    <row r="154" spans="1:14" s="71" customFormat="1" ht="13.5" customHeight="1">
      <c r="A154" s="428">
        <v>7698</v>
      </c>
      <c r="B154" s="434" t="s">
        <v>996</v>
      </c>
      <c r="C154" s="89" t="s">
        <v>766</v>
      </c>
      <c r="D154" s="89" t="s">
        <v>465</v>
      </c>
      <c r="E154" s="434" t="s">
        <v>694</v>
      </c>
      <c r="F154" s="446">
        <f>200*1.0936</f>
        <v>218.71999999999997</v>
      </c>
      <c r="G154" s="505" t="s">
        <v>27</v>
      </c>
      <c r="H154" s="79"/>
      <c r="I154" s="80">
        <v>18</v>
      </c>
      <c r="J154" s="81">
        <v>22</v>
      </c>
      <c r="K154" s="81">
        <f t="shared" ref="K154:K156" si="31">I154*J154</f>
        <v>396</v>
      </c>
      <c r="L154" s="428"/>
      <c r="M154" s="428"/>
      <c r="N154" s="424"/>
    </row>
    <row r="155" spans="1:14" s="71" customFormat="1" ht="13.5" customHeight="1">
      <c r="A155" s="428"/>
      <c r="B155" s="428"/>
      <c r="C155" s="428"/>
      <c r="D155" s="428"/>
      <c r="E155" s="428"/>
      <c r="F155" s="98"/>
      <c r="G155" s="506" t="s">
        <v>49</v>
      </c>
      <c r="H155" s="79"/>
      <c r="I155" s="80">
        <v>2.4</v>
      </c>
      <c r="J155" s="81">
        <v>34</v>
      </c>
      <c r="K155" s="81">
        <f t="shared" si="31"/>
        <v>81.599999999999994</v>
      </c>
      <c r="L155" s="428"/>
      <c r="M155" s="428"/>
      <c r="N155" s="424"/>
    </row>
    <row r="156" spans="1:14" s="71" customFormat="1" ht="13.5" customHeight="1">
      <c r="A156" s="428"/>
      <c r="B156" s="428"/>
      <c r="C156" s="428"/>
      <c r="D156" s="428"/>
      <c r="E156" s="428"/>
      <c r="F156" s="98"/>
      <c r="G156" s="505" t="s">
        <v>19</v>
      </c>
      <c r="H156" s="79"/>
      <c r="I156" s="80">
        <v>0.72</v>
      </c>
      <c r="J156" s="81">
        <v>74</v>
      </c>
      <c r="K156" s="81">
        <f t="shared" si="31"/>
        <v>53.28</v>
      </c>
      <c r="L156" s="428"/>
      <c r="M156" s="428"/>
      <c r="N156" s="424"/>
    </row>
    <row r="157" spans="1:14" s="71" customFormat="1" ht="13.5" customHeight="1">
      <c r="A157" s="433"/>
      <c r="B157" s="433"/>
      <c r="C157" s="433"/>
      <c r="D157" s="433"/>
      <c r="E157" s="274" t="s">
        <v>9</v>
      </c>
      <c r="F157" s="110">
        <f>SUM(F154:F156)</f>
        <v>218.71999999999997</v>
      </c>
      <c r="G157" s="273"/>
      <c r="H157" s="273"/>
      <c r="I157" s="80"/>
      <c r="J157" s="81"/>
      <c r="K157" s="103">
        <f>SUM(K154:K156)</f>
        <v>530.88</v>
      </c>
      <c r="L157" s="111">
        <f>K157/F157</f>
        <v>2.4272128749085593</v>
      </c>
      <c r="M157" s="433"/>
      <c r="N157" s="432"/>
    </row>
    <row r="158" spans="1:14" s="71" customFormat="1" ht="13.5" customHeight="1">
      <c r="A158" s="433">
        <v>7688</v>
      </c>
      <c r="B158" s="433" t="s">
        <v>891</v>
      </c>
      <c r="C158" s="433" t="s">
        <v>121</v>
      </c>
      <c r="D158" s="433" t="s">
        <v>369</v>
      </c>
      <c r="E158" s="433" t="s">
        <v>811</v>
      </c>
      <c r="F158" s="446">
        <f>50*1.0936</f>
        <v>54.679999999999993</v>
      </c>
      <c r="G158" s="505" t="s">
        <v>27</v>
      </c>
      <c r="H158" s="79"/>
      <c r="I158" s="80">
        <v>12.5</v>
      </c>
      <c r="J158" s="81">
        <v>22</v>
      </c>
      <c r="K158" s="81">
        <f t="shared" ref="K158:K160" si="32">I158*J158</f>
        <v>275</v>
      </c>
      <c r="L158" s="433"/>
      <c r="M158" s="433"/>
      <c r="N158" s="432"/>
    </row>
    <row r="159" spans="1:14" s="71" customFormat="1" ht="13.5" customHeight="1">
      <c r="A159" s="433"/>
      <c r="B159" s="433" t="s">
        <v>891</v>
      </c>
      <c r="C159" s="433" t="s">
        <v>121</v>
      </c>
      <c r="D159" s="433" t="s">
        <v>120</v>
      </c>
      <c r="E159" s="433" t="s">
        <v>971</v>
      </c>
      <c r="F159" s="446">
        <f>50*1.0936</f>
        <v>54.679999999999993</v>
      </c>
      <c r="G159" s="506" t="s">
        <v>49</v>
      </c>
      <c r="H159" s="79"/>
      <c r="I159" s="80">
        <v>1</v>
      </c>
      <c r="J159" s="81">
        <v>34</v>
      </c>
      <c r="K159" s="81">
        <f t="shared" si="32"/>
        <v>34</v>
      </c>
      <c r="L159" s="433"/>
      <c r="M159" s="433"/>
      <c r="N159" s="432"/>
    </row>
    <row r="160" spans="1:14" s="71" customFormat="1" ht="13.5" customHeight="1">
      <c r="A160" s="433"/>
      <c r="B160" s="433"/>
      <c r="C160" s="433"/>
      <c r="D160" s="433"/>
      <c r="E160" s="433"/>
      <c r="F160" s="98"/>
      <c r="G160" s="505" t="s">
        <v>19</v>
      </c>
      <c r="H160" s="79"/>
      <c r="I160" s="80">
        <v>0.3</v>
      </c>
      <c r="J160" s="81">
        <v>74</v>
      </c>
      <c r="K160" s="81">
        <f t="shared" si="32"/>
        <v>22.2</v>
      </c>
      <c r="L160" s="433"/>
      <c r="M160" s="433"/>
      <c r="N160" s="432"/>
    </row>
    <row r="161" spans="1:14" s="71" customFormat="1" ht="13.5" customHeight="1">
      <c r="A161" s="433"/>
      <c r="B161" s="433"/>
      <c r="C161" s="433"/>
      <c r="D161" s="433"/>
      <c r="E161" s="274" t="s">
        <v>9</v>
      </c>
      <c r="F161" s="110">
        <f>SUM(F158:F160)</f>
        <v>109.35999999999999</v>
      </c>
      <c r="G161" s="273"/>
      <c r="H161" s="273"/>
      <c r="I161" s="80"/>
      <c r="J161" s="81"/>
      <c r="K161" s="103">
        <f>SUM(K158:K160)</f>
        <v>331.2</v>
      </c>
      <c r="L161" s="111">
        <f>K161/F161</f>
        <v>3.0285296269202635</v>
      </c>
      <c r="M161" s="433"/>
      <c r="N161" s="432"/>
    </row>
    <row r="162" spans="1:14" s="71" customFormat="1" ht="13.5" customHeight="1">
      <c r="A162" s="425"/>
      <c r="B162" s="425"/>
      <c r="C162" s="425"/>
      <c r="D162" s="126" t="s">
        <v>30</v>
      </c>
      <c r="E162" s="142"/>
      <c r="F162" s="127">
        <f>F144+F148+F153+F157+F161</f>
        <v>10968.807999999999</v>
      </c>
      <c r="G162" s="128"/>
      <c r="H162" s="128"/>
      <c r="I162" s="128"/>
      <c r="J162" s="128"/>
      <c r="K162" s="127">
        <f>K144+K148+K153+K157+K161</f>
        <v>20647.88</v>
      </c>
      <c r="L162" s="129">
        <f>K162/F162</f>
        <v>1.8824178525141477</v>
      </c>
      <c r="M162" s="131"/>
    </row>
    <row r="163" spans="1:14" s="71" customFormat="1" ht="13.5" customHeight="1">
      <c r="A163" s="70" t="s">
        <v>11</v>
      </c>
      <c r="B163" s="70"/>
      <c r="C163" s="70"/>
      <c r="D163" s="70"/>
      <c r="E163" s="70"/>
      <c r="K163" s="824" t="s">
        <v>970</v>
      </c>
      <c r="L163" s="824"/>
      <c r="M163" s="824"/>
    </row>
    <row r="164" spans="1:14" s="71" customFormat="1" ht="13.5" customHeight="1">
      <c r="A164" s="274" t="s">
        <v>0</v>
      </c>
      <c r="B164" s="274" t="s">
        <v>7</v>
      </c>
      <c r="C164" s="274" t="s">
        <v>13</v>
      </c>
      <c r="D164" s="274" t="s">
        <v>14</v>
      </c>
      <c r="E164" s="274" t="s">
        <v>8</v>
      </c>
      <c r="F164" s="274" t="s">
        <v>1</v>
      </c>
      <c r="G164" s="274" t="s">
        <v>2</v>
      </c>
      <c r="H164" s="274" t="s">
        <v>15</v>
      </c>
      <c r="I164" s="274" t="s">
        <v>3</v>
      </c>
      <c r="J164" s="274" t="s">
        <v>4</v>
      </c>
      <c r="K164" s="274" t="s">
        <v>5</v>
      </c>
      <c r="L164" s="274" t="s">
        <v>12</v>
      </c>
      <c r="M164" s="274" t="s">
        <v>6</v>
      </c>
      <c r="N164" s="123"/>
    </row>
    <row r="165" spans="1:14" s="71" customFormat="1" ht="13.5" customHeight="1">
      <c r="A165" s="433">
        <v>9724</v>
      </c>
      <c r="B165" s="433" t="s">
        <v>768</v>
      </c>
      <c r="C165" s="433" t="s">
        <v>121</v>
      </c>
      <c r="D165" s="433" t="s">
        <v>113</v>
      </c>
      <c r="E165" s="433" t="s">
        <v>232</v>
      </c>
      <c r="F165" s="446">
        <f>2650*1.0936</f>
        <v>2898.04</v>
      </c>
      <c r="G165" s="173" t="s">
        <v>298</v>
      </c>
      <c r="H165" s="79"/>
      <c r="I165" s="80">
        <v>7.5</v>
      </c>
      <c r="J165" s="81">
        <v>435</v>
      </c>
      <c r="K165" s="94">
        <f t="shared" ref="K165:K167" si="33">I165*J165</f>
        <v>3262.5</v>
      </c>
      <c r="L165" s="102"/>
      <c r="M165" s="102"/>
    </row>
    <row r="166" spans="1:14" s="71" customFormat="1" ht="13.5" customHeight="1">
      <c r="A166" s="428"/>
      <c r="B166" s="428"/>
      <c r="C166" s="428"/>
      <c r="D166" s="428"/>
      <c r="E166" s="428"/>
      <c r="F166" s="428"/>
      <c r="G166" s="435" t="s">
        <v>206</v>
      </c>
      <c r="H166" s="79"/>
      <c r="I166" s="81">
        <v>4.5</v>
      </c>
      <c r="J166" s="81">
        <v>375</v>
      </c>
      <c r="K166" s="81">
        <f t="shared" si="33"/>
        <v>1687.5</v>
      </c>
      <c r="L166" s="102"/>
      <c r="M166" s="102"/>
    </row>
    <row r="167" spans="1:14" s="71" customFormat="1" ht="13.5" customHeight="1">
      <c r="A167" s="428"/>
      <c r="B167" s="428"/>
      <c r="C167" s="428"/>
      <c r="D167" s="428"/>
      <c r="E167" s="428"/>
      <c r="F167" s="428"/>
      <c r="G167" s="95" t="s">
        <v>204</v>
      </c>
      <c r="H167" s="79"/>
      <c r="I167" s="81">
        <v>6</v>
      </c>
      <c r="J167" s="81">
        <v>375</v>
      </c>
      <c r="K167" s="81">
        <f t="shared" si="33"/>
        <v>2250</v>
      </c>
      <c r="L167" s="102"/>
      <c r="M167" s="102"/>
    </row>
    <row r="168" spans="1:14" s="71" customFormat="1" ht="13.5" customHeight="1">
      <c r="A168" s="428"/>
      <c r="B168" s="428"/>
      <c r="C168" s="428"/>
      <c r="D168" s="428"/>
      <c r="E168" s="274" t="s">
        <v>9</v>
      </c>
      <c r="F168" s="110">
        <f>SUM(F165:F167)</f>
        <v>2898.04</v>
      </c>
      <c r="G168" s="274"/>
      <c r="H168" s="274"/>
      <c r="I168" s="125"/>
      <c r="J168" s="97"/>
      <c r="K168" s="111">
        <f>SUM(K165:K167)</f>
        <v>7200</v>
      </c>
      <c r="L168" s="111">
        <f>K168/F168</f>
        <v>2.4844377579329477</v>
      </c>
      <c r="M168" s="102"/>
    </row>
    <row r="169" spans="1:14" s="71" customFormat="1" ht="13.5" customHeight="1">
      <c r="A169" s="428">
        <v>9723</v>
      </c>
      <c r="B169" s="433" t="s">
        <v>768</v>
      </c>
      <c r="C169" s="433" t="s">
        <v>121</v>
      </c>
      <c r="D169" s="433" t="s">
        <v>113</v>
      </c>
      <c r="E169" s="433" t="s">
        <v>232</v>
      </c>
      <c r="F169" s="446">
        <f>2650*1.0936</f>
        <v>2898.04</v>
      </c>
      <c r="G169" s="173" t="s">
        <v>298</v>
      </c>
      <c r="H169" s="79"/>
      <c r="I169" s="80">
        <v>7.5</v>
      </c>
      <c r="J169" s="81">
        <v>435</v>
      </c>
      <c r="K169" s="94">
        <f t="shared" ref="K169:K171" si="34">I169*J169</f>
        <v>3262.5</v>
      </c>
      <c r="L169" s="102"/>
      <c r="M169" s="102"/>
    </row>
    <row r="170" spans="1:14" s="71" customFormat="1" ht="13.5" customHeight="1">
      <c r="A170" s="428"/>
      <c r="B170" s="433"/>
      <c r="C170" s="433"/>
      <c r="D170" s="433"/>
      <c r="E170" s="433"/>
      <c r="F170" s="433"/>
      <c r="G170" s="435" t="s">
        <v>206</v>
      </c>
      <c r="H170" s="79"/>
      <c r="I170" s="81">
        <v>4.5</v>
      </c>
      <c r="J170" s="81">
        <v>375</v>
      </c>
      <c r="K170" s="81">
        <f t="shared" si="34"/>
        <v>1687.5</v>
      </c>
      <c r="L170" s="102"/>
      <c r="M170" s="102"/>
    </row>
    <row r="171" spans="1:14" s="71" customFormat="1" ht="13.5" customHeight="1">
      <c r="A171" s="433"/>
      <c r="B171" s="433"/>
      <c r="C171" s="433"/>
      <c r="D171" s="433"/>
      <c r="E171" s="433"/>
      <c r="F171" s="433"/>
      <c r="G171" s="95" t="s">
        <v>204</v>
      </c>
      <c r="H171" s="79"/>
      <c r="I171" s="81">
        <v>6</v>
      </c>
      <c r="J171" s="81">
        <v>375</v>
      </c>
      <c r="K171" s="81">
        <f t="shared" si="34"/>
        <v>2250</v>
      </c>
      <c r="L171" s="102"/>
      <c r="M171" s="102"/>
    </row>
    <row r="172" spans="1:14" s="71" customFormat="1" ht="13.5" customHeight="1">
      <c r="A172" s="428"/>
      <c r="B172" s="428"/>
      <c r="C172" s="428"/>
      <c r="D172" s="428"/>
      <c r="E172" s="274" t="s">
        <v>9</v>
      </c>
      <c r="F172" s="110">
        <f>SUM(F169:F171)</f>
        <v>2898.04</v>
      </c>
      <c r="G172" s="274"/>
      <c r="H172" s="274"/>
      <c r="I172" s="97"/>
      <c r="J172" s="97"/>
      <c r="K172" s="111">
        <f>SUM(K169:K171)</f>
        <v>7200</v>
      </c>
      <c r="L172" s="111">
        <f>K172/F172</f>
        <v>2.4844377579329477</v>
      </c>
      <c r="M172" s="102"/>
    </row>
    <row r="173" spans="1:14" s="71" customFormat="1" ht="13.5" customHeight="1">
      <c r="D173" s="126" t="s">
        <v>30</v>
      </c>
      <c r="E173" s="126"/>
      <c r="F173" s="127">
        <f>F168+F172</f>
        <v>5796.08</v>
      </c>
      <c r="G173" s="128"/>
      <c r="H173" s="128"/>
      <c r="I173" s="128"/>
      <c r="J173" s="128"/>
      <c r="K173" s="127">
        <f>K168+K172</f>
        <v>14400</v>
      </c>
      <c r="L173" s="129">
        <f>K173/F173</f>
        <v>2.4844377579329477</v>
      </c>
    </row>
    <row r="174" spans="1:14" s="71" customFormat="1" ht="13.5" customHeight="1">
      <c r="A174" s="70" t="s">
        <v>42</v>
      </c>
      <c r="B174" s="70"/>
      <c r="C174" s="70"/>
      <c r="D174" s="70"/>
      <c r="E174" s="70"/>
      <c r="K174" s="824" t="s">
        <v>970</v>
      </c>
      <c r="L174" s="824"/>
      <c r="M174" s="824"/>
    </row>
    <row r="175" spans="1:14" s="71" customFormat="1" ht="13.5" customHeight="1">
      <c r="A175" s="274" t="s">
        <v>0</v>
      </c>
      <c r="B175" s="274" t="s">
        <v>7</v>
      </c>
      <c r="C175" s="274" t="s">
        <v>13</v>
      </c>
      <c r="D175" s="274" t="s">
        <v>14</v>
      </c>
      <c r="E175" s="274" t="s">
        <v>8</v>
      </c>
      <c r="F175" s="274" t="s">
        <v>1</v>
      </c>
      <c r="G175" s="274" t="s">
        <v>2</v>
      </c>
      <c r="H175" s="274" t="s">
        <v>15</v>
      </c>
      <c r="I175" s="274" t="s">
        <v>3</v>
      </c>
      <c r="J175" s="274" t="s">
        <v>4</v>
      </c>
      <c r="K175" s="274" t="s">
        <v>5</v>
      </c>
      <c r="L175" s="274" t="s">
        <v>12</v>
      </c>
      <c r="M175" s="274" t="s">
        <v>6</v>
      </c>
      <c r="N175" s="123"/>
    </row>
    <row r="176" spans="1:14" s="71" customFormat="1" ht="13.5" customHeight="1">
      <c r="A176" s="273">
        <v>6428</v>
      </c>
      <c r="B176" s="497" t="s">
        <v>365</v>
      </c>
      <c r="C176" s="497" t="s">
        <v>482</v>
      </c>
      <c r="D176" s="497" t="s">
        <v>468</v>
      </c>
      <c r="E176" s="497" t="s">
        <v>93</v>
      </c>
      <c r="F176" s="160"/>
      <c r="G176" s="91" t="s">
        <v>123</v>
      </c>
      <c r="H176" s="497"/>
      <c r="I176" s="96"/>
      <c r="J176" s="81">
        <v>750</v>
      </c>
      <c r="K176" s="94">
        <f t="shared" ref="K176:K178" si="35">I176*J176</f>
        <v>0</v>
      </c>
      <c r="L176" s="79"/>
      <c r="M176" s="79"/>
    </row>
    <row r="177" spans="1:13" s="71" customFormat="1" ht="13.5" customHeight="1">
      <c r="A177" s="497"/>
      <c r="B177" s="497"/>
      <c r="C177" s="497"/>
      <c r="D177" s="497"/>
      <c r="E177" s="497"/>
      <c r="F177" s="87"/>
      <c r="G177" s="91" t="s">
        <v>209</v>
      </c>
      <c r="H177" s="79"/>
      <c r="I177" s="80"/>
      <c r="J177" s="81">
        <v>350</v>
      </c>
      <c r="K177" s="81">
        <f t="shared" si="35"/>
        <v>0</v>
      </c>
      <c r="L177" s="79"/>
      <c r="M177" s="79"/>
    </row>
    <row r="178" spans="1:13" s="71" customFormat="1" ht="13.5" customHeight="1">
      <c r="A178" s="497"/>
      <c r="B178" s="497"/>
      <c r="C178" s="497"/>
      <c r="D178" s="497"/>
      <c r="E178" s="497"/>
      <c r="F178" s="87"/>
      <c r="G178" s="91" t="s">
        <v>466</v>
      </c>
      <c r="H178" s="109"/>
      <c r="I178" s="80"/>
      <c r="J178" s="81">
        <v>790</v>
      </c>
      <c r="K178" s="81">
        <f t="shared" si="35"/>
        <v>0</v>
      </c>
      <c r="L178" s="79"/>
      <c r="M178" s="79"/>
    </row>
    <row r="179" spans="1:13" s="71" customFormat="1" ht="13.5" customHeight="1">
      <c r="A179" s="497"/>
      <c r="B179" s="497"/>
      <c r="C179" s="497"/>
      <c r="D179" s="497"/>
      <c r="E179" s="497"/>
      <c r="F179" s="87"/>
      <c r="G179" s="498" t="s">
        <v>211</v>
      </c>
      <c r="H179" s="79"/>
      <c r="I179" s="80"/>
      <c r="J179" s="81">
        <v>120</v>
      </c>
      <c r="K179" s="81">
        <f>I179*J179</f>
        <v>0</v>
      </c>
      <c r="L179" s="79"/>
      <c r="M179" s="79"/>
    </row>
    <row r="180" spans="1:13" s="71" customFormat="1" ht="13.5" customHeight="1">
      <c r="A180" s="497"/>
      <c r="B180" s="497"/>
      <c r="C180" s="497"/>
      <c r="D180" s="497"/>
      <c r="E180" s="497"/>
      <c r="F180" s="87"/>
      <c r="G180" s="498" t="s">
        <v>212</v>
      </c>
      <c r="H180" s="79"/>
      <c r="I180" s="80"/>
      <c r="J180" s="81">
        <v>527</v>
      </c>
      <c r="K180" s="81">
        <f t="shared" ref="K180:K182" si="36">I180*J180</f>
        <v>0</v>
      </c>
      <c r="L180" s="79"/>
      <c r="M180" s="79"/>
    </row>
    <row r="181" spans="1:13" s="71" customFormat="1" ht="13.5" customHeight="1">
      <c r="A181" s="497"/>
      <c r="B181" s="497"/>
      <c r="C181" s="497"/>
      <c r="D181" s="497"/>
      <c r="E181" s="497"/>
      <c r="F181" s="87"/>
      <c r="G181" s="498" t="s">
        <v>213</v>
      </c>
      <c r="H181" s="79"/>
      <c r="I181" s="80"/>
      <c r="J181" s="81">
        <v>348</v>
      </c>
      <c r="K181" s="81">
        <f t="shared" si="36"/>
        <v>0</v>
      </c>
      <c r="L181" s="79"/>
      <c r="M181" s="79"/>
    </row>
    <row r="182" spans="1:13" s="71" customFormat="1" ht="13.5" customHeight="1">
      <c r="A182" s="497"/>
      <c r="B182" s="497"/>
      <c r="C182" s="497"/>
      <c r="D182" s="497"/>
      <c r="E182" s="497"/>
      <c r="F182" s="87"/>
      <c r="G182" s="498" t="s">
        <v>45</v>
      </c>
      <c r="H182" s="79"/>
      <c r="I182" s="80"/>
      <c r="J182" s="81">
        <v>45</v>
      </c>
      <c r="K182" s="81">
        <f t="shared" si="36"/>
        <v>0</v>
      </c>
      <c r="L182" s="79"/>
      <c r="M182" s="79"/>
    </row>
    <row r="183" spans="1:13" s="71" customFormat="1" ht="13.5" customHeight="1">
      <c r="A183" s="428"/>
      <c r="B183" s="428"/>
      <c r="C183" s="428"/>
      <c r="D183" s="428"/>
      <c r="E183" s="274" t="s">
        <v>9</v>
      </c>
      <c r="F183" s="110">
        <f>SUM(F176:F182)</f>
        <v>0</v>
      </c>
      <c r="G183" s="274"/>
      <c r="H183" s="274"/>
      <c r="I183" s="97"/>
      <c r="J183" s="97"/>
      <c r="K183" s="111">
        <f>SUM(K176:K182)</f>
        <v>0</v>
      </c>
      <c r="L183" s="155" t="e">
        <f>K183/F183</f>
        <v>#DIV/0!</v>
      </c>
      <c r="M183" s="102"/>
    </row>
    <row r="184" spans="1:13" s="71" customFormat="1" ht="13.5" customHeight="1">
      <c r="D184" s="126" t="s">
        <v>30</v>
      </c>
      <c r="E184" s="126"/>
      <c r="F184" s="127">
        <f>F183</f>
        <v>0</v>
      </c>
      <c r="G184" s="128"/>
      <c r="H184" s="128"/>
      <c r="I184" s="128"/>
      <c r="J184" s="128"/>
      <c r="K184" s="127">
        <f>K183</f>
        <v>0</v>
      </c>
      <c r="L184" s="129" t="e">
        <f>K184/F184</f>
        <v>#DIV/0!</v>
      </c>
    </row>
    <row r="185" spans="1:13" s="71" customFormat="1" ht="13.5" customHeight="1"/>
    <row r="186" spans="1:13" s="71" customFormat="1" ht="13.5" customHeight="1"/>
    <row r="187" spans="1:13" s="71" customFormat="1" ht="13.5" customHeight="1">
      <c r="D187" s="133" t="s">
        <v>1009</v>
      </c>
      <c r="E187" s="449">
        <f>F138</f>
        <v>6621.7479999999996</v>
      </c>
      <c r="F187" s="126"/>
      <c r="G187" s="127">
        <f>K20+K35+K47+K53+K138+K162+K173+K184</f>
        <v>181519.32800000001</v>
      </c>
      <c r="H187" s="128"/>
      <c r="I187" s="128"/>
      <c r="J187" s="128"/>
      <c r="K187" s="128"/>
      <c r="L187" s="127">
        <f>G187/E187</f>
        <v>27.412599815033737</v>
      </c>
    </row>
    <row r="188" spans="1:13" s="71" customFormat="1" ht="13.5" customHeight="1">
      <c r="D188" s="317" t="s">
        <v>855</v>
      </c>
      <c r="E188" s="450"/>
      <c r="F188" s="317"/>
      <c r="G188" s="451">
        <f>K56+K57+K58+K62+K63+K64+K68+K69+K70+K74+K75+K76+K80+K81+K82+K86+K87+K88+K89+K93+K94+K95+K99+K100+K101+K105+K106+K107+K111+K112+K113+K118+K119+K120+K125+K126+K127+K128+K132+K133+K134</f>
        <v>50106.747999999992</v>
      </c>
      <c r="H188" s="452"/>
      <c r="I188" s="451">
        <f>'07'!I124+'08'!G188</f>
        <v>602877.94000000018</v>
      </c>
      <c r="J188" s="472">
        <f>G188+M201</f>
        <v>55538.829999999994</v>
      </c>
      <c r="K188" s="453"/>
      <c r="L188" s="454"/>
    </row>
    <row r="189" spans="1:13" s="71" customFormat="1" ht="13.5" customHeight="1">
      <c r="D189" s="347" t="s">
        <v>854</v>
      </c>
      <c r="E189" s="455"/>
      <c r="F189" s="347"/>
      <c r="G189" s="456">
        <f>G187-G188</f>
        <v>131412.58000000002</v>
      </c>
      <c r="H189" s="457"/>
      <c r="I189" s="451">
        <f>'07'!I125+'08'!G189</f>
        <v>1301623.192</v>
      </c>
      <c r="J189" s="458"/>
      <c r="K189" s="458"/>
      <c r="L189" s="459"/>
    </row>
    <row r="190" spans="1:13" s="71" customFormat="1" ht="13.5" customHeight="1">
      <c r="D190" s="317" t="s">
        <v>853</v>
      </c>
      <c r="E190" s="460"/>
      <c r="F190" s="317"/>
      <c r="G190" s="461">
        <f>SUM(G188:G189)</f>
        <v>181519.32800000001</v>
      </c>
      <c r="H190" s="462"/>
      <c r="I190" s="463">
        <f>'01'!G220+'02'!G267+'03'!G360+'04'!G270</f>
        <v>0</v>
      </c>
      <c r="J190" s="462"/>
      <c r="K190" s="462"/>
      <c r="L190" s="464">
        <f>G190/E187</f>
        <v>27.412599815033737</v>
      </c>
    </row>
    <row r="191" spans="1:13" s="71" customFormat="1" ht="13.5" customHeight="1">
      <c r="D191" s="395" t="s">
        <v>906</v>
      </c>
      <c r="E191" s="408"/>
      <c r="F191" s="317"/>
      <c r="G191" s="465">
        <f>'07'!G127+'08'!M201</f>
        <v>24188.288</v>
      </c>
      <c r="H191" s="466"/>
      <c r="I191" s="380"/>
      <c r="J191" s="380"/>
      <c r="K191" s="467"/>
    </row>
    <row r="192" spans="1:13" s="71" customFormat="1" ht="13.5" customHeight="1">
      <c r="D192" s="70"/>
      <c r="E192" s="70"/>
      <c r="F192" s="70"/>
      <c r="G192" s="70"/>
      <c r="H192" s="123"/>
      <c r="I192" s="70"/>
      <c r="J192" s="70"/>
      <c r="K192" s="70"/>
      <c r="L192" s="70"/>
    </row>
    <row r="193" spans="1:13" s="71" customFormat="1" ht="13.5" customHeight="1">
      <c r="D193" s="931" t="s">
        <v>852</v>
      </c>
      <c r="E193" s="931"/>
      <c r="F193" s="440">
        <f>G207</f>
        <v>62000</v>
      </c>
      <c r="G193" s="70"/>
      <c r="H193" s="500" t="s">
        <v>908</v>
      </c>
      <c r="I193" s="935" t="s">
        <v>190</v>
      </c>
      <c r="J193" s="936"/>
      <c r="K193" s="473">
        <v>7.4999999999999997E-2</v>
      </c>
      <c r="L193" s="103">
        <v>644</v>
      </c>
      <c r="M193" s="103">
        <f t="shared" ref="M193:M199" si="37">K193*L193</f>
        <v>48.3</v>
      </c>
    </row>
    <row r="194" spans="1:13" s="71" customFormat="1" ht="13.5" customHeight="1">
      <c r="D194" s="931" t="s">
        <v>835</v>
      </c>
      <c r="E194" s="931"/>
      <c r="F194" s="440">
        <f>G199+G200</f>
        <v>0</v>
      </c>
      <c r="G194" s="70"/>
      <c r="H194" s="500" t="s">
        <v>909</v>
      </c>
      <c r="I194" s="929" t="s">
        <v>192</v>
      </c>
      <c r="J194" s="930"/>
      <c r="K194" s="473">
        <f>0.375+0.045+0.375+0.3</f>
        <v>1.095</v>
      </c>
      <c r="L194" s="103">
        <v>1126</v>
      </c>
      <c r="M194" s="103">
        <f t="shared" si="37"/>
        <v>1232.97</v>
      </c>
    </row>
    <row r="195" spans="1:13" s="71" customFormat="1" ht="13.5" customHeight="1">
      <c r="D195" s="931" t="s">
        <v>836</v>
      </c>
      <c r="E195" s="931"/>
      <c r="F195" s="440">
        <f>SUM(F193:F194)</f>
        <v>62000</v>
      </c>
      <c r="G195" s="70"/>
      <c r="H195" s="500" t="s">
        <v>910</v>
      </c>
      <c r="I195" s="929" t="s">
        <v>199</v>
      </c>
      <c r="J195" s="930"/>
      <c r="K195" s="473">
        <v>0.18</v>
      </c>
      <c r="L195" s="103">
        <v>530</v>
      </c>
      <c r="M195" s="103">
        <f t="shared" si="37"/>
        <v>95.399999999999991</v>
      </c>
    </row>
    <row r="196" spans="1:13" s="71" customFormat="1" ht="13.5" customHeight="1">
      <c r="D196" s="431" t="s">
        <v>847</v>
      </c>
      <c r="E196" s="431"/>
      <c r="F196" s="440">
        <f>F193-G189</f>
        <v>-69412.580000000016</v>
      </c>
      <c r="G196" s="70"/>
      <c r="H196" s="500" t="s">
        <v>908</v>
      </c>
      <c r="I196" s="932" t="s">
        <v>405</v>
      </c>
      <c r="J196" s="933"/>
      <c r="K196" s="473">
        <f>0.3+0.375+0.6</f>
        <v>1.2749999999999999</v>
      </c>
      <c r="L196" s="103">
        <v>1708</v>
      </c>
      <c r="M196" s="103">
        <f t="shared" si="37"/>
        <v>2177.6999999999998</v>
      </c>
    </row>
    <row r="197" spans="1:13" s="71" customFormat="1" ht="13.5" customHeight="1">
      <c r="D197" s="70"/>
      <c r="E197" s="70"/>
      <c r="F197" s="70"/>
      <c r="G197" s="70"/>
      <c r="H197" s="500" t="s">
        <v>912</v>
      </c>
      <c r="I197" s="929" t="s">
        <v>193</v>
      </c>
      <c r="J197" s="930"/>
      <c r="K197" s="473">
        <f>0.975+0.435</f>
        <v>1.41</v>
      </c>
      <c r="L197" s="103">
        <v>1150</v>
      </c>
      <c r="M197" s="103">
        <f t="shared" si="37"/>
        <v>1621.5</v>
      </c>
    </row>
    <row r="198" spans="1:13" s="71" customFormat="1" ht="13.5" customHeight="1">
      <c r="B198" s="836" t="s">
        <v>833</v>
      </c>
      <c r="C198" s="837"/>
      <c r="D198" s="274" t="s">
        <v>844</v>
      </c>
      <c r="E198" s="274" t="s">
        <v>845</v>
      </c>
      <c r="F198" s="274" t="s">
        <v>846</v>
      </c>
      <c r="G198" s="274" t="s">
        <v>5</v>
      </c>
      <c r="H198" s="500" t="s">
        <v>911</v>
      </c>
      <c r="I198" s="929" t="s">
        <v>346</v>
      </c>
      <c r="J198" s="930"/>
      <c r="K198" s="473">
        <v>5.6000000000000001E-2</v>
      </c>
      <c r="L198" s="103">
        <v>3837</v>
      </c>
      <c r="M198" s="103">
        <f t="shared" si="37"/>
        <v>214.87200000000001</v>
      </c>
    </row>
    <row r="199" spans="1:13" s="71" customFormat="1" ht="13.5" customHeight="1">
      <c r="D199" s="274" t="s">
        <v>837</v>
      </c>
      <c r="E199" s="317">
        <v>15.5</v>
      </c>
      <c r="F199" s="321"/>
      <c r="G199" s="320">
        <f>F199*E199</f>
        <v>0</v>
      </c>
      <c r="H199" s="500" t="s">
        <v>909</v>
      </c>
      <c r="I199" s="929" t="s">
        <v>279</v>
      </c>
      <c r="J199" s="930"/>
      <c r="K199" s="473">
        <v>0.06</v>
      </c>
      <c r="L199" s="103">
        <v>689</v>
      </c>
      <c r="M199" s="103">
        <f t="shared" si="37"/>
        <v>41.339999999999996</v>
      </c>
    </row>
    <row r="200" spans="1:13" s="71" customFormat="1" ht="13.5" customHeight="1">
      <c r="D200" s="274" t="s">
        <v>849</v>
      </c>
      <c r="E200" s="317">
        <v>34</v>
      </c>
      <c r="F200" s="321"/>
      <c r="G200" s="320">
        <f t="shared" ref="G200:G206" si="38">F200*E200</f>
        <v>0</v>
      </c>
      <c r="H200" s="500" t="s">
        <v>911</v>
      </c>
      <c r="I200" s="937"/>
      <c r="J200" s="938"/>
      <c r="K200" s="317"/>
      <c r="L200" s="317"/>
      <c r="M200" s="317"/>
    </row>
    <row r="201" spans="1:13" s="71" customFormat="1" ht="13.5" customHeight="1">
      <c r="A201" s="424"/>
      <c r="B201" s="70"/>
      <c r="C201" s="70"/>
      <c r="D201" s="322" t="s">
        <v>843</v>
      </c>
      <c r="E201" s="317"/>
      <c r="F201" s="321">
        <f>SUM(F199:F200)</f>
        <v>0</v>
      </c>
      <c r="G201" s="320">
        <f>SUM(G199:G200)</f>
        <v>0</v>
      </c>
      <c r="H201" s="70"/>
      <c r="I201" s="844" t="s">
        <v>906</v>
      </c>
      <c r="J201" s="845"/>
      <c r="K201" s="488">
        <f>SUM(K193:K200)</f>
        <v>4.1509999999999998</v>
      </c>
      <c r="L201" s="124"/>
      <c r="M201" s="489">
        <f>SUM(M193:M200)</f>
        <v>5432.0820000000003</v>
      </c>
    </row>
    <row r="202" spans="1:13" s="71" customFormat="1" ht="13.5" customHeight="1">
      <c r="D202" s="468" t="s">
        <v>968</v>
      </c>
      <c r="E202" s="317">
        <v>360</v>
      </c>
      <c r="F202" s="321"/>
      <c r="G202" s="320">
        <f t="shared" si="38"/>
        <v>0</v>
      </c>
      <c r="H202" s="70"/>
      <c r="I202" s="70"/>
      <c r="J202" s="70"/>
      <c r="K202" s="70"/>
      <c r="L202" s="70"/>
      <c r="M202" s="263">
        <f>G188+M201</f>
        <v>55538.829999999994</v>
      </c>
    </row>
    <row r="203" spans="1:13" s="71" customFormat="1" ht="13.5" customHeight="1">
      <c r="D203" s="469" t="s">
        <v>888</v>
      </c>
      <c r="E203" s="317">
        <v>690</v>
      </c>
      <c r="F203" s="321"/>
      <c r="G203" s="320">
        <f t="shared" si="38"/>
        <v>0</v>
      </c>
      <c r="H203" s="70"/>
      <c r="I203" s="70"/>
      <c r="J203" s="70"/>
      <c r="K203" s="70"/>
      <c r="L203" s="70"/>
    </row>
    <row r="204" spans="1:13" s="71" customFormat="1" ht="13.5" customHeight="1">
      <c r="D204" s="274" t="s">
        <v>907</v>
      </c>
      <c r="E204" s="470">
        <v>46</v>
      </c>
      <c r="F204" s="321"/>
      <c r="G204" s="320">
        <f t="shared" si="38"/>
        <v>0</v>
      </c>
      <c r="H204" s="70"/>
      <c r="I204" s="70"/>
      <c r="J204" s="70"/>
      <c r="K204" s="70"/>
      <c r="L204" s="70"/>
    </row>
    <row r="205" spans="1:13" s="71" customFormat="1" ht="13.5" customHeight="1">
      <c r="D205" s="274" t="s">
        <v>27</v>
      </c>
      <c r="E205" s="317">
        <v>22</v>
      </c>
      <c r="F205" s="321">
        <v>2000</v>
      </c>
      <c r="G205" s="320">
        <f t="shared" si="38"/>
        <v>44000</v>
      </c>
      <c r="H205" s="70"/>
      <c r="I205" s="70"/>
      <c r="J205" s="70"/>
      <c r="K205" s="70"/>
      <c r="L205" s="70"/>
    </row>
    <row r="206" spans="1:13" s="71" customFormat="1" ht="13.5" customHeight="1">
      <c r="D206" s="274" t="s">
        <v>997</v>
      </c>
      <c r="E206" s="317">
        <v>120</v>
      </c>
      <c r="F206" s="321">
        <v>150</v>
      </c>
      <c r="G206" s="320">
        <f t="shared" si="38"/>
        <v>18000</v>
      </c>
    </row>
    <row r="207" spans="1:13" s="71" customFormat="1" ht="13.5" customHeight="1">
      <c r="D207" s="322" t="s">
        <v>843</v>
      </c>
      <c r="E207" s="317"/>
      <c r="F207" s="321">
        <f>SUM(F202:F206)</f>
        <v>2150</v>
      </c>
      <c r="G207" s="320">
        <f>SUM(G202:G206)</f>
        <v>62000</v>
      </c>
    </row>
    <row r="208" spans="1:13" s="71" customFormat="1" ht="13.5" customHeight="1">
      <c r="D208" s="322" t="s">
        <v>969</v>
      </c>
      <c r="E208" s="317"/>
      <c r="F208" s="321">
        <f>F201+F207</f>
        <v>2150</v>
      </c>
      <c r="G208" s="320">
        <f>G201+G207</f>
        <v>62000</v>
      </c>
    </row>
    <row r="209" spans="1:14" s="71" customFormat="1" ht="13.5" customHeight="1"/>
    <row r="210" spans="1:14" s="71" customFormat="1" ht="13.5" customHeight="1"/>
    <row r="211" spans="1:14" s="71" customFormat="1" ht="13.5" customHeight="1"/>
    <row r="212" spans="1:14" s="71" customFormat="1" ht="13.5" customHeight="1"/>
    <row r="213" spans="1:14" s="71" customFormat="1" ht="14.1" customHeight="1">
      <c r="A213" s="840" t="s">
        <v>240</v>
      </c>
      <c r="B213" s="840"/>
      <c r="C213" s="840" t="s">
        <v>765</v>
      </c>
      <c r="D213" s="840"/>
      <c r="E213" s="840" t="s">
        <v>764</v>
      </c>
      <c r="F213" s="840"/>
      <c r="G213" s="380" t="s">
        <v>66</v>
      </c>
      <c r="H213" s="840" t="s">
        <v>411</v>
      </c>
      <c r="I213" s="840"/>
      <c r="J213" s="840"/>
      <c r="K213" s="840" t="s">
        <v>68</v>
      </c>
      <c r="L213" s="840"/>
      <c r="M213" s="840"/>
    </row>
    <row r="214" spans="1:14" s="71" customFormat="1" ht="15" customHeight="1">
      <c r="A214" s="493"/>
      <c r="B214" s="493"/>
      <c r="C214" s="493"/>
      <c r="D214" s="493"/>
      <c r="E214" s="493"/>
      <c r="F214" s="493"/>
      <c r="G214" s="380"/>
      <c r="H214" s="493"/>
      <c r="I214" s="493"/>
      <c r="J214" s="493"/>
      <c r="K214" s="493"/>
      <c r="L214" s="493"/>
      <c r="M214" s="493"/>
    </row>
    <row r="215" spans="1:14" s="71" customFormat="1" ht="15" customHeight="1">
      <c r="A215" s="493"/>
      <c r="B215" s="493"/>
      <c r="C215" s="493"/>
      <c r="D215" s="493"/>
      <c r="E215" s="493"/>
      <c r="F215" s="493"/>
      <c r="G215" s="380"/>
      <c r="H215" s="493"/>
      <c r="I215" s="493"/>
      <c r="J215" s="493"/>
      <c r="K215" s="493"/>
      <c r="L215" s="493"/>
      <c r="M215" s="493"/>
    </row>
    <row r="216" spans="1:14" s="71" customFormat="1" ht="15" customHeight="1">
      <c r="A216" s="493"/>
      <c r="B216" s="493"/>
      <c r="C216" s="493"/>
      <c r="D216" s="493"/>
      <c r="E216" s="493"/>
      <c r="F216" s="493"/>
      <c r="G216" s="380"/>
      <c r="H216" s="493"/>
      <c r="I216" s="493"/>
      <c r="J216" s="493"/>
      <c r="K216" s="493"/>
      <c r="L216" s="493"/>
      <c r="M216" s="493"/>
    </row>
    <row r="217" spans="1:14">
      <c r="A217" s="71"/>
      <c r="B217" s="71"/>
      <c r="C217" s="71"/>
      <c r="D217" s="71"/>
      <c r="E217" s="71"/>
      <c r="F217" s="71"/>
      <c r="G217" s="120" t="s">
        <v>105</v>
      </c>
      <c r="H217" s="102"/>
      <c r="I217" s="102"/>
      <c r="J217" s="71"/>
      <c r="K217" s="71"/>
      <c r="L217" s="71"/>
      <c r="M217" s="71"/>
      <c r="N217" s="71"/>
    </row>
    <row r="218" spans="1:14">
      <c r="A218" s="71"/>
      <c r="B218" s="71"/>
      <c r="C218" s="71"/>
      <c r="D218" s="71"/>
      <c r="E218" s="71"/>
      <c r="F218" s="71"/>
      <c r="G218" s="120" t="s">
        <v>62</v>
      </c>
      <c r="H218" s="102"/>
      <c r="I218" s="147" t="e">
        <f>I43+#REF!+#REF!</f>
        <v>#REF!</v>
      </c>
      <c r="J218" s="71"/>
      <c r="K218" s="71"/>
      <c r="L218" s="71"/>
      <c r="M218" s="71"/>
      <c r="N218" s="71"/>
    </row>
    <row r="219" spans="1:14">
      <c r="A219" s="71"/>
      <c r="B219" s="71"/>
      <c r="C219" s="71"/>
      <c r="D219" s="71"/>
      <c r="E219" s="71"/>
      <c r="F219" s="71"/>
      <c r="G219" s="120" t="s">
        <v>111</v>
      </c>
      <c r="H219" s="102"/>
      <c r="I219" s="102"/>
      <c r="J219" s="71"/>
      <c r="K219" s="71"/>
      <c r="L219" s="71"/>
      <c r="M219" s="71"/>
      <c r="N219" s="71"/>
    </row>
    <row r="220" spans="1:14">
      <c r="A220" s="71"/>
      <c r="B220" s="71"/>
      <c r="C220" s="71"/>
      <c r="D220" s="71"/>
      <c r="E220" s="71"/>
      <c r="F220" s="71"/>
      <c r="G220" s="101" t="s">
        <v>112</v>
      </c>
      <c r="H220" s="102"/>
      <c r="I220" s="147" t="e">
        <f>#REF!</f>
        <v>#REF!</v>
      </c>
      <c r="J220" s="71"/>
      <c r="K220" s="71"/>
      <c r="L220" s="71"/>
      <c r="M220" s="71"/>
      <c r="N220" s="71"/>
    </row>
    <row r="221" spans="1:14">
      <c r="A221" s="71"/>
      <c r="B221" s="71"/>
      <c r="C221" s="71"/>
      <c r="D221" s="71"/>
      <c r="E221" s="71"/>
      <c r="F221" s="71"/>
      <c r="G221" s="101" t="s">
        <v>106</v>
      </c>
      <c r="H221" s="102"/>
      <c r="I221" s="102"/>
      <c r="J221" s="71"/>
      <c r="K221" s="71"/>
      <c r="L221" s="71"/>
      <c r="M221" s="71"/>
      <c r="N221" s="71"/>
    </row>
    <row r="222" spans="1:14">
      <c r="G222" s="62" t="s">
        <v>107</v>
      </c>
      <c r="H222" s="2"/>
      <c r="I222" s="2"/>
    </row>
    <row r="223" spans="1:14">
      <c r="G223" s="62" t="s">
        <v>108</v>
      </c>
      <c r="H223" s="2"/>
      <c r="I223" s="2"/>
    </row>
    <row r="224" spans="1:14">
      <c r="G224" s="62" t="s">
        <v>109</v>
      </c>
      <c r="H224" s="2"/>
      <c r="I224" s="2"/>
    </row>
    <row r="225" spans="7:9">
      <c r="G225" s="62" t="s">
        <v>110</v>
      </c>
      <c r="H225" s="2"/>
      <c r="I225" s="2"/>
    </row>
  </sheetData>
  <mergeCells count="29">
    <mergeCell ref="K213:M213"/>
    <mergeCell ref="B198:C198"/>
    <mergeCell ref="I198:J198"/>
    <mergeCell ref="I199:J199"/>
    <mergeCell ref="A213:B213"/>
    <mergeCell ref="C213:D213"/>
    <mergeCell ref="E213:F213"/>
    <mergeCell ref="H213:J213"/>
    <mergeCell ref="I200:J200"/>
    <mergeCell ref="I201:J201"/>
    <mergeCell ref="K48:M48"/>
    <mergeCell ref="K54:M54"/>
    <mergeCell ref="K139:M139"/>
    <mergeCell ref="K163:M163"/>
    <mergeCell ref="D193:E193"/>
    <mergeCell ref="I193:J193"/>
    <mergeCell ref="K174:M174"/>
    <mergeCell ref="K4:M4"/>
    <mergeCell ref="K21:M21"/>
    <mergeCell ref="K36:M36"/>
    <mergeCell ref="A1:M1"/>
    <mergeCell ref="A2:M2"/>
    <mergeCell ref="A3:M3"/>
    <mergeCell ref="I197:J197"/>
    <mergeCell ref="D194:E194"/>
    <mergeCell ref="I194:J194"/>
    <mergeCell ref="D195:E195"/>
    <mergeCell ref="I195:J195"/>
    <mergeCell ref="I196:J196"/>
  </mergeCells>
  <pageMargins left="0.45" right="0.2" top="0.25" bottom="0.25" header="0.3" footer="0.3"/>
  <pageSetup scale="8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160"/>
  <sheetViews>
    <sheetView topLeftCell="A130" workbookViewId="0">
      <selection activeCell="D139" sqref="D139:E139"/>
    </sheetView>
  </sheetViews>
  <sheetFormatPr defaultRowHeight="15"/>
  <cols>
    <col min="1" max="1" width="8.7109375" customWidth="1"/>
    <col min="2" max="2" width="11.5703125" customWidth="1"/>
    <col min="3" max="3" width="14.85546875" customWidth="1"/>
    <col min="4" max="4" width="19.5703125" customWidth="1"/>
    <col min="5" max="5" width="12.28515625" customWidth="1"/>
    <col min="6" max="6" width="11.42578125" customWidth="1"/>
    <col min="7" max="7" width="24.42578125" bestFit="1" customWidth="1"/>
    <col min="8" max="8" width="6.42578125" bestFit="1" customWidth="1"/>
    <col min="9" max="9" width="10.5703125" bestFit="1" customWidth="1"/>
    <col min="10" max="10" width="10.28515625" customWidth="1"/>
    <col min="11" max="11" width="11.5703125" bestFit="1" customWidth="1"/>
    <col min="12" max="12" width="9.5703125" bestFit="1" customWidth="1"/>
    <col min="13" max="13" width="10.140625" bestFit="1" customWidth="1"/>
    <col min="14" max="14" width="12.28515625" customWidth="1"/>
  </cols>
  <sheetData>
    <row r="1" spans="1:14" ht="18.75">
      <c r="A1" s="846" t="s">
        <v>146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351"/>
    </row>
    <row r="2" spans="1:14" s="71" customFormat="1" ht="14.1" customHeight="1">
      <c r="A2" s="827" t="s">
        <v>147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384"/>
    </row>
    <row r="3" spans="1:14" s="441" customFormat="1" ht="14.1" customHeight="1">
      <c r="A3" s="828" t="s">
        <v>148</v>
      </c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  <c r="M3" s="828"/>
      <c r="N3" s="385"/>
    </row>
    <row r="4" spans="1:14" s="71" customFormat="1" ht="14.1" customHeight="1">
      <c r="A4" s="70" t="s">
        <v>21</v>
      </c>
      <c r="B4" s="70"/>
      <c r="C4" s="70"/>
      <c r="D4" s="70"/>
      <c r="E4" s="70"/>
      <c r="K4" s="824" t="s">
        <v>958</v>
      </c>
      <c r="L4" s="824"/>
      <c r="M4" s="824"/>
    </row>
    <row r="5" spans="1:14" s="71" customFormat="1" ht="14.1" customHeight="1">
      <c r="A5" s="274" t="s">
        <v>0</v>
      </c>
      <c r="B5" s="274" t="s">
        <v>7</v>
      </c>
      <c r="C5" s="274" t="s">
        <v>13</v>
      </c>
      <c r="D5" s="274" t="s">
        <v>14</v>
      </c>
      <c r="E5" s="274" t="s">
        <v>8</v>
      </c>
      <c r="F5" s="274" t="s">
        <v>1</v>
      </c>
      <c r="G5" s="274" t="s">
        <v>2</v>
      </c>
      <c r="H5" s="274" t="s">
        <v>15</v>
      </c>
      <c r="I5" s="274" t="s">
        <v>3</v>
      </c>
      <c r="J5" s="274" t="s">
        <v>4</v>
      </c>
      <c r="K5" s="274" t="s">
        <v>5</v>
      </c>
      <c r="L5" s="274" t="s">
        <v>12</v>
      </c>
      <c r="M5" s="274" t="s">
        <v>6</v>
      </c>
    </row>
    <row r="6" spans="1:14" s="71" customFormat="1" ht="14.1" customHeight="1">
      <c r="A6" s="428">
        <v>1</v>
      </c>
      <c r="B6" s="427" t="s">
        <v>269</v>
      </c>
      <c r="C6" s="427"/>
      <c r="D6" s="427"/>
      <c r="E6" s="427"/>
      <c r="F6" s="90">
        <f>189*1.0936</f>
        <v>206.69039999999998</v>
      </c>
      <c r="G6" s="517" t="s">
        <v>1070</v>
      </c>
      <c r="H6" s="79"/>
      <c r="I6" s="80">
        <v>2.5</v>
      </c>
      <c r="J6" s="81">
        <v>227</v>
      </c>
      <c r="K6" s="81">
        <f t="shared" ref="K6:K7" si="0">I6*J6</f>
        <v>567.5</v>
      </c>
      <c r="L6" s="102"/>
      <c r="M6" s="156">
        <f>I6</f>
        <v>2.5</v>
      </c>
      <c r="N6" s="427" t="s">
        <v>173</v>
      </c>
    </row>
    <row r="7" spans="1:14" s="71" customFormat="1" ht="14.1" customHeight="1">
      <c r="A7" s="428"/>
      <c r="B7" s="427"/>
      <c r="C7" s="427"/>
      <c r="D7" s="427"/>
      <c r="E7" s="428"/>
      <c r="F7" s="98"/>
      <c r="G7" s="517" t="s">
        <v>1067</v>
      </c>
      <c r="H7" s="79"/>
      <c r="I7" s="80">
        <v>1.5</v>
      </c>
      <c r="J7" s="81">
        <v>416</v>
      </c>
      <c r="K7" s="81">
        <f t="shared" si="0"/>
        <v>624</v>
      </c>
      <c r="L7" s="102"/>
      <c r="M7" s="156" t="e">
        <f>I7+I17+I23+#REF!+#REF!</f>
        <v>#REF!</v>
      </c>
      <c r="N7" s="427" t="s">
        <v>174</v>
      </c>
    </row>
    <row r="8" spans="1:14" s="71" customFormat="1" ht="14.1" customHeight="1">
      <c r="A8" s="428"/>
      <c r="B8" s="427"/>
      <c r="C8" s="427"/>
      <c r="D8" s="427"/>
      <c r="E8" s="428"/>
      <c r="F8" s="98"/>
      <c r="G8" s="517" t="s">
        <v>1065</v>
      </c>
      <c r="H8" s="79"/>
      <c r="I8" s="80">
        <v>2</v>
      </c>
      <c r="J8" s="81">
        <v>165</v>
      </c>
      <c r="K8" s="81">
        <f>I8*J8</f>
        <v>330</v>
      </c>
      <c r="L8" s="102"/>
      <c r="M8" s="156" t="e">
        <f>I8+I18+I24+#REF!+#REF!</f>
        <v>#REF!</v>
      </c>
      <c r="N8" s="427" t="s">
        <v>172</v>
      </c>
    </row>
    <row r="9" spans="1:14" s="71" customFormat="1" ht="14.1" customHeight="1">
      <c r="A9" s="428"/>
      <c r="B9" s="428"/>
      <c r="C9" s="428"/>
      <c r="D9" s="428"/>
      <c r="E9" s="274"/>
      <c r="F9" s="110"/>
      <c r="G9" s="274"/>
      <c r="H9" s="274"/>
      <c r="I9" s="125"/>
      <c r="J9" s="97"/>
      <c r="K9" s="111"/>
      <c r="L9" s="111"/>
      <c r="M9" s="156" t="e">
        <f>I15+I21+#REF!+#REF!+I30+I33+I36+I39+#REF!+#REF!</f>
        <v>#REF!</v>
      </c>
      <c r="N9" s="427" t="s">
        <v>24</v>
      </c>
    </row>
    <row r="10" spans="1:14" s="71" customFormat="1" ht="14.1" customHeight="1">
      <c r="A10" s="428"/>
      <c r="B10" s="427"/>
      <c r="C10" s="427"/>
      <c r="D10" s="427"/>
      <c r="E10" s="428"/>
      <c r="F10" s="98"/>
      <c r="G10" s="427"/>
      <c r="H10" s="79"/>
      <c r="I10" s="80"/>
      <c r="J10" s="81"/>
      <c r="K10" s="81"/>
      <c r="L10" s="102"/>
      <c r="M10" s="156" t="e">
        <f>I16+I22+#REF!+#REF!</f>
        <v>#REF!</v>
      </c>
      <c r="N10" s="427" t="s">
        <v>175</v>
      </c>
    </row>
    <row r="11" spans="1:14" s="71" customFormat="1" ht="14.1" customHeight="1">
      <c r="A11" s="428"/>
      <c r="B11" s="427"/>
      <c r="C11" s="427"/>
      <c r="D11" s="427"/>
      <c r="E11" s="274" t="s">
        <v>9</v>
      </c>
      <c r="F11" s="110">
        <f>SUM(F6:F10)</f>
        <v>206.69039999999998</v>
      </c>
      <c r="G11" s="274"/>
      <c r="H11" s="274"/>
      <c r="I11" s="125"/>
      <c r="J11" s="97"/>
      <c r="K11" s="111">
        <f>SUM(K6:K10)</f>
        <v>1521.5</v>
      </c>
      <c r="L11" s="111">
        <f>K11/F11</f>
        <v>7.361251417579143</v>
      </c>
      <c r="M11" s="157" t="e">
        <f>I19+I25+#REF!+#REF!</f>
        <v>#REF!</v>
      </c>
      <c r="N11" s="429" t="s">
        <v>176</v>
      </c>
    </row>
    <row r="12" spans="1:14" s="71" customFormat="1" ht="14.1" customHeight="1">
      <c r="A12" s="428"/>
      <c r="B12" s="428"/>
      <c r="C12" s="428"/>
      <c r="D12" s="126" t="s">
        <v>30</v>
      </c>
      <c r="E12" s="126"/>
      <c r="F12" s="127">
        <f>F11</f>
        <v>206.69039999999998</v>
      </c>
      <c r="G12" s="128"/>
      <c r="H12" s="128"/>
      <c r="I12" s="128"/>
      <c r="J12" s="128"/>
      <c r="K12" s="127">
        <f>K11</f>
        <v>1521.5</v>
      </c>
      <c r="L12" s="129">
        <f>K12/F12</f>
        <v>7.361251417579143</v>
      </c>
      <c r="M12" s="157" t="e">
        <f>I31+I34+I37+I40+#REF!+#REF!</f>
        <v>#REF!</v>
      </c>
      <c r="N12" s="430" t="s">
        <v>10</v>
      </c>
    </row>
    <row r="13" spans="1:14" s="71" customFormat="1" ht="14.1" customHeight="1">
      <c r="A13" s="70" t="s">
        <v>23</v>
      </c>
      <c r="B13" s="70"/>
      <c r="C13" s="70"/>
      <c r="D13" s="70"/>
      <c r="E13" s="70"/>
      <c r="K13" s="824" t="s">
        <v>958</v>
      </c>
      <c r="L13" s="824"/>
      <c r="M13" s="824"/>
    </row>
    <row r="14" spans="1:14" s="71" customFormat="1" ht="14.1" customHeight="1">
      <c r="A14" s="274" t="s">
        <v>0</v>
      </c>
      <c r="B14" s="274" t="s">
        <v>7</v>
      </c>
      <c r="C14" s="274" t="s">
        <v>13</v>
      </c>
      <c r="D14" s="274" t="s">
        <v>14</v>
      </c>
      <c r="E14" s="274" t="s">
        <v>8</v>
      </c>
      <c r="F14" s="274" t="s">
        <v>1</v>
      </c>
      <c r="G14" s="274" t="s">
        <v>2</v>
      </c>
      <c r="H14" s="274" t="s">
        <v>15</v>
      </c>
      <c r="I14" s="274" t="s">
        <v>3</v>
      </c>
      <c r="J14" s="274" t="s">
        <v>4</v>
      </c>
      <c r="K14" s="274" t="s">
        <v>5</v>
      </c>
      <c r="L14" s="274" t="s">
        <v>12</v>
      </c>
      <c r="M14" s="274" t="s">
        <v>6</v>
      </c>
    </row>
    <row r="15" spans="1:14" s="71" customFormat="1" ht="14.1" customHeight="1">
      <c r="A15" s="428">
        <v>1</v>
      </c>
      <c r="B15" s="427" t="s">
        <v>866</v>
      </c>
      <c r="C15" s="427" t="s">
        <v>792</v>
      </c>
      <c r="D15" s="427" t="s">
        <v>867</v>
      </c>
      <c r="E15" s="428"/>
      <c r="F15" s="160">
        <f>10040*1.0936</f>
        <v>10979.743999999999</v>
      </c>
      <c r="G15" s="517" t="s">
        <v>24</v>
      </c>
      <c r="H15" s="79"/>
      <c r="I15" s="80">
        <f>50+10</f>
        <v>60</v>
      </c>
      <c r="J15" s="81">
        <v>74</v>
      </c>
      <c r="K15" s="81">
        <f t="shared" ref="K15:K17" si="1">I15*J15</f>
        <v>4440</v>
      </c>
      <c r="L15" s="102"/>
      <c r="M15" s="124"/>
    </row>
    <row r="16" spans="1:14" s="71" customFormat="1" ht="14.1" customHeight="1">
      <c r="A16" s="428"/>
      <c r="B16" s="427"/>
      <c r="C16" s="427"/>
      <c r="D16" s="427"/>
      <c r="E16" s="428"/>
      <c r="F16" s="98"/>
      <c r="G16" s="88" t="s">
        <v>18</v>
      </c>
      <c r="H16" s="79"/>
      <c r="I16" s="80">
        <v>45</v>
      </c>
      <c r="J16" s="81">
        <v>46</v>
      </c>
      <c r="K16" s="81">
        <f t="shared" si="1"/>
        <v>2070</v>
      </c>
      <c r="L16" s="102"/>
      <c r="M16" s="102"/>
    </row>
    <row r="17" spans="1:13" s="71" customFormat="1" ht="14.1" customHeight="1">
      <c r="A17" s="428"/>
      <c r="B17" s="427"/>
      <c r="C17" s="427"/>
      <c r="D17" s="427"/>
      <c r="E17" s="428"/>
      <c r="F17" s="98"/>
      <c r="G17" s="517" t="s">
        <v>1067</v>
      </c>
      <c r="H17" s="79"/>
      <c r="I17" s="80">
        <v>34</v>
      </c>
      <c r="J17" s="81">
        <v>416</v>
      </c>
      <c r="K17" s="81">
        <f t="shared" si="1"/>
        <v>14144</v>
      </c>
      <c r="L17" s="102"/>
      <c r="M17" s="102"/>
    </row>
    <row r="18" spans="1:13" s="71" customFormat="1" ht="14.1" customHeight="1">
      <c r="A18" s="428"/>
      <c r="B18" s="428"/>
      <c r="C18" s="428"/>
      <c r="D18" s="428"/>
      <c r="E18" s="428"/>
      <c r="F18" s="98"/>
      <c r="G18" s="517" t="s">
        <v>1065</v>
      </c>
      <c r="H18" s="79"/>
      <c r="I18" s="80">
        <v>15</v>
      </c>
      <c r="J18" s="81">
        <v>165</v>
      </c>
      <c r="K18" s="81">
        <f>I18*J18</f>
        <v>2475</v>
      </c>
      <c r="L18" s="102"/>
      <c r="M18" s="102"/>
    </row>
    <row r="19" spans="1:13" s="71" customFormat="1" ht="14.1" customHeight="1">
      <c r="A19" s="428"/>
      <c r="B19" s="428"/>
      <c r="C19" s="428"/>
      <c r="D19" s="428"/>
      <c r="E19" s="428"/>
      <c r="F19" s="98"/>
      <c r="G19" s="518" t="s">
        <v>1066</v>
      </c>
      <c r="H19" s="79"/>
      <c r="I19" s="80">
        <v>6</v>
      </c>
      <c r="J19" s="81">
        <v>165</v>
      </c>
      <c r="K19" s="81">
        <f t="shared" ref="K19" si="2">I19*J19</f>
        <v>990</v>
      </c>
      <c r="L19" s="102"/>
      <c r="M19" s="102"/>
    </row>
    <row r="20" spans="1:13" s="71" customFormat="1" ht="14.1" customHeight="1">
      <c r="A20" s="428"/>
      <c r="B20" s="428"/>
      <c r="C20" s="428"/>
      <c r="D20" s="428"/>
      <c r="E20" s="274" t="s">
        <v>9</v>
      </c>
      <c r="F20" s="110">
        <f>SUM(F15:F19)</f>
        <v>10979.743999999999</v>
      </c>
      <c r="G20" s="274"/>
      <c r="H20" s="274"/>
      <c r="I20" s="125"/>
      <c r="J20" s="97"/>
      <c r="K20" s="111">
        <f>SUM(K15:K19)</f>
        <v>24119</v>
      </c>
      <c r="L20" s="111">
        <f>K20/F20</f>
        <v>2.1966814526823213</v>
      </c>
      <c r="M20" s="102"/>
    </row>
    <row r="21" spans="1:13" s="71" customFormat="1" ht="14.1" customHeight="1">
      <c r="A21" s="428">
        <v>2</v>
      </c>
      <c r="B21" s="427" t="s">
        <v>269</v>
      </c>
      <c r="C21" s="427"/>
      <c r="D21" s="427"/>
      <c r="E21" s="428"/>
      <c r="F21" s="160">
        <f>766*1.0936</f>
        <v>837.69759999999997</v>
      </c>
      <c r="G21" s="517" t="s">
        <v>24</v>
      </c>
      <c r="H21" s="79"/>
      <c r="I21" s="80">
        <v>10</v>
      </c>
      <c r="J21" s="81">
        <v>74</v>
      </c>
      <c r="K21" s="81">
        <f t="shared" ref="K21:K23" si="3">I21*J21</f>
        <v>740</v>
      </c>
      <c r="L21" s="102"/>
      <c r="M21" s="102"/>
    </row>
    <row r="22" spans="1:13" s="71" customFormat="1" ht="14.1" customHeight="1">
      <c r="A22" s="428"/>
      <c r="B22" s="428"/>
      <c r="C22" s="428"/>
      <c r="D22" s="428"/>
      <c r="E22" s="428"/>
      <c r="F22" s="98"/>
      <c r="G22" s="88" t="s">
        <v>18</v>
      </c>
      <c r="H22" s="79"/>
      <c r="I22" s="80">
        <v>5</v>
      </c>
      <c r="J22" s="81">
        <v>46</v>
      </c>
      <c r="K22" s="81">
        <f t="shared" si="3"/>
        <v>230</v>
      </c>
      <c r="L22" s="102"/>
      <c r="M22" s="102"/>
    </row>
    <row r="23" spans="1:13" s="71" customFormat="1" ht="14.1" customHeight="1">
      <c r="A23" s="428"/>
      <c r="B23" s="428"/>
      <c r="C23" s="428"/>
      <c r="D23" s="428"/>
      <c r="E23" s="428"/>
      <c r="F23" s="98"/>
      <c r="G23" s="517" t="s">
        <v>1067</v>
      </c>
      <c r="H23" s="79"/>
      <c r="I23" s="80">
        <v>4</v>
      </c>
      <c r="J23" s="81">
        <v>416</v>
      </c>
      <c r="K23" s="81">
        <f t="shared" si="3"/>
        <v>1664</v>
      </c>
      <c r="L23" s="102"/>
      <c r="M23" s="102"/>
    </row>
    <row r="24" spans="1:13" s="71" customFormat="1" ht="14.1" customHeight="1">
      <c r="A24" s="428"/>
      <c r="B24" s="428"/>
      <c r="C24" s="428"/>
      <c r="D24" s="428"/>
      <c r="E24" s="428"/>
      <c r="F24" s="98"/>
      <c r="G24" s="517" t="s">
        <v>1065</v>
      </c>
      <c r="H24" s="79"/>
      <c r="I24" s="80">
        <v>3</v>
      </c>
      <c r="J24" s="81">
        <v>165</v>
      </c>
      <c r="K24" s="81">
        <f>I24*J24</f>
        <v>495</v>
      </c>
      <c r="L24" s="102"/>
      <c r="M24" s="102"/>
    </row>
    <row r="25" spans="1:13" s="71" customFormat="1" ht="14.1" customHeight="1">
      <c r="A25" s="428"/>
      <c r="B25" s="428"/>
      <c r="C25" s="428"/>
      <c r="D25" s="428"/>
      <c r="E25" s="428"/>
      <c r="F25" s="98"/>
      <c r="G25" s="518" t="s">
        <v>1066</v>
      </c>
      <c r="H25" s="79"/>
      <c r="I25" s="80">
        <v>2</v>
      </c>
      <c r="J25" s="81">
        <v>165</v>
      </c>
      <c r="K25" s="81">
        <f t="shared" ref="K25" si="4">I25*J25</f>
        <v>330</v>
      </c>
      <c r="L25" s="102"/>
      <c r="M25" s="102"/>
    </row>
    <row r="26" spans="1:13" s="71" customFormat="1" ht="14.1" customHeight="1">
      <c r="A26" s="428"/>
      <c r="B26" s="428"/>
      <c r="C26" s="428"/>
      <c r="D26" s="428"/>
      <c r="E26" s="274" t="s">
        <v>9</v>
      </c>
      <c r="F26" s="110">
        <f>SUM(F21:F25)</f>
        <v>837.69759999999997</v>
      </c>
      <c r="G26" s="274"/>
      <c r="H26" s="274"/>
      <c r="I26" s="125"/>
      <c r="J26" s="97"/>
      <c r="K26" s="111">
        <f>SUM(K21:K25)</f>
        <v>3459</v>
      </c>
      <c r="L26" s="111">
        <f>K26/F26</f>
        <v>4.1291750149457274</v>
      </c>
      <c r="M26" s="102"/>
    </row>
    <row r="27" spans="1:13" s="71" customFormat="1" ht="14.1" customHeight="1">
      <c r="A27" s="131"/>
      <c r="B27" s="131"/>
      <c r="C27" s="131"/>
      <c r="D27" s="274" t="s">
        <v>30</v>
      </c>
      <c r="E27" s="274"/>
      <c r="F27" s="127">
        <f>F20+F26</f>
        <v>11817.441599999998</v>
      </c>
      <c r="G27" s="132"/>
      <c r="H27" s="132"/>
      <c r="I27" s="132"/>
      <c r="J27" s="132"/>
      <c r="K27" s="127">
        <f>K20+K26</f>
        <v>27578</v>
      </c>
      <c r="L27" s="129">
        <f>K27/F27</f>
        <v>2.3336692436034552</v>
      </c>
      <c r="M27" s="102"/>
    </row>
    <row r="28" spans="1:13" s="71" customFormat="1" ht="14.1" customHeight="1">
      <c r="A28" s="70" t="s">
        <v>22</v>
      </c>
      <c r="B28" s="70"/>
      <c r="C28" s="70"/>
      <c r="D28" s="70"/>
      <c r="E28" s="70"/>
      <c r="K28" s="824" t="s">
        <v>958</v>
      </c>
      <c r="L28" s="824"/>
      <c r="M28" s="824"/>
    </row>
    <row r="29" spans="1:13" s="71" customFormat="1" ht="14.1" customHeight="1">
      <c r="A29" s="274" t="s">
        <v>0</v>
      </c>
      <c r="B29" s="274" t="s">
        <v>7</v>
      </c>
      <c r="C29" s="274" t="s">
        <v>13</v>
      </c>
      <c r="D29" s="274" t="s">
        <v>14</v>
      </c>
      <c r="E29" s="274" t="s">
        <v>8</v>
      </c>
      <c r="F29" s="274" t="s">
        <v>1</v>
      </c>
      <c r="G29" s="274" t="s">
        <v>2</v>
      </c>
      <c r="H29" s="274" t="s">
        <v>15</v>
      </c>
      <c r="I29" s="274" t="s">
        <v>3</v>
      </c>
      <c r="J29" s="274" t="s">
        <v>4</v>
      </c>
      <c r="K29" s="274" t="s">
        <v>5</v>
      </c>
      <c r="L29" s="274" t="s">
        <v>12</v>
      </c>
      <c r="M29" s="274" t="s">
        <v>6</v>
      </c>
    </row>
    <row r="30" spans="1:13" s="71" customFormat="1" ht="14.1" customHeight="1">
      <c r="A30" s="428">
        <v>1</v>
      </c>
      <c r="B30" s="427" t="s">
        <v>767</v>
      </c>
      <c r="C30" s="427" t="s">
        <v>766</v>
      </c>
      <c r="D30" s="427" t="s">
        <v>857</v>
      </c>
      <c r="E30" s="428"/>
      <c r="F30" s="99">
        <f>1945*1.0936</f>
        <v>2127.0519999999997</v>
      </c>
      <c r="G30" s="427" t="s">
        <v>24</v>
      </c>
      <c r="H30" s="79"/>
      <c r="I30" s="80">
        <v>30</v>
      </c>
      <c r="J30" s="81">
        <v>74</v>
      </c>
      <c r="K30" s="81">
        <f t="shared" ref="K30:K31" si="5">I30*J30</f>
        <v>2220</v>
      </c>
      <c r="L30" s="102"/>
      <c r="M30" s="124"/>
    </row>
    <row r="31" spans="1:13" s="71" customFormat="1" ht="14.1" customHeight="1">
      <c r="A31" s="428"/>
      <c r="B31" s="427"/>
      <c r="C31" s="427"/>
      <c r="D31" s="427"/>
      <c r="E31" s="428"/>
      <c r="F31" s="98"/>
      <c r="G31" s="430" t="s">
        <v>10</v>
      </c>
      <c r="H31" s="79"/>
      <c r="I31" s="80">
        <v>3</v>
      </c>
      <c r="J31" s="81">
        <v>120</v>
      </c>
      <c r="K31" s="81">
        <f t="shared" si="5"/>
        <v>360</v>
      </c>
      <c r="L31" s="102"/>
      <c r="M31" s="102"/>
    </row>
    <row r="32" spans="1:13" s="71" customFormat="1" ht="14.1" customHeight="1">
      <c r="A32" s="428"/>
      <c r="B32" s="427"/>
      <c r="C32" s="427"/>
      <c r="D32" s="427"/>
      <c r="E32" s="274" t="s">
        <v>9</v>
      </c>
      <c r="F32" s="110">
        <f>SUM(F30:F31)</f>
        <v>2127.0519999999997</v>
      </c>
      <c r="G32" s="274"/>
      <c r="H32" s="274"/>
      <c r="I32" s="125"/>
      <c r="J32" s="97"/>
      <c r="K32" s="111">
        <f>SUM(K30:K31)</f>
        <v>2580</v>
      </c>
      <c r="L32" s="111">
        <f>K32/F32</f>
        <v>1.2129463689651219</v>
      </c>
      <c r="M32" s="102"/>
    </row>
    <row r="33" spans="1:14" s="71" customFormat="1" ht="14.1" customHeight="1">
      <c r="A33" s="428">
        <v>2</v>
      </c>
      <c r="B33" s="427" t="s">
        <v>942</v>
      </c>
      <c r="C33" s="427" t="s">
        <v>121</v>
      </c>
      <c r="D33" s="427" t="s">
        <v>943</v>
      </c>
      <c r="E33" s="428"/>
      <c r="F33" s="99">
        <f>3680*1.0936</f>
        <v>4024.4479999999999</v>
      </c>
      <c r="G33" s="427" t="s">
        <v>24</v>
      </c>
      <c r="H33" s="79"/>
      <c r="I33" s="80">
        <v>60</v>
      </c>
      <c r="J33" s="81">
        <v>74</v>
      </c>
      <c r="K33" s="81">
        <f t="shared" ref="K33:K34" si="6">I33*J33</f>
        <v>4440</v>
      </c>
      <c r="L33" s="102"/>
      <c r="M33" s="102"/>
    </row>
    <row r="34" spans="1:14" s="71" customFormat="1" ht="14.1" customHeight="1">
      <c r="A34" s="428"/>
      <c r="B34" s="427"/>
      <c r="C34" s="427"/>
      <c r="D34" s="427"/>
      <c r="E34" s="428"/>
      <c r="F34" s="98"/>
      <c r="G34" s="430" t="s">
        <v>10</v>
      </c>
      <c r="H34" s="79"/>
      <c r="I34" s="80">
        <v>5</v>
      </c>
      <c r="J34" s="81">
        <v>120</v>
      </c>
      <c r="K34" s="81">
        <f t="shared" si="6"/>
        <v>600</v>
      </c>
      <c r="L34" s="102"/>
      <c r="M34" s="102"/>
    </row>
    <row r="35" spans="1:14" s="71" customFormat="1" ht="14.1" customHeight="1">
      <c r="A35" s="428"/>
      <c r="B35" s="427"/>
      <c r="C35" s="427"/>
      <c r="D35" s="427"/>
      <c r="E35" s="274" t="s">
        <v>9</v>
      </c>
      <c r="F35" s="110">
        <f>SUM(F33:F34)</f>
        <v>4024.4479999999999</v>
      </c>
      <c r="G35" s="274"/>
      <c r="H35" s="274"/>
      <c r="I35" s="125"/>
      <c r="J35" s="97"/>
      <c r="K35" s="111">
        <f>SUM(K33:K34)</f>
        <v>5040</v>
      </c>
      <c r="L35" s="111">
        <f>K35/F35</f>
        <v>1.2523456633058745</v>
      </c>
      <c r="M35" s="102"/>
    </row>
    <row r="36" spans="1:14" s="71" customFormat="1" ht="14.1" customHeight="1">
      <c r="A36" s="428">
        <v>3</v>
      </c>
      <c r="B36" s="427" t="s">
        <v>866</v>
      </c>
      <c r="C36" s="427" t="s">
        <v>792</v>
      </c>
      <c r="D36" s="427" t="s">
        <v>867</v>
      </c>
      <c r="E36" s="428"/>
      <c r="F36" s="160">
        <f>10040*1.0936</f>
        <v>10979.743999999999</v>
      </c>
      <c r="G36" s="427" t="s">
        <v>24</v>
      </c>
      <c r="H36" s="79"/>
      <c r="I36" s="80">
        <v>120</v>
      </c>
      <c r="J36" s="81">
        <v>74</v>
      </c>
      <c r="K36" s="81">
        <f t="shared" ref="K36:K37" si="7">I36*J36</f>
        <v>8880</v>
      </c>
      <c r="L36" s="102"/>
      <c r="M36" s="102"/>
    </row>
    <row r="37" spans="1:14" s="71" customFormat="1" ht="14.1" customHeight="1">
      <c r="A37" s="428"/>
      <c r="B37" s="427"/>
      <c r="C37" s="427"/>
      <c r="D37" s="427"/>
      <c r="E37" s="428"/>
      <c r="F37" s="98"/>
      <c r="G37" s="430" t="s">
        <v>10</v>
      </c>
      <c r="H37" s="79"/>
      <c r="I37" s="80">
        <v>30</v>
      </c>
      <c r="J37" s="81">
        <v>120</v>
      </c>
      <c r="K37" s="81">
        <f t="shared" si="7"/>
        <v>3600</v>
      </c>
      <c r="L37" s="102"/>
      <c r="M37" s="102"/>
    </row>
    <row r="38" spans="1:14" s="71" customFormat="1" ht="14.1" customHeight="1">
      <c r="A38" s="428"/>
      <c r="B38" s="427"/>
      <c r="C38" s="427"/>
      <c r="D38" s="427"/>
      <c r="E38" s="274" t="s">
        <v>9</v>
      </c>
      <c r="F38" s="110">
        <f>SUM(F36:F37)</f>
        <v>10979.743999999999</v>
      </c>
      <c r="G38" s="274"/>
      <c r="H38" s="274"/>
      <c r="I38" s="125"/>
      <c r="J38" s="97"/>
      <c r="K38" s="111">
        <f>SUM(K36:K37)</f>
        <v>12480</v>
      </c>
      <c r="L38" s="111">
        <f>K38/F38</f>
        <v>1.1366385227196556</v>
      </c>
      <c r="M38" s="102"/>
    </row>
    <row r="39" spans="1:14" s="71" customFormat="1" ht="14.1" customHeight="1">
      <c r="A39" s="428">
        <v>4</v>
      </c>
      <c r="B39" s="427" t="s">
        <v>269</v>
      </c>
      <c r="C39" s="427"/>
      <c r="D39" s="427"/>
      <c r="E39" s="428"/>
      <c r="F39" s="160">
        <f>816*1.0936</f>
        <v>892.37759999999992</v>
      </c>
      <c r="G39" s="427" t="s">
        <v>24</v>
      </c>
      <c r="H39" s="79"/>
      <c r="I39" s="80">
        <v>15</v>
      </c>
      <c r="J39" s="81">
        <v>74</v>
      </c>
      <c r="K39" s="81">
        <f t="shared" ref="K39:K40" si="8">I39*J39</f>
        <v>1110</v>
      </c>
      <c r="L39" s="102"/>
      <c r="M39" s="102"/>
    </row>
    <row r="40" spans="1:14" s="71" customFormat="1" ht="14.1" customHeight="1">
      <c r="A40" s="428"/>
      <c r="B40" s="428"/>
      <c r="C40" s="428"/>
      <c r="D40" s="428"/>
      <c r="E40" s="428"/>
      <c r="F40" s="98"/>
      <c r="G40" s="430" t="s">
        <v>10</v>
      </c>
      <c r="H40" s="79"/>
      <c r="I40" s="80">
        <v>2</v>
      </c>
      <c r="J40" s="81">
        <v>120</v>
      </c>
      <c r="K40" s="81">
        <f t="shared" si="8"/>
        <v>240</v>
      </c>
      <c r="L40" s="102"/>
      <c r="M40" s="102"/>
    </row>
    <row r="41" spans="1:14" s="71" customFormat="1" ht="14.1" customHeight="1">
      <c r="A41" s="428"/>
      <c r="B41" s="428"/>
      <c r="C41" s="428"/>
      <c r="D41" s="428"/>
      <c r="E41" s="274" t="s">
        <v>9</v>
      </c>
      <c r="F41" s="110">
        <f>SUM(F39:F40)</f>
        <v>892.37759999999992</v>
      </c>
      <c r="G41" s="274"/>
      <c r="H41" s="274"/>
      <c r="I41" s="125"/>
      <c r="J41" s="97"/>
      <c r="K41" s="111">
        <f>SUM(K39:K40)</f>
        <v>1350</v>
      </c>
      <c r="L41" s="111">
        <f>K41/F41</f>
        <v>1.5128125134472226</v>
      </c>
      <c r="M41" s="102"/>
    </row>
    <row r="42" spans="1:14" s="71" customFormat="1" ht="14.1" customHeight="1">
      <c r="D42" s="126" t="s">
        <v>30</v>
      </c>
      <c r="E42" s="126"/>
      <c r="F42" s="127">
        <f>F32+F35+F38+F41</f>
        <v>18023.621599999999</v>
      </c>
      <c r="G42" s="128"/>
      <c r="H42" s="128"/>
      <c r="I42" s="128"/>
      <c r="J42" s="128"/>
      <c r="K42" s="127">
        <f>K32+K35+K38+K41</f>
        <v>21450</v>
      </c>
      <c r="L42" s="129">
        <f>K42/F42</f>
        <v>1.1901048788108157</v>
      </c>
    </row>
    <row r="43" spans="1:14" s="71" customFormat="1" ht="14.1" customHeight="1">
      <c r="A43" s="70" t="s">
        <v>16</v>
      </c>
      <c r="B43" s="70"/>
      <c r="C43" s="70"/>
      <c r="D43" s="70"/>
      <c r="E43" s="70"/>
      <c r="K43" s="824" t="s">
        <v>958</v>
      </c>
      <c r="L43" s="824"/>
      <c r="M43" s="824"/>
    </row>
    <row r="44" spans="1:14" s="71" customFormat="1" ht="14.1" customHeight="1">
      <c r="A44" s="274" t="s">
        <v>0</v>
      </c>
      <c r="B44" s="274" t="s">
        <v>7</v>
      </c>
      <c r="C44" s="274" t="s">
        <v>13</v>
      </c>
      <c r="D44" s="274" t="s">
        <v>14</v>
      </c>
      <c r="E44" s="274" t="s">
        <v>8</v>
      </c>
      <c r="F44" s="274" t="s">
        <v>1</v>
      </c>
      <c r="G44" s="274" t="s">
        <v>2</v>
      </c>
      <c r="H44" s="274" t="s">
        <v>15</v>
      </c>
      <c r="I44" s="274" t="s">
        <v>3</v>
      </c>
      <c r="J44" s="274" t="s">
        <v>4</v>
      </c>
      <c r="K44" s="274" t="s">
        <v>5</v>
      </c>
      <c r="L44" s="274" t="s">
        <v>12</v>
      </c>
      <c r="M44" s="274" t="s">
        <v>6</v>
      </c>
    </row>
    <row r="45" spans="1:14" s="107" customFormat="1" ht="14.1" customHeight="1">
      <c r="A45" s="428"/>
      <c r="B45" s="427"/>
      <c r="C45" s="427"/>
      <c r="D45" s="427"/>
      <c r="E45" s="428"/>
      <c r="F45" s="98"/>
      <c r="G45" s="427" t="s">
        <v>75</v>
      </c>
      <c r="H45" s="427"/>
      <c r="I45" s="96"/>
      <c r="J45" s="94">
        <v>367</v>
      </c>
      <c r="K45" s="94">
        <f t="shared" ref="K45" si="9">I45*J45</f>
        <v>0</v>
      </c>
      <c r="L45" s="102"/>
      <c r="M45" s="139"/>
      <c r="N45" s="71"/>
    </row>
    <row r="46" spans="1:14" s="107" customFormat="1" ht="14.1" customHeight="1">
      <c r="A46" s="428"/>
      <c r="B46" s="428"/>
      <c r="C46" s="428"/>
      <c r="D46" s="428"/>
      <c r="E46" s="428"/>
      <c r="F46" s="98"/>
      <c r="G46" s="427" t="s">
        <v>69</v>
      </c>
      <c r="H46" s="79"/>
      <c r="I46" s="80"/>
      <c r="J46" s="81">
        <v>334</v>
      </c>
      <c r="K46" s="81">
        <f t="shared" ref="K46:K47" si="10">I46*J46</f>
        <v>0</v>
      </c>
      <c r="L46" s="102"/>
      <c r="M46" s="102"/>
      <c r="N46" s="71"/>
    </row>
    <row r="47" spans="1:14" s="107" customFormat="1" ht="14.1" customHeight="1">
      <c r="A47" s="428"/>
      <c r="B47" s="428"/>
      <c r="C47" s="428"/>
      <c r="D47" s="428"/>
      <c r="E47" s="428"/>
      <c r="F47" s="98"/>
      <c r="G47" s="427" t="s">
        <v>20</v>
      </c>
      <c r="H47" s="79"/>
      <c r="I47" s="80"/>
      <c r="J47" s="81">
        <v>315</v>
      </c>
      <c r="K47" s="81">
        <f t="shared" si="10"/>
        <v>0</v>
      </c>
      <c r="L47" s="102"/>
      <c r="M47" s="102"/>
      <c r="N47" s="71"/>
    </row>
    <row r="48" spans="1:14" s="107" customFormat="1" ht="14.1" customHeight="1">
      <c r="A48" s="428"/>
      <c r="B48" s="428"/>
      <c r="C48" s="428"/>
      <c r="D48" s="428"/>
      <c r="E48" s="274" t="s">
        <v>9</v>
      </c>
      <c r="F48" s="110">
        <f>SUM(F46:F47)</f>
        <v>0</v>
      </c>
      <c r="G48" s="274"/>
      <c r="H48" s="274"/>
      <c r="I48" s="125"/>
      <c r="J48" s="97"/>
      <c r="K48" s="111">
        <f>SUM(K46:K47)</f>
        <v>0</v>
      </c>
      <c r="L48" s="111" t="e">
        <f>K48/F48</f>
        <v>#DIV/0!</v>
      </c>
      <c r="M48" s="102"/>
      <c r="N48" s="71"/>
    </row>
    <row r="49" spans="1:14" s="107" customFormat="1" ht="14.1" customHeight="1">
      <c r="A49" s="425"/>
      <c r="B49" s="425"/>
      <c r="C49" s="425"/>
      <c r="D49" s="126" t="s">
        <v>30</v>
      </c>
      <c r="E49" s="126"/>
      <c r="F49" s="127">
        <f>F48</f>
        <v>0</v>
      </c>
      <c r="G49" s="128"/>
      <c r="H49" s="128"/>
      <c r="I49" s="128"/>
      <c r="J49" s="128"/>
      <c r="K49" s="127">
        <f>K48</f>
        <v>0</v>
      </c>
      <c r="L49" s="129" t="e">
        <f>K49/F49</f>
        <v>#DIV/0!</v>
      </c>
      <c r="M49" s="131"/>
      <c r="N49" s="71"/>
    </row>
    <row r="50" spans="1:14" s="107" customFormat="1" ht="14.1" customHeight="1">
      <c r="A50" s="70" t="s">
        <v>72</v>
      </c>
      <c r="B50" s="70"/>
      <c r="C50" s="70"/>
      <c r="D50" s="70"/>
      <c r="E50" s="70"/>
      <c r="F50" s="71"/>
      <c r="G50" s="71"/>
      <c r="H50" s="71"/>
      <c r="I50" s="140"/>
      <c r="J50" s="71"/>
      <c r="K50" s="824" t="s">
        <v>958</v>
      </c>
      <c r="L50" s="824"/>
      <c r="M50" s="824"/>
      <c r="N50" s="71"/>
    </row>
    <row r="51" spans="1:14" s="107" customFormat="1" ht="14.1" customHeight="1">
      <c r="A51" s="274" t="s">
        <v>0</v>
      </c>
      <c r="B51" s="274" t="s">
        <v>7</v>
      </c>
      <c r="C51" s="274" t="s">
        <v>13</v>
      </c>
      <c r="D51" s="274" t="s">
        <v>14</v>
      </c>
      <c r="E51" s="274" t="s">
        <v>8</v>
      </c>
      <c r="F51" s="274" t="s">
        <v>1</v>
      </c>
      <c r="G51" s="274" t="s">
        <v>2</v>
      </c>
      <c r="H51" s="274" t="s">
        <v>15</v>
      </c>
      <c r="I51" s="141" t="s">
        <v>3</v>
      </c>
      <c r="J51" s="274" t="s">
        <v>4</v>
      </c>
      <c r="K51" s="274" t="s">
        <v>5</v>
      </c>
      <c r="L51" s="274" t="s">
        <v>12</v>
      </c>
      <c r="M51" s="274" t="s">
        <v>6</v>
      </c>
      <c r="N51" s="123"/>
    </row>
    <row r="52" spans="1:14" s="107" customFormat="1" ht="14.1" customHeight="1">
      <c r="A52" s="428">
        <v>9755</v>
      </c>
      <c r="B52" s="427" t="s">
        <v>959</v>
      </c>
      <c r="C52" s="427" t="s">
        <v>302</v>
      </c>
      <c r="D52" s="427" t="s">
        <v>467</v>
      </c>
      <c r="E52" s="428" t="s">
        <v>262</v>
      </c>
      <c r="F52" s="87">
        <f>50*1.0936</f>
        <v>54.679999999999993</v>
      </c>
      <c r="G52" s="429" t="s">
        <v>405</v>
      </c>
      <c r="H52" s="79"/>
      <c r="I52" s="80">
        <v>0.14399999999999999</v>
      </c>
      <c r="J52" s="81">
        <v>1708</v>
      </c>
      <c r="K52" s="81">
        <f t="shared" ref="K52:K56" si="11">I52*J52</f>
        <v>245.95199999999997</v>
      </c>
      <c r="L52" s="102"/>
      <c r="M52" s="102"/>
      <c r="N52" s="71"/>
    </row>
    <row r="53" spans="1:14" s="107" customFormat="1" ht="14.1" customHeight="1">
      <c r="A53" s="428"/>
      <c r="B53" s="427"/>
      <c r="C53" s="427"/>
      <c r="D53" s="427"/>
      <c r="E53" s="428"/>
      <c r="F53" s="98"/>
      <c r="G53" s="91" t="s">
        <v>926</v>
      </c>
      <c r="H53" s="79"/>
      <c r="I53" s="80">
        <v>0.108</v>
      </c>
      <c r="J53" s="81">
        <v>2152</v>
      </c>
      <c r="K53" s="81">
        <f t="shared" si="11"/>
        <v>232.416</v>
      </c>
      <c r="L53" s="102"/>
      <c r="M53" s="102"/>
      <c r="N53" s="71"/>
    </row>
    <row r="54" spans="1:14" s="107" customFormat="1" ht="14.1" customHeight="1">
      <c r="A54" s="428"/>
      <c r="B54" s="427"/>
      <c r="C54" s="427"/>
      <c r="D54" s="427"/>
      <c r="E54" s="428"/>
      <c r="F54" s="98"/>
      <c r="G54" s="93" t="s">
        <v>315</v>
      </c>
      <c r="H54" s="79"/>
      <c r="I54" s="80">
        <v>0.11</v>
      </c>
      <c r="J54" s="81">
        <v>2184</v>
      </c>
      <c r="K54" s="81">
        <f t="shared" si="11"/>
        <v>240.24</v>
      </c>
      <c r="L54" s="102"/>
      <c r="M54" s="102"/>
      <c r="N54" s="71"/>
    </row>
    <row r="55" spans="1:14" s="107" customFormat="1" ht="14.1" customHeight="1">
      <c r="A55" s="428"/>
      <c r="B55" s="427"/>
      <c r="C55" s="427"/>
      <c r="D55" s="427"/>
      <c r="E55" s="428"/>
      <c r="F55" s="98"/>
      <c r="G55" s="427" t="s">
        <v>184</v>
      </c>
      <c r="H55" s="427"/>
      <c r="I55" s="80">
        <v>0.6</v>
      </c>
      <c r="J55" s="81">
        <v>336</v>
      </c>
      <c r="K55" s="94">
        <f t="shared" si="11"/>
        <v>201.6</v>
      </c>
      <c r="L55" s="79"/>
      <c r="M55" s="102"/>
      <c r="N55" s="71"/>
    </row>
    <row r="56" spans="1:14" s="107" customFormat="1" ht="14.1" customHeight="1">
      <c r="A56" s="428"/>
      <c r="B56" s="427"/>
      <c r="C56" s="427"/>
      <c r="D56" s="427"/>
      <c r="E56" s="428"/>
      <c r="F56" s="98"/>
      <c r="G56" s="95" t="s">
        <v>185</v>
      </c>
      <c r="H56" s="79"/>
      <c r="I56" s="96">
        <v>0.12</v>
      </c>
      <c r="J56" s="81">
        <v>490</v>
      </c>
      <c r="K56" s="81">
        <f t="shared" si="11"/>
        <v>58.8</v>
      </c>
      <c r="L56" s="79"/>
      <c r="M56" s="102"/>
      <c r="N56" s="71"/>
    </row>
    <row r="57" spans="1:14" s="107" customFormat="1" ht="14.1" customHeight="1">
      <c r="A57" s="428"/>
      <c r="B57" s="428"/>
      <c r="C57" s="428"/>
      <c r="D57" s="428"/>
      <c r="E57" s="274" t="s">
        <v>9</v>
      </c>
      <c r="F57" s="110">
        <f>SUM(F52:F56)</f>
        <v>54.679999999999993</v>
      </c>
      <c r="G57" s="274"/>
      <c r="H57" s="274"/>
      <c r="I57" s="125"/>
      <c r="J57" s="97"/>
      <c r="K57" s="111">
        <f>SUM(K52:K56)</f>
        <v>979.00799999999992</v>
      </c>
      <c r="L57" s="111">
        <f>K57/F57</f>
        <v>17.90431602048281</v>
      </c>
      <c r="M57" s="102"/>
      <c r="N57" s="71"/>
    </row>
    <row r="58" spans="1:14" s="107" customFormat="1" ht="14.1" customHeight="1">
      <c r="A58" s="428">
        <v>9757</v>
      </c>
      <c r="B58" s="427" t="s">
        <v>896</v>
      </c>
      <c r="C58" s="427" t="s">
        <v>349</v>
      </c>
      <c r="D58" s="427" t="s">
        <v>113</v>
      </c>
      <c r="E58" s="427" t="s">
        <v>127</v>
      </c>
      <c r="F58" s="90">
        <f>2500*1.0936</f>
        <v>2733.9999999999995</v>
      </c>
      <c r="G58" s="91" t="s">
        <v>196</v>
      </c>
      <c r="H58" s="79"/>
      <c r="I58" s="80">
        <f>1.65+0.96</f>
        <v>2.61</v>
      </c>
      <c r="J58" s="81">
        <v>888</v>
      </c>
      <c r="K58" s="81">
        <f t="shared" ref="K58:K62" si="12">I58*J58</f>
        <v>2317.6799999999998</v>
      </c>
      <c r="L58" s="102"/>
      <c r="M58" s="102"/>
      <c r="N58" s="71"/>
    </row>
    <row r="59" spans="1:14" s="107" customFormat="1" ht="14.1" customHeight="1">
      <c r="A59" s="428"/>
      <c r="B59" s="428"/>
      <c r="C59" s="427"/>
      <c r="D59" s="427"/>
      <c r="E59" s="427"/>
      <c r="F59" s="427"/>
      <c r="G59" s="91" t="s">
        <v>195</v>
      </c>
      <c r="H59" s="79"/>
      <c r="I59" s="80">
        <f>0.34+0.195</f>
        <v>0.53500000000000003</v>
      </c>
      <c r="J59" s="81">
        <v>645</v>
      </c>
      <c r="K59" s="81">
        <f t="shared" si="12"/>
        <v>345.07500000000005</v>
      </c>
      <c r="L59" s="102"/>
      <c r="M59" s="102"/>
      <c r="N59" s="71"/>
    </row>
    <row r="60" spans="1:14" s="107" customFormat="1" ht="14.1" customHeight="1">
      <c r="A60" s="428"/>
      <c r="B60" s="427"/>
      <c r="C60" s="427"/>
      <c r="D60" s="427"/>
      <c r="E60" s="427"/>
      <c r="F60" s="427"/>
      <c r="G60" s="91" t="s">
        <v>191</v>
      </c>
      <c r="H60" s="79"/>
      <c r="I60" s="80">
        <f>0.91+0.528</f>
        <v>1.4380000000000002</v>
      </c>
      <c r="J60" s="81">
        <v>1628</v>
      </c>
      <c r="K60" s="81">
        <f t="shared" si="12"/>
        <v>2341.0640000000003</v>
      </c>
      <c r="L60" s="102"/>
      <c r="M60" s="102"/>
      <c r="N60" s="71"/>
    </row>
    <row r="61" spans="1:14" s="107" customFormat="1" ht="14.1" customHeight="1">
      <c r="A61" s="428"/>
      <c r="B61" s="428"/>
      <c r="C61" s="428"/>
      <c r="D61" s="428"/>
      <c r="E61" s="428"/>
      <c r="F61" s="98"/>
      <c r="G61" s="427" t="s">
        <v>184</v>
      </c>
      <c r="H61" s="427"/>
      <c r="I61" s="80">
        <f>5+3</f>
        <v>8</v>
      </c>
      <c r="J61" s="81">
        <v>336</v>
      </c>
      <c r="K61" s="94">
        <f t="shared" si="12"/>
        <v>2688</v>
      </c>
      <c r="L61" s="102"/>
      <c r="M61" s="102"/>
      <c r="N61" s="71"/>
    </row>
    <row r="62" spans="1:14" s="107" customFormat="1" ht="14.1" customHeight="1">
      <c r="A62" s="428"/>
      <c r="B62" s="428"/>
      <c r="C62" s="428"/>
      <c r="D62" s="428"/>
      <c r="E62" s="428"/>
      <c r="F62" s="98"/>
      <c r="G62" s="95" t="s">
        <v>185</v>
      </c>
      <c r="H62" s="79"/>
      <c r="I62" s="96">
        <f>1+0.6</f>
        <v>1.6</v>
      </c>
      <c r="J62" s="81">
        <v>490</v>
      </c>
      <c r="K62" s="81">
        <f t="shared" si="12"/>
        <v>784</v>
      </c>
      <c r="L62" s="102"/>
      <c r="M62" s="102"/>
      <c r="N62" s="71"/>
    </row>
    <row r="63" spans="1:14" s="107" customFormat="1" ht="14.1" customHeight="1">
      <c r="A63" s="428"/>
      <c r="B63" s="428"/>
      <c r="C63" s="428"/>
      <c r="D63" s="428"/>
      <c r="E63" s="274" t="s">
        <v>9</v>
      </c>
      <c r="F63" s="110">
        <f>SUM(F58:F62)</f>
        <v>2733.9999999999995</v>
      </c>
      <c r="G63" s="274"/>
      <c r="H63" s="274"/>
      <c r="I63" s="125"/>
      <c r="J63" s="97"/>
      <c r="K63" s="111">
        <f>SUM(K58:K62)</f>
        <v>8475.8189999999995</v>
      </c>
      <c r="L63" s="111">
        <f>K63/F63</f>
        <v>3.1001532553035847</v>
      </c>
      <c r="M63" s="102"/>
      <c r="N63" s="71"/>
    </row>
    <row r="64" spans="1:14" s="107" customFormat="1" ht="14.1" customHeight="1">
      <c r="A64" s="427">
        <v>9759</v>
      </c>
      <c r="B64" s="427" t="s">
        <v>960</v>
      </c>
      <c r="C64" s="427" t="s">
        <v>882</v>
      </c>
      <c r="D64" s="427" t="s">
        <v>961</v>
      </c>
      <c r="E64" s="427" t="s">
        <v>962</v>
      </c>
      <c r="F64" s="160">
        <f>30*1.0936</f>
        <v>32.808</v>
      </c>
      <c r="G64" s="93" t="s">
        <v>190</v>
      </c>
      <c r="H64" s="79"/>
      <c r="I64" s="80">
        <v>0.41399999999999998</v>
      </c>
      <c r="J64" s="81">
        <v>644</v>
      </c>
      <c r="K64" s="81">
        <f t="shared" ref="K64:K68" si="13">I64*J64</f>
        <v>266.61599999999999</v>
      </c>
      <c r="L64" s="79"/>
      <c r="M64" s="102"/>
      <c r="N64" s="71"/>
    </row>
    <row r="65" spans="1:14" s="107" customFormat="1" ht="14.1" customHeight="1">
      <c r="A65" s="428"/>
      <c r="B65" s="428"/>
      <c r="C65" s="428"/>
      <c r="D65" s="428"/>
      <c r="E65" s="428"/>
      <c r="F65" s="98"/>
      <c r="G65" s="91" t="s">
        <v>192</v>
      </c>
      <c r="H65" s="79"/>
      <c r="I65" s="80">
        <v>0.23400000000000001</v>
      </c>
      <c r="J65" s="81">
        <v>1126</v>
      </c>
      <c r="K65" s="81">
        <f t="shared" si="13"/>
        <v>263.48400000000004</v>
      </c>
      <c r="L65" s="79"/>
      <c r="M65" s="102"/>
      <c r="N65" s="71"/>
    </row>
    <row r="66" spans="1:14" s="107" customFormat="1" ht="14.1" customHeight="1">
      <c r="A66" s="428"/>
      <c r="B66" s="428"/>
      <c r="C66" s="428"/>
      <c r="D66" s="428"/>
      <c r="E66" s="428"/>
      <c r="F66" s="98"/>
      <c r="G66" s="91" t="s">
        <v>194</v>
      </c>
      <c r="H66" s="79"/>
      <c r="I66" s="80">
        <v>1.306</v>
      </c>
      <c r="J66" s="81">
        <v>879</v>
      </c>
      <c r="K66" s="81">
        <f t="shared" si="13"/>
        <v>1147.9739999999999</v>
      </c>
      <c r="L66" s="79"/>
      <c r="M66" s="102"/>
      <c r="N66" s="71"/>
    </row>
    <row r="67" spans="1:14" s="107" customFormat="1" ht="14.1" customHeight="1">
      <c r="A67" s="428"/>
      <c r="B67" s="428"/>
      <c r="C67" s="428"/>
      <c r="D67" s="428"/>
      <c r="E67" s="428"/>
      <c r="F67" s="98"/>
      <c r="G67" s="427" t="s">
        <v>184</v>
      </c>
      <c r="H67" s="427"/>
      <c r="I67" s="80">
        <v>0.6</v>
      </c>
      <c r="J67" s="81">
        <v>336</v>
      </c>
      <c r="K67" s="94">
        <f t="shared" si="13"/>
        <v>201.6</v>
      </c>
      <c r="L67" s="79"/>
      <c r="M67" s="102"/>
      <c r="N67" s="71"/>
    </row>
    <row r="68" spans="1:14" s="107" customFormat="1" ht="14.1" customHeight="1">
      <c r="A68" s="428"/>
      <c r="B68" s="428"/>
      <c r="C68" s="428"/>
      <c r="D68" s="428"/>
      <c r="E68" s="428"/>
      <c r="F68" s="98"/>
      <c r="G68" s="95" t="s">
        <v>185</v>
      </c>
      <c r="H68" s="79"/>
      <c r="I68" s="96">
        <v>0.12</v>
      </c>
      <c r="J68" s="81">
        <v>490</v>
      </c>
      <c r="K68" s="81">
        <f t="shared" si="13"/>
        <v>58.8</v>
      </c>
      <c r="L68" s="79"/>
      <c r="M68" s="102"/>
      <c r="N68" s="71"/>
    </row>
    <row r="69" spans="1:14" s="107" customFormat="1" ht="14.1" customHeight="1">
      <c r="A69" s="428"/>
      <c r="B69" s="428"/>
      <c r="C69" s="428"/>
      <c r="D69" s="428"/>
      <c r="E69" s="274" t="s">
        <v>9</v>
      </c>
      <c r="F69" s="110">
        <f>SUM(F64:F68)</f>
        <v>32.808</v>
      </c>
      <c r="G69" s="274"/>
      <c r="H69" s="274"/>
      <c r="I69" s="125"/>
      <c r="J69" s="97"/>
      <c r="K69" s="111">
        <f>SUM(K64:K68)</f>
        <v>1938.4739999999999</v>
      </c>
      <c r="L69" s="111">
        <f>K69/F69</f>
        <v>59.085405998536942</v>
      </c>
      <c r="M69" s="102"/>
      <c r="N69" s="71"/>
    </row>
    <row r="70" spans="1:14" s="107" customFormat="1" ht="14.1" customHeight="1">
      <c r="A70" s="428">
        <v>9760</v>
      </c>
      <c r="B70" s="427" t="s">
        <v>963</v>
      </c>
      <c r="C70" s="427" t="s">
        <v>937</v>
      </c>
      <c r="D70" s="427" t="s">
        <v>939</v>
      </c>
      <c r="E70" s="89" t="s">
        <v>964</v>
      </c>
      <c r="F70" s="87">
        <f>2890*1.0936</f>
        <v>3160.5039999999999</v>
      </c>
      <c r="G70" s="429" t="s">
        <v>405</v>
      </c>
      <c r="H70" s="79"/>
      <c r="I70" s="80">
        <f>3.08+0.351</f>
        <v>3.431</v>
      </c>
      <c r="J70" s="81">
        <v>1708</v>
      </c>
      <c r="K70" s="81">
        <f t="shared" ref="K70:K75" si="14">I70*J70</f>
        <v>5860.1480000000001</v>
      </c>
      <c r="L70" s="102"/>
      <c r="M70" s="102"/>
      <c r="N70" s="71"/>
    </row>
    <row r="71" spans="1:14" s="107" customFormat="1" ht="14.1" customHeight="1">
      <c r="A71" s="428"/>
      <c r="B71" s="428"/>
      <c r="C71" s="428"/>
      <c r="D71" s="428"/>
      <c r="E71" s="428"/>
      <c r="F71" s="98"/>
      <c r="G71" s="91" t="s">
        <v>192</v>
      </c>
      <c r="H71" s="79"/>
      <c r="I71" s="80">
        <f>1.2+0.107</f>
        <v>1.3069999999999999</v>
      </c>
      <c r="J71" s="81">
        <v>1126</v>
      </c>
      <c r="K71" s="81">
        <f t="shared" si="14"/>
        <v>1471.682</v>
      </c>
      <c r="L71" s="102"/>
      <c r="M71" s="102"/>
      <c r="N71" s="71"/>
    </row>
    <row r="72" spans="1:14" s="107" customFormat="1" ht="14.1" customHeight="1">
      <c r="A72" s="428"/>
      <c r="B72" s="428"/>
      <c r="C72" s="428"/>
      <c r="D72" s="428"/>
      <c r="E72" s="428"/>
      <c r="F72" s="98"/>
      <c r="G72" s="91" t="s">
        <v>199</v>
      </c>
      <c r="H72" s="79"/>
      <c r="I72" s="80">
        <f>13.25+1.093</f>
        <v>14.343</v>
      </c>
      <c r="J72" s="81">
        <v>530</v>
      </c>
      <c r="K72" s="81">
        <f t="shared" si="14"/>
        <v>7601.79</v>
      </c>
      <c r="L72" s="102"/>
      <c r="M72" s="102"/>
      <c r="N72" s="71"/>
    </row>
    <row r="73" spans="1:14" s="107" customFormat="1" ht="14.1" customHeight="1">
      <c r="A73" s="428"/>
      <c r="B73" s="428"/>
      <c r="C73" s="428"/>
      <c r="D73" s="428"/>
      <c r="E73" s="428"/>
      <c r="F73" s="98"/>
      <c r="G73" s="91" t="s">
        <v>193</v>
      </c>
      <c r="H73" s="79"/>
      <c r="I73" s="80">
        <v>9.4749999999999996</v>
      </c>
      <c r="J73" s="81">
        <v>1150</v>
      </c>
      <c r="K73" s="81">
        <f t="shared" si="14"/>
        <v>10896.25</v>
      </c>
      <c r="L73" s="79"/>
      <c r="M73" s="102"/>
      <c r="N73" s="71"/>
    </row>
    <row r="74" spans="1:14" s="107" customFormat="1" ht="14.1" customHeight="1">
      <c r="A74" s="428"/>
      <c r="B74" s="428"/>
      <c r="C74" s="428"/>
      <c r="D74" s="428"/>
      <c r="E74" s="428"/>
      <c r="F74" s="98"/>
      <c r="G74" s="427" t="s">
        <v>184</v>
      </c>
      <c r="H74" s="427"/>
      <c r="I74" s="80">
        <v>5</v>
      </c>
      <c r="J74" s="81">
        <v>336</v>
      </c>
      <c r="K74" s="94">
        <f t="shared" si="14"/>
        <v>1680</v>
      </c>
      <c r="L74" s="102"/>
      <c r="M74" s="102"/>
      <c r="N74" s="71"/>
    </row>
    <row r="75" spans="1:14" s="107" customFormat="1" ht="14.1" customHeight="1">
      <c r="A75" s="428"/>
      <c r="B75" s="428"/>
      <c r="C75" s="428"/>
      <c r="D75" s="428"/>
      <c r="E75" s="428"/>
      <c r="F75" s="98"/>
      <c r="G75" s="95" t="s">
        <v>185</v>
      </c>
      <c r="H75" s="79"/>
      <c r="I75" s="96">
        <v>1</v>
      </c>
      <c r="J75" s="81">
        <v>490</v>
      </c>
      <c r="K75" s="81">
        <f t="shared" si="14"/>
        <v>490</v>
      </c>
      <c r="L75" s="102"/>
      <c r="M75" s="102"/>
      <c r="N75" s="71"/>
    </row>
    <row r="76" spans="1:14" s="107" customFormat="1" ht="14.1" customHeight="1">
      <c r="A76" s="428"/>
      <c r="B76" s="428"/>
      <c r="C76" s="428"/>
      <c r="D76" s="428"/>
      <c r="E76" s="274" t="s">
        <v>9</v>
      </c>
      <c r="F76" s="110">
        <f>SUM(F70:F75)</f>
        <v>3160.5039999999999</v>
      </c>
      <c r="G76" s="274"/>
      <c r="H76" s="274"/>
      <c r="I76" s="125"/>
      <c r="J76" s="97"/>
      <c r="K76" s="111">
        <f>SUM(K70:K75)</f>
        <v>27999.87</v>
      </c>
      <c r="L76" s="111">
        <f>K76/F76</f>
        <v>8.859305351298401</v>
      </c>
      <c r="M76" s="102"/>
      <c r="N76" s="71"/>
    </row>
    <row r="77" spans="1:14" s="107" customFormat="1" ht="14.1" customHeight="1">
      <c r="A77" s="425"/>
      <c r="B77" s="425"/>
      <c r="C77" s="425"/>
      <c r="D77" s="126" t="s">
        <v>30</v>
      </c>
      <c r="E77" s="126"/>
      <c r="F77" s="127">
        <f>F57+F63+F69+F76</f>
        <v>5981.9919999999993</v>
      </c>
      <c r="G77" s="128"/>
      <c r="H77" s="128"/>
      <c r="I77" s="128"/>
      <c r="J77" s="128"/>
      <c r="K77" s="127">
        <f>K57+K63+K69+K76</f>
        <v>39393.171000000002</v>
      </c>
      <c r="L77" s="129">
        <f>K77/F77</f>
        <v>6.585293159870492</v>
      </c>
      <c r="M77" s="131"/>
      <c r="N77" s="71"/>
    </row>
    <row r="78" spans="1:14" s="107" customFormat="1" ht="14.1" customHeight="1">
      <c r="A78" s="70" t="s">
        <v>40</v>
      </c>
      <c r="B78" s="70"/>
      <c r="C78" s="70"/>
      <c r="D78" s="70"/>
      <c r="E78" s="70"/>
      <c r="F78" s="71"/>
      <c r="G78" s="71"/>
      <c r="H78" s="71"/>
      <c r="I78" s="140"/>
      <c r="J78" s="71"/>
      <c r="K78" s="824" t="s">
        <v>958</v>
      </c>
      <c r="L78" s="824"/>
      <c r="M78" s="824"/>
      <c r="N78" s="71"/>
    </row>
    <row r="79" spans="1:14" s="107" customFormat="1" ht="14.1" customHeight="1">
      <c r="A79" s="274" t="s">
        <v>0</v>
      </c>
      <c r="B79" s="274" t="s">
        <v>7</v>
      </c>
      <c r="C79" s="274" t="s">
        <v>13</v>
      </c>
      <c r="D79" s="274" t="s">
        <v>14</v>
      </c>
      <c r="E79" s="274" t="s">
        <v>8</v>
      </c>
      <c r="F79" s="274" t="s">
        <v>1</v>
      </c>
      <c r="G79" s="274" t="s">
        <v>2</v>
      </c>
      <c r="H79" s="274" t="s">
        <v>15</v>
      </c>
      <c r="I79" s="141" t="s">
        <v>3</v>
      </c>
      <c r="J79" s="274" t="s">
        <v>4</v>
      </c>
      <c r="K79" s="274" t="s">
        <v>5</v>
      </c>
      <c r="L79" s="274" t="s">
        <v>12</v>
      </c>
      <c r="M79" s="274" t="s">
        <v>6</v>
      </c>
      <c r="N79" s="123"/>
    </row>
    <row r="80" spans="1:14" s="107" customFormat="1" ht="14.1" customHeight="1">
      <c r="A80" s="428">
        <v>9994</v>
      </c>
      <c r="B80" s="427" t="s">
        <v>936</v>
      </c>
      <c r="C80" s="427" t="s">
        <v>937</v>
      </c>
      <c r="D80" s="427" t="s">
        <v>939</v>
      </c>
      <c r="E80" s="89" t="s">
        <v>953</v>
      </c>
      <c r="F80" s="87">
        <f>4450*1.0936</f>
        <v>4866.5199999999995</v>
      </c>
      <c r="G80" s="427" t="s">
        <v>27</v>
      </c>
      <c r="H80" s="79"/>
      <c r="I80" s="80">
        <v>475</v>
      </c>
      <c r="J80" s="81">
        <v>22</v>
      </c>
      <c r="K80" s="81">
        <f t="shared" ref="K80:K82" si="15">I80*J80</f>
        <v>10450</v>
      </c>
      <c r="L80" s="428"/>
      <c r="M80" s="428"/>
      <c r="N80" s="424"/>
    </row>
    <row r="81" spans="1:14" s="107" customFormat="1" ht="14.1" customHeight="1">
      <c r="A81" s="428"/>
      <c r="B81" s="427" t="s">
        <v>963</v>
      </c>
      <c r="C81" s="427" t="s">
        <v>937</v>
      </c>
      <c r="D81" s="427" t="s">
        <v>939</v>
      </c>
      <c r="E81" s="89" t="s">
        <v>964</v>
      </c>
      <c r="F81" s="87">
        <f>2890*1.0936</f>
        <v>3160.5039999999999</v>
      </c>
      <c r="G81" s="429" t="s">
        <v>49</v>
      </c>
      <c r="H81" s="79"/>
      <c r="I81" s="80">
        <v>38</v>
      </c>
      <c r="J81" s="81">
        <v>34</v>
      </c>
      <c r="K81" s="81">
        <f t="shared" si="15"/>
        <v>1292</v>
      </c>
      <c r="L81" s="428"/>
      <c r="M81" s="428"/>
      <c r="N81" s="424"/>
    </row>
    <row r="82" spans="1:14" s="107" customFormat="1" ht="14.1" customHeight="1">
      <c r="A82" s="428"/>
      <c r="B82" s="428"/>
      <c r="C82" s="428"/>
      <c r="D82" s="428"/>
      <c r="E82" s="428"/>
      <c r="F82" s="428"/>
      <c r="G82" s="427" t="s">
        <v>19</v>
      </c>
      <c r="H82" s="79"/>
      <c r="I82" s="80">
        <v>11.4</v>
      </c>
      <c r="J82" s="81">
        <v>74</v>
      </c>
      <c r="K82" s="81">
        <f t="shared" si="15"/>
        <v>843.6</v>
      </c>
      <c r="L82" s="428"/>
      <c r="M82" s="428"/>
      <c r="N82" s="424"/>
    </row>
    <row r="83" spans="1:14" s="107" customFormat="1" ht="14.1" customHeight="1">
      <c r="A83" s="428"/>
      <c r="B83" s="428"/>
      <c r="C83" s="428"/>
      <c r="D83" s="428"/>
      <c r="E83" s="274" t="s">
        <v>9</v>
      </c>
      <c r="F83" s="110">
        <f>SUM(F80:F82)</f>
        <v>8027.0239999999994</v>
      </c>
      <c r="G83" s="274"/>
      <c r="H83" s="274"/>
      <c r="I83" s="125"/>
      <c r="J83" s="97"/>
      <c r="K83" s="111">
        <f>SUM(K80:K82)</f>
        <v>12585.6</v>
      </c>
      <c r="L83" s="111">
        <f>K83/F83</f>
        <v>1.5679036215663491</v>
      </c>
      <c r="M83" s="102"/>
      <c r="N83" s="71"/>
    </row>
    <row r="84" spans="1:14" s="107" customFormat="1" ht="14.1" customHeight="1">
      <c r="A84" s="427">
        <v>7679</v>
      </c>
      <c r="B84" s="427" t="s">
        <v>269</v>
      </c>
      <c r="C84" s="427"/>
      <c r="D84" s="427"/>
      <c r="E84" s="428"/>
      <c r="F84" s="87">
        <f>200*1.0936</f>
        <v>218.71999999999997</v>
      </c>
      <c r="G84" s="427" t="s">
        <v>27</v>
      </c>
      <c r="H84" s="79"/>
      <c r="I84" s="80">
        <f>56+2+2</f>
        <v>60</v>
      </c>
      <c r="J84" s="81">
        <v>22</v>
      </c>
      <c r="K84" s="81">
        <f t="shared" ref="K84:K86" si="16">I84*J84</f>
        <v>1320</v>
      </c>
      <c r="L84" s="428"/>
      <c r="M84" s="428"/>
      <c r="N84" s="424"/>
    </row>
    <row r="85" spans="1:14" s="107" customFormat="1" ht="14.1" customHeight="1">
      <c r="A85" s="428"/>
      <c r="B85" s="428"/>
      <c r="C85" s="428"/>
      <c r="D85" s="428"/>
      <c r="E85" s="427"/>
      <c r="F85" s="87"/>
      <c r="G85" s="429" t="s">
        <v>49</v>
      </c>
      <c r="H85" s="79"/>
      <c r="I85" s="80">
        <f>4+0.5+0.5</f>
        <v>5</v>
      </c>
      <c r="J85" s="81">
        <v>34</v>
      </c>
      <c r="K85" s="81">
        <f t="shared" si="16"/>
        <v>170</v>
      </c>
      <c r="L85" s="428"/>
      <c r="M85" s="428"/>
      <c r="N85" s="424"/>
    </row>
    <row r="86" spans="1:14" s="107" customFormat="1" ht="14.1" customHeight="1">
      <c r="A86" s="428"/>
      <c r="B86" s="428"/>
      <c r="C86" s="428"/>
      <c r="D86" s="428"/>
      <c r="E86" s="428"/>
      <c r="F86" s="428"/>
      <c r="G86" s="427" t="s">
        <v>19</v>
      </c>
      <c r="H86" s="79"/>
      <c r="I86" s="80">
        <v>1.2</v>
      </c>
      <c r="J86" s="81">
        <v>74</v>
      </c>
      <c r="K86" s="81">
        <f t="shared" si="16"/>
        <v>88.8</v>
      </c>
      <c r="L86" s="428"/>
      <c r="M86" s="428"/>
      <c r="N86" s="424"/>
    </row>
    <row r="87" spans="1:14" s="107" customFormat="1" ht="14.1" customHeight="1">
      <c r="A87" s="428"/>
      <c r="B87" s="428"/>
      <c r="C87" s="428"/>
      <c r="D87" s="428"/>
      <c r="E87" s="274" t="s">
        <v>9</v>
      </c>
      <c r="F87" s="110">
        <f>SUM(F84:F86)</f>
        <v>218.71999999999997</v>
      </c>
      <c r="G87" s="274"/>
      <c r="H87" s="274"/>
      <c r="I87" s="125"/>
      <c r="J87" s="97"/>
      <c r="K87" s="111">
        <f>SUM(K84:K86)</f>
        <v>1578.8</v>
      </c>
      <c r="L87" s="111">
        <f>K87/F87</f>
        <v>7.2183613752743243</v>
      </c>
      <c r="M87" s="102"/>
      <c r="N87" s="71"/>
    </row>
    <row r="88" spans="1:14" s="71" customFormat="1" ht="14.1" customHeight="1">
      <c r="A88" s="425"/>
      <c r="B88" s="425"/>
      <c r="C88" s="425"/>
      <c r="D88" s="126" t="s">
        <v>30</v>
      </c>
      <c r="E88" s="142"/>
      <c r="F88" s="127">
        <f>F83+F87</f>
        <v>8245.7439999999988</v>
      </c>
      <c r="G88" s="128"/>
      <c r="H88" s="128"/>
      <c r="I88" s="128"/>
      <c r="J88" s="128"/>
      <c r="K88" s="127">
        <f>K83+K87</f>
        <v>14164.4</v>
      </c>
      <c r="L88" s="129">
        <f>K88/F88</f>
        <v>1.7177831375798231</v>
      </c>
      <c r="M88" s="131"/>
    </row>
    <row r="89" spans="1:14" s="71" customFormat="1" ht="14.1" customHeight="1">
      <c r="A89" s="70" t="s">
        <v>11</v>
      </c>
      <c r="B89" s="70"/>
      <c r="C89" s="70"/>
      <c r="D89" s="70"/>
      <c r="E89" s="70"/>
      <c r="K89" s="824" t="s">
        <v>958</v>
      </c>
      <c r="L89" s="824"/>
      <c r="M89" s="824"/>
    </row>
    <row r="90" spans="1:14" s="71" customFormat="1" ht="14.1" customHeight="1">
      <c r="A90" s="274" t="s">
        <v>0</v>
      </c>
      <c r="B90" s="274" t="s">
        <v>7</v>
      </c>
      <c r="C90" s="274" t="s">
        <v>13</v>
      </c>
      <c r="D90" s="274" t="s">
        <v>14</v>
      </c>
      <c r="E90" s="274" t="s">
        <v>8</v>
      </c>
      <c r="F90" s="274" t="s">
        <v>1</v>
      </c>
      <c r="G90" s="274" t="s">
        <v>2</v>
      </c>
      <c r="H90" s="274" t="s">
        <v>15</v>
      </c>
      <c r="I90" s="274" t="s">
        <v>3</v>
      </c>
      <c r="J90" s="274" t="s">
        <v>4</v>
      </c>
      <c r="K90" s="274" t="s">
        <v>5</v>
      </c>
      <c r="L90" s="274" t="s">
        <v>12</v>
      </c>
      <c r="M90" s="274" t="s">
        <v>6</v>
      </c>
      <c r="N90" s="123"/>
    </row>
    <row r="91" spans="1:14" s="71" customFormat="1" ht="14.1" customHeight="1">
      <c r="A91" s="427">
        <v>9722</v>
      </c>
      <c r="B91" s="427" t="s">
        <v>965</v>
      </c>
      <c r="C91" s="427" t="s">
        <v>937</v>
      </c>
      <c r="D91" s="427" t="s">
        <v>939</v>
      </c>
      <c r="E91" s="89" t="s">
        <v>127</v>
      </c>
      <c r="F91" s="87">
        <f>4525*1.0936</f>
        <v>4948.54</v>
      </c>
      <c r="G91" s="173" t="s">
        <v>799</v>
      </c>
      <c r="H91" s="79"/>
      <c r="I91" s="188">
        <v>25</v>
      </c>
      <c r="J91" s="81">
        <v>350</v>
      </c>
      <c r="K91" s="94">
        <f t="shared" ref="K91:K94" si="17">I91*J91</f>
        <v>8750</v>
      </c>
      <c r="L91" s="79"/>
      <c r="M91" s="102"/>
    </row>
    <row r="92" spans="1:14" s="71" customFormat="1" ht="14.1" customHeight="1">
      <c r="A92" s="428"/>
      <c r="B92" s="100"/>
      <c r="C92" s="89"/>
      <c r="D92" s="89"/>
      <c r="E92" s="427"/>
      <c r="F92" s="99"/>
      <c r="G92" s="173" t="s">
        <v>298</v>
      </c>
      <c r="H92" s="79"/>
      <c r="I92" s="80">
        <v>15</v>
      </c>
      <c r="J92" s="81">
        <v>435</v>
      </c>
      <c r="K92" s="94">
        <f t="shared" si="17"/>
        <v>6525</v>
      </c>
      <c r="L92" s="102"/>
      <c r="M92" s="102"/>
    </row>
    <row r="93" spans="1:14" s="71" customFormat="1" ht="14.1" customHeight="1">
      <c r="A93" s="428"/>
      <c r="B93" s="428"/>
      <c r="C93" s="428"/>
      <c r="D93" s="428"/>
      <c r="E93" s="428"/>
      <c r="F93" s="98"/>
      <c r="G93" s="427" t="s">
        <v>202</v>
      </c>
      <c r="H93" s="79"/>
      <c r="I93" s="188">
        <v>1</v>
      </c>
      <c r="J93" s="81">
        <v>386</v>
      </c>
      <c r="K93" s="81">
        <f t="shared" si="17"/>
        <v>386</v>
      </c>
      <c r="L93" s="102"/>
      <c r="M93" s="102"/>
    </row>
    <row r="94" spans="1:14" s="71" customFormat="1" ht="14.1" customHeight="1">
      <c r="A94" s="428"/>
      <c r="B94" s="428"/>
      <c r="C94" s="428"/>
      <c r="D94" s="428"/>
      <c r="E94" s="428"/>
      <c r="F94" s="98"/>
      <c r="G94" s="95" t="s">
        <v>204</v>
      </c>
      <c r="H94" s="79"/>
      <c r="I94" s="81">
        <v>3</v>
      </c>
      <c r="J94" s="81">
        <v>375</v>
      </c>
      <c r="K94" s="81">
        <f t="shared" si="17"/>
        <v>1125</v>
      </c>
      <c r="L94" s="79"/>
      <c r="M94" s="102"/>
    </row>
    <row r="95" spans="1:14" s="71" customFormat="1" ht="14.1" customHeight="1">
      <c r="A95" s="428"/>
      <c r="B95" s="428"/>
      <c r="C95" s="428"/>
      <c r="D95" s="428"/>
      <c r="E95" s="274" t="s">
        <v>9</v>
      </c>
      <c r="F95" s="110">
        <f>SUM(F91:F94)</f>
        <v>4948.54</v>
      </c>
      <c r="G95" s="274"/>
      <c r="H95" s="274"/>
      <c r="I95" s="97"/>
      <c r="J95" s="97"/>
      <c r="K95" s="111">
        <f>SUM(K91:K94)</f>
        <v>16786</v>
      </c>
      <c r="L95" s="111">
        <f>K95/F95</f>
        <v>3.3921116127180948</v>
      </c>
      <c r="M95" s="102"/>
    </row>
    <row r="96" spans="1:14" s="71" customFormat="1" ht="14.1" customHeight="1">
      <c r="A96" s="427">
        <v>9721</v>
      </c>
      <c r="B96" s="427" t="s">
        <v>786</v>
      </c>
      <c r="C96" s="427" t="s">
        <v>513</v>
      </c>
      <c r="D96" s="427" t="s">
        <v>297</v>
      </c>
      <c r="E96" s="434" t="s">
        <v>995</v>
      </c>
      <c r="F96" s="87">
        <f>5340*1.0936</f>
        <v>5839.8239999999996</v>
      </c>
      <c r="G96" s="173" t="s">
        <v>799</v>
      </c>
      <c r="H96" s="79"/>
      <c r="I96" s="188">
        <v>21</v>
      </c>
      <c r="J96" s="81">
        <v>350</v>
      </c>
      <c r="K96" s="94">
        <f t="shared" ref="K96:K98" si="18">I96*J96</f>
        <v>7350</v>
      </c>
      <c r="L96" s="79"/>
      <c r="M96" s="102"/>
    </row>
    <row r="97" spans="1:14" s="71" customFormat="1" ht="14.1" customHeight="1">
      <c r="A97" s="428"/>
      <c r="B97" s="427"/>
      <c r="C97" s="427"/>
      <c r="D97" s="427"/>
      <c r="E97" s="427"/>
      <c r="F97" s="98"/>
      <c r="G97" s="173" t="s">
        <v>298</v>
      </c>
      <c r="H97" s="79"/>
      <c r="I97" s="80">
        <v>5</v>
      </c>
      <c r="J97" s="81">
        <v>435</v>
      </c>
      <c r="K97" s="94">
        <f t="shared" si="18"/>
        <v>2175</v>
      </c>
      <c r="L97" s="102"/>
      <c r="M97" s="102"/>
    </row>
    <row r="98" spans="1:14" s="71" customFormat="1" ht="14.1" customHeight="1">
      <c r="A98" s="428"/>
      <c r="B98" s="427"/>
      <c r="C98" s="427"/>
      <c r="D98" s="427"/>
      <c r="E98" s="427"/>
      <c r="F98" s="98"/>
      <c r="G98" s="429" t="s">
        <v>206</v>
      </c>
      <c r="H98" s="79"/>
      <c r="I98" s="188">
        <v>1.4</v>
      </c>
      <c r="J98" s="81">
        <v>375</v>
      </c>
      <c r="K98" s="81">
        <f t="shared" si="18"/>
        <v>525</v>
      </c>
      <c r="L98" s="102"/>
      <c r="M98" s="102"/>
    </row>
    <row r="99" spans="1:14" s="71" customFormat="1" ht="14.1" customHeight="1">
      <c r="A99" s="428"/>
      <c r="B99" s="428"/>
      <c r="C99" s="428"/>
      <c r="D99" s="428"/>
      <c r="E99" s="274" t="s">
        <v>9</v>
      </c>
      <c r="F99" s="110">
        <f>SUM(F96:F98)</f>
        <v>5839.8239999999996</v>
      </c>
      <c r="G99" s="274"/>
      <c r="H99" s="274"/>
      <c r="I99" s="97"/>
      <c r="J99" s="97"/>
      <c r="K99" s="111">
        <f>SUM(K96:K98)</f>
        <v>10050</v>
      </c>
      <c r="L99" s="111">
        <f>K99/F99</f>
        <v>1.7209422749726706</v>
      </c>
      <c r="M99" s="102"/>
    </row>
    <row r="100" spans="1:14" s="71" customFormat="1" ht="14.1" customHeight="1">
      <c r="A100" s="89">
        <v>9720</v>
      </c>
      <c r="B100" s="427" t="s">
        <v>966</v>
      </c>
      <c r="C100" s="427" t="s">
        <v>233</v>
      </c>
      <c r="D100" s="427" t="s">
        <v>967</v>
      </c>
      <c r="E100" s="427" t="s">
        <v>508</v>
      </c>
      <c r="F100" s="87">
        <f>500*1.0936</f>
        <v>546.79999999999995</v>
      </c>
      <c r="G100" s="173" t="s">
        <v>298</v>
      </c>
      <c r="H100" s="79"/>
      <c r="I100" s="80">
        <v>1</v>
      </c>
      <c r="J100" s="81">
        <v>435</v>
      </c>
      <c r="K100" s="94">
        <f t="shared" ref="K100:K102" si="19">I100*J100</f>
        <v>435</v>
      </c>
      <c r="L100" s="102"/>
      <c r="M100" s="161"/>
      <c r="N100" s="99"/>
    </row>
    <row r="101" spans="1:14" s="71" customFormat="1" ht="14.1" customHeight="1">
      <c r="A101" s="428"/>
      <c r="B101" s="428"/>
      <c r="C101" s="428"/>
      <c r="D101" s="428"/>
      <c r="E101" s="428"/>
      <c r="F101" s="98"/>
      <c r="G101" s="427" t="s">
        <v>202</v>
      </c>
      <c r="H101" s="79"/>
      <c r="I101" s="188">
        <v>1</v>
      </c>
      <c r="J101" s="81">
        <v>386</v>
      </c>
      <c r="K101" s="81">
        <f t="shared" si="19"/>
        <v>386</v>
      </c>
      <c r="L101" s="102"/>
      <c r="M101" s="102"/>
    </row>
    <row r="102" spans="1:14" s="71" customFormat="1" ht="14.1" customHeight="1">
      <c r="A102" s="428"/>
      <c r="B102" s="428"/>
      <c r="C102" s="428"/>
      <c r="D102" s="428"/>
      <c r="E102" s="428"/>
      <c r="F102" s="98"/>
      <c r="G102" s="95" t="s">
        <v>204</v>
      </c>
      <c r="H102" s="79"/>
      <c r="I102" s="81">
        <v>0.5</v>
      </c>
      <c r="J102" s="81">
        <v>375</v>
      </c>
      <c r="K102" s="81">
        <f t="shared" si="19"/>
        <v>187.5</v>
      </c>
      <c r="L102" s="79"/>
      <c r="M102" s="102"/>
    </row>
    <row r="103" spans="1:14" s="71" customFormat="1" ht="14.1" customHeight="1">
      <c r="A103" s="428"/>
      <c r="B103" s="428"/>
      <c r="C103" s="428"/>
      <c r="D103" s="428"/>
      <c r="E103" s="274" t="s">
        <v>9</v>
      </c>
      <c r="F103" s="110">
        <f>SUM(F100:F102)</f>
        <v>546.79999999999995</v>
      </c>
      <c r="G103" s="274"/>
      <c r="H103" s="274"/>
      <c r="I103" s="97"/>
      <c r="J103" s="97"/>
      <c r="K103" s="111">
        <f>SUM(K100:K102)</f>
        <v>1008.5</v>
      </c>
      <c r="L103" s="111">
        <f>K103/F103</f>
        <v>1.8443672275054865</v>
      </c>
      <c r="M103" s="102"/>
    </row>
    <row r="104" spans="1:14" s="71" customFormat="1" ht="14.1" customHeight="1">
      <c r="A104" s="428">
        <v>9719</v>
      </c>
      <c r="B104" s="427" t="s">
        <v>936</v>
      </c>
      <c r="C104" s="427" t="s">
        <v>937</v>
      </c>
      <c r="D104" s="427" t="s">
        <v>486</v>
      </c>
      <c r="E104" s="427" t="s">
        <v>938</v>
      </c>
      <c r="F104" s="160">
        <f>4450*1.0936</f>
        <v>4866.5199999999995</v>
      </c>
      <c r="G104" s="173" t="s">
        <v>799</v>
      </c>
      <c r="H104" s="79"/>
      <c r="I104" s="188">
        <f>30+3</f>
        <v>33</v>
      </c>
      <c r="J104" s="81">
        <v>350</v>
      </c>
      <c r="K104" s="94">
        <f t="shared" ref="K104:K107" si="20">I104*J104</f>
        <v>11550</v>
      </c>
      <c r="L104" s="79"/>
      <c r="M104" s="102"/>
    </row>
    <row r="105" spans="1:14" s="71" customFormat="1" ht="14.1" customHeight="1">
      <c r="A105" s="428"/>
      <c r="B105" s="427" t="s">
        <v>936</v>
      </c>
      <c r="C105" s="427" t="s">
        <v>937</v>
      </c>
      <c r="D105" s="427" t="s">
        <v>939</v>
      </c>
      <c r="E105" s="89" t="s">
        <v>127</v>
      </c>
      <c r="F105" s="87">
        <f>5225*1.0936</f>
        <v>5714.0599999999995</v>
      </c>
      <c r="G105" s="173" t="s">
        <v>298</v>
      </c>
      <c r="H105" s="79"/>
      <c r="I105" s="80">
        <f>20+2</f>
        <v>22</v>
      </c>
      <c r="J105" s="81">
        <v>435</v>
      </c>
      <c r="K105" s="94">
        <f t="shared" si="20"/>
        <v>9570</v>
      </c>
      <c r="L105" s="102"/>
      <c r="M105" s="102"/>
    </row>
    <row r="106" spans="1:14" s="71" customFormat="1" ht="14.1" customHeight="1">
      <c r="A106" s="428"/>
      <c r="B106" s="428"/>
      <c r="C106" s="428"/>
      <c r="D106" s="428"/>
      <c r="E106" s="428"/>
      <c r="F106" s="98"/>
      <c r="G106" s="427" t="s">
        <v>202</v>
      </c>
      <c r="H106" s="79"/>
      <c r="I106" s="188">
        <f>1+1</f>
        <v>2</v>
      </c>
      <c r="J106" s="81">
        <v>386</v>
      </c>
      <c r="K106" s="81">
        <f t="shared" si="20"/>
        <v>772</v>
      </c>
      <c r="L106" s="102"/>
      <c r="M106" s="102"/>
    </row>
    <row r="107" spans="1:14" s="71" customFormat="1" ht="14.1" customHeight="1">
      <c r="A107" s="428"/>
      <c r="B107" s="428"/>
      <c r="C107" s="428"/>
      <c r="D107" s="428"/>
      <c r="E107" s="428"/>
      <c r="F107" s="98"/>
      <c r="G107" s="95" t="s">
        <v>204</v>
      </c>
      <c r="H107" s="79"/>
      <c r="I107" s="81">
        <v>0.3</v>
      </c>
      <c r="J107" s="81">
        <v>375</v>
      </c>
      <c r="K107" s="81">
        <f t="shared" si="20"/>
        <v>112.5</v>
      </c>
      <c r="L107" s="79"/>
      <c r="M107" s="102"/>
    </row>
    <row r="108" spans="1:14" s="71" customFormat="1" ht="14.1" customHeight="1">
      <c r="A108" s="428"/>
      <c r="B108" s="428"/>
      <c r="C108" s="428"/>
      <c r="D108" s="428"/>
      <c r="E108" s="274" t="s">
        <v>9</v>
      </c>
      <c r="F108" s="110">
        <f>SUM(F104:F106)</f>
        <v>10580.579999999998</v>
      </c>
      <c r="G108" s="274"/>
      <c r="H108" s="274"/>
      <c r="I108" s="97"/>
      <c r="J108" s="97"/>
      <c r="K108" s="111">
        <f>SUM(K104:K107)</f>
        <v>22004.5</v>
      </c>
      <c r="L108" s="111">
        <f>K108/F108</f>
        <v>2.0797064055089609</v>
      </c>
      <c r="M108" s="102"/>
    </row>
    <row r="109" spans="1:14" s="71" customFormat="1" ht="14.1" customHeight="1">
      <c r="D109" s="126" t="s">
        <v>30</v>
      </c>
      <c r="E109" s="126"/>
      <c r="F109" s="127">
        <f>F95+F99+F103+F108</f>
        <v>21915.743999999999</v>
      </c>
      <c r="G109" s="128"/>
      <c r="H109" s="128"/>
      <c r="I109" s="128"/>
      <c r="J109" s="128"/>
      <c r="K109" s="127">
        <f>K95+K99+K103+K108</f>
        <v>49849</v>
      </c>
      <c r="L109" s="129">
        <f>K109/F109</f>
        <v>2.2745748444588512</v>
      </c>
    </row>
    <row r="110" spans="1:14" s="71" customFormat="1" ht="14.1" customHeight="1">
      <c r="A110" s="70" t="s">
        <v>42</v>
      </c>
      <c r="B110" s="70"/>
      <c r="C110" s="70"/>
      <c r="D110" s="70"/>
      <c r="E110" s="70"/>
      <c r="K110" s="824" t="s">
        <v>958</v>
      </c>
      <c r="L110" s="824"/>
      <c r="M110" s="824"/>
    </row>
    <row r="111" spans="1:14" s="71" customFormat="1" ht="14.1" customHeight="1">
      <c r="A111" s="274" t="s">
        <v>0</v>
      </c>
      <c r="B111" s="274" t="s">
        <v>7</v>
      </c>
      <c r="C111" s="274" t="s">
        <v>13</v>
      </c>
      <c r="D111" s="274" t="s">
        <v>14</v>
      </c>
      <c r="E111" s="274" t="s">
        <v>8</v>
      </c>
      <c r="F111" s="274" t="s">
        <v>1</v>
      </c>
      <c r="G111" s="274" t="s">
        <v>2</v>
      </c>
      <c r="H111" s="274" t="s">
        <v>15</v>
      </c>
      <c r="I111" s="274" t="s">
        <v>3</v>
      </c>
      <c r="J111" s="274" t="s">
        <v>4</v>
      </c>
      <c r="K111" s="274" t="s">
        <v>5</v>
      </c>
      <c r="L111" s="274" t="s">
        <v>12</v>
      </c>
      <c r="M111" s="274" t="s">
        <v>6</v>
      </c>
      <c r="N111" s="123"/>
    </row>
    <row r="112" spans="1:14" s="71" customFormat="1" ht="14.1" customHeight="1">
      <c r="A112" s="428">
        <v>6426</v>
      </c>
      <c r="B112" s="89" t="s">
        <v>480</v>
      </c>
      <c r="C112" s="427" t="s">
        <v>339</v>
      </c>
      <c r="D112" s="86" t="s">
        <v>481</v>
      </c>
      <c r="E112" s="89" t="s">
        <v>93</v>
      </c>
      <c r="F112" s="87"/>
      <c r="G112" s="91" t="s">
        <v>123</v>
      </c>
      <c r="H112" s="427"/>
      <c r="I112" s="96"/>
      <c r="J112" s="81">
        <v>750</v>
      </c>
      <c r="K112" s="94">
        <f t="shared" ref="K112" si="21">I112*J112</f>
        <v>0</v>
      </c>
      <c r="L112" s="102"/>
      <c r="M112" s="143"/>
    </row>
    <row r="113" spans="1:13" s="71" customFormat="1" ht="14.1" customHeight="1">
      <c r="A113" s="428"/>
      <c r="B113" s="427"/>
      <c r="C113" s="427"/>
      <c r="D113" s="427"/>
      <c r="E113" s="427"/>
      <c r="F113" s="87"/>
      <c r="G113" s="91" t="s">
        <v>209</v>
      </c>
      <c r="H113" s="79"/>
      <c r="I113" s="80"/>
      <c r="J113" s="81">
        <v>350</v>
      </c>
      <c r="K113" s="81">
        <f t="shared" ref="K113:K114" si="22">I113*J113</f>
        <v>0</v>
      </c>
      <c r="L113" s="102"/>
      <c r="M113" s="143"/>
    </row>
    <row r="114" spans="1:13" s="71" customFormat="1" ht="14.1" customHeight="1">
      <c r="A114" s="428"/>
      <c r="B114" s="428"/>
      <c r="C114" s="428"/>
      <c r="D114" s="428"/>
      <c r="E114" s="428"/>
      <c r="F114" s="98"/>
      <c r="G114" s="91" t="s">
        <v>466</v>
      </c>
      <c r="H114" s="109"/>
      <c r="I114" s="80"/>
      <c r="J114" s="81">
        <v>790</v>
      </c>
      <c r="K114" s="81">
        <f t="shared" si="22"/>
        <v>0</v>
      </c>
      <c r="L114" s="102"/>
      <c r="M114" s="143"/>
    </row>
    <row r="115" spans="1:13" s="71" customFormat="1" ht="14.1" customHeight="1">
      <c r="A115" s="428"/>
      <c r="B115" s="428"/>
      <c r="C115" s="428"/>
      <c r="D115" s="428"/>
      <c r="E115" s="428"/>
      <c r="F115" s="98"/>
      <c r="G115" s="429" t="s">
        <v>211</v>
      </c>
      <c r="H115" s="79"/>
      <c r="I115" s="80"/>
      <c r="J115" s="81">
        <v>120</v>
      </c>
      <c r="K115" s="81">
        <f>I115*J115</f>
        <v>0</v>
      </c>
      <c r="L115" s="102"/>
      <c r="M115" s="143"/>
    </row>
    <row r="116" spans="1:13" s="71" customFormat="1" ht="14.1" customHeight="1">
      <c r="A116" s="428"/>
      <c r="B116" s="428"/>
      <c r="C116" s="428"/>
      <c r="D116" s="428"/>
      <c r="E116" s="428"/>
      <c r="F116" s="98"/>
      <c r="G116" s="429" t="s">
        <v>212</v>
      </c>
      <c r="H116" s="79"/>
      <c r="I116" s="80"/>
      <c r="J116" s="81">
        <v>527</v>
      </c>
      <c r="K116" s="81">
        <f t="shared" ref="K116:K118" si="23">I116*J116</f>
        <v>0</v>
      </c>
      <c r="L116" s="102"/>
      <c r="M116" s="143"/>
    </row>
    <row r="117" spans="1:13" s="71" customFormat="1" ht="14.1" customHeight="1">
      <c r="A117" s="428"/>
      <c r="B117" s="428"/>
      <c r="C117" s="428"/>
      <c r="D117" s="428"/>
      <c r="E117" s="428"/>
      <c r="F117" s="98"/>
      <c r="G117" s="429" t="s">
        <v>213</v>
      </c>
      <c r="H117" s="79"/>
      <c r="I117" s="80"/>
      <c r="J117" s="81">
        <v>348</v>
      </c>
      <c r="K117" s="81">
        <f t="shared" si="23"/>
        <v>0</v>
      </c>
      <c r="L117" s="102"/>
      <c r="M117" s="143"/>
    </row>
    <row r="118" spans="1:13" s="71" customFormat="1" ht="14.1" customHeight="1">
      <c r="A118" s="428"/>
      <c r="B118" s="428"/>
      <c r="C118" s="428"/>
      <c r="D118" s="428"/>
      <c r="E118" s="428"/>
      <c r="F118" s="98"/>
      <c r="G118" s="429" t="s">
        <v>45</v>
      </c>
      <c r="H118" s="79"/>
      <c r="I118" s="80"/>
      <c r="J118" s="81">
        <v>45</v>
      </c>
      <c r="K118" s="81">
        <f t="shared" si="23"/>
        <v>0</v>
      </c>
      <c r="L118" s="102"/>
      <c r="M118" s="143"/>
    </row>
    <row r="119" spans="1:13" s="71" customFormat="1" ht="14.1" customHeight="1">
      <c r="A119" s="428"/>
      <c r="B119" s="428"/>
      <c r="C119" s="428"/>
      <c r="D119" s="428"/>
      <c r="E119" s="274" t="s">
        <v>9</v>
      </c>
      <c r="F119" s="110">
        <f>SUM(F112:F118)</f>
        <v>0</v>
      </c>
      <c r="G119" s="274"/>
      <c r="H119" s="274"/>
      <c r="I119" s="97"/>
      <c r="J119" s="97"/>
      <c r="K119" s="111">
        <f>SUM(K112:K118)</f>
        <v>0</v>
      </c>
      <c r="L119" s="155" t="e">
        <f>K119/F119</f>
        <v>#DIV/0!</v>
      </c>
      <c r="M119" s="102"/>
    </row>
    <row r="120" spans="1:13" s="71" customFormat="1" ht="14.1" customHeight="1">
      <c r="D120" s="126" t="s">
        <v>30</v>
      </c>
      <c r="E120" s="126"/>
      <c r="F120" s="127">
        <f>F119</f>
        <v>0</v>
      </c>
      <c r="G120" s="128"/>
      <c r="H120" s="128"/>
      <c r="I120" s="128"/>
      <c r="J120" s="128"/>
      <c r="K120" s="127">
        <f>K119</f>
        <v>0</v>
      </c>
      <c r="L120" s="129" t="e">
        <f>K120/F120</f>
        <v>#DIV/0!</v>
      </c>
    </row>
    <row r="121" spans="1:13" s="71" customFormat="1" ht="14.1" customHeight="1"/>
    <row r="122" spans="1:13" s="71" customFormat="1" ht="14.1" customHeight="1"/>
    <row r="123" spans="1:13" s="71" customFormat="1" ht="14.1" customHeight="1">
      <c r="B123" s="107"/>
      <c r="C123" s="107"/>
      <c r="D123" s="133" t="s">
        <v>1009</v>
      </c>
      <c r="E123" s="405">
        <f>F77</f>
        <v>5981.9919999999993</v>
      </c>
      <c r="F123" s="133"/>
      <c r="G123" s="134">
        <f>K12+K27+K42+K49+K77+K88+K109+K120</f>
        <v>153956.071</v>
      </c>
      <c r="H123" s="135"/>
      <c r="I123" s="135"/>
      <c r="J123" s="135"/>
      <c r="K123" s="135"/>
      <c r="L123" s="134">
        <f>G123/E123</f>
        <v>25.736589249868608</v>
      </c>
    </row>
    <row r="124" spans="1:13" s="71" customFormat="1" ht="14.1" customHeight="1">
      <c r="B124" s="107"/>
      <c r="C124" s="107"/>
      <c r="D124" s="109" t="s">
        <v>855</v>
      </c>
      <c r="E124" s="406"/>
      <c r="F124" s="109"/>
      <c r="G124" s="359">
        <f>K52+K53+K54+K58+K59+K60+K64+K65+K66+K70+K71+K72+K73</f>
        <v>33230.370999999999</v>
      </c>
      <c r="H124" s="370"/>
      <c r="I124" s="359">
        <f>'06'!I131+'07'!G124</f>
        <v>552771.19200000016</v>
      </c>
      <c r="J124" s="438">
        <f>G124+M139</f>
        <v>34322.940999999999</v>
      </c>
      <c r="K124" s="360"/>
      <c r="L124" s="396"/>
    </row>
    <row r="125" spans="1:13" s="71" customFormat="1" ht="14.1" customHeight="1">
      <c r="B125" s="107"/>
      <c r="C125" s="107"/>
      <c r="D125" s="323" t="s">
        <v>854</v>
      </c>
      <c r="E125" s="361"/>
      <c r="F125" s="323"/>
      <c r="G125" s="397">
        <f>G123-G124</f>
        <v>120725.7</v>
      </c>
      <c r="H125" s="398"/>
      <c r="I125" s="359">
        <f>'06'!I132+'07'!G125</f>
        <v>1170210.612</v>
      </c>
      <c r="J125" s="400"/>
      <c r="K125" s="400"/>
      <c r="L125" s="401"/>
    </row>
    <row r="126" spans="1:13" s="71" customFormat="1" ht="14.1" customHeight="1">
      <c r="B126" s="107"/>
      <c r="C126" s="107"/>
      <c r="D126" s="109" t="s">
        <v>853</v>
      </c>
      <c r="E126" s="407"/>
      <c r="F126" s="109"/>
      <c r="G126" s="410">
        <f>SUM(G124:G125)</f>
        <v>153956.071</v>
      </c>
      <c r="H126" s="402"/>
      <c r="I126" s="403">
        <f>'01'!G225+'02'!G272+'03'!G365+'04'!G275</f>
        <v>0</v>
      </c>
      <c r="J126" s="402"/>
      <c r="K126" s="402"/>
      <c r="L126" s="404">
        <f>G126/E123</f>
        <v>25.736589249868608</v>
      </c>
    </row>
    <row r="127" spans="1:13" s="71" customFormat="1" ht="14.1" customHeight="1">
      <c r="B127" s="107"/>
      <c r="C127" s="107"/>
      <c r="D127" s="395" t="s">
        <v>906</v>
      </c>
      <c r="E127" s="408"/>
      <c r="F127" s="109"/>
      <c r="G127" s="409">
        <f>'06'!G134+'07'!M139</f>
        <v>18756.206000000002</v>
      </c>
      <c r="H127" s="392"/>
      <c r="I127" s="391"/>
      <c r="J127" s="391"/>
      <c r="K127" s="393"/>
    </row>
    <row r="128" spans="1:13" s="71" customFormat="1" ht="14.1" customHeight="1">
      <c r="B128" s="107"/>
      <c r="C128" s="107"/>
      <c r="D128" s="106"/>
      <c r="E128" s="106"/>
      <c r="F128" s="106"/>
      <c r="G128" s="106"/>
      <c r="H128" s="246"/>
      <c r="I128" s="106"/>
      <c r="J128" s="106"/>
      <c r="K128" s="106"/>
      <c r="L128" s="106"/>
    </row>
    <row r="129" spans="1:13" s="71" customFormat="1" ht="14.1" customHeight="1">
      <c r="B129" s="107"/>
      <c r="C129" s="107"/>
      <c r="D129" s="829" t="s">
        <v>852</v>
      </c>
      <c r="E129" s="829"/>
      <c r="F129" s="357">
        <f>G144</f>
        <v>61700</v>
      </c>
      <c r="G129" s="106"/>
      <c r="H129" s="500" t="s">
        <v>908</v>
      </c>
      <c r="I129" s="834" t="s">
        <v>315</v>
      </c>
      <c r="J129" s="835"/>
      <c r="K129" s="80">
        <f>0.04+0.12</f>
        <v>0.16</v>
      </c>
      <c r="L129" s="81">
        <v>2184</v>
      </c>
      <c r="M129" s="81">
        <f t="shared" ref="M129:M134" si="24">K129*L129</f>
        <v>349.44</v>
      </c>
    </row>
    <row r="130" spans="1:13" s="71" customFormat="1" ht="14.1" customHeight="1">
      <c r="B130" s="107"/>
      <c r="C130" s="107"/>
      <c r="D130" s="829" t="s">
        <v>835</v>
      </c>
      <c r="E130" s="829"/>
      <c r="F130" s="357">
        <f>G137</f>
        <v>15464</v>
      </c>
      <c r="G130" s="106"/>
      <c r="H130" s="500" t="s">
        <v>909</v>
      </c>
      <c r="I130" s="830" t="s">
        <v>346</v>
      </c>
      <c r="J130" s="831"/>
      <c r="K130" s="80">
        <v>0.04</v>
      </c>
      <c r="L130" s="81">
        <v>3837</v>
      </c>
      <c r="M130" s="81">
        <f t="shared" si="24"/>
        <v>153.47999999999999</v>
      </c>
    </row>
    <row r="131" spans="1:13" s="71" customFormat="1" ht="14.1" customHeight="1">
      <c r="B131" s="107"/>
      <c r="C131" s="107"/>
      <c r="D131" s="829" t="s">
        <v>836</v>
      </c>
      <c r="E131" s="829"/>
      <c r="F131" s="357">
        <f>SUM(F129:F130)</f>
        <v>77164</v>
      </c>
      <c r="G131" s="106"/>
      <c r="H131" s="500" t="s">
        <v>910</v>
      </c>
      <c r="I131" s="830" t="s">
        <v>279</v>
      </c>
      <c r="J131" s="831"/>
      <c r="K131" s="80">
        <v>7.0000000000000007E-2</v>
      </c>
      <c r="L131" s="81">
        <v>689</v>
      </c>
      <c r="M131" s="81">
        <f t="shared" si="24"/>
        <v>48.230000000000004</v>
      </c>
    </row>
    <row r="132" spans="1:13" s="71" customFormat="1" ht="14.1" customHeight="1">
      <c r="B132" s="107"/>
      <c r="C132" s="107"/>
      <c r="D132" s="423" t="s">
        <v>847</v>
      </c>
      <c r="E132" s="423"/>
      <c r="F132" s="357">
        <f>F129-G125</f>
        <v>-59025.7</v>
      </c>
      <c r="G132" s="106"/>
      <c r="H132" s="500" t="s">
        <v>908</v>
      </c>
      <c r="I132" s="830" t="s">
        <v>195</v>
      </c>
      <c r="J132" s="831"/>
      <c r="K132" s="80">
        <v>0.06</v>
      </c>
      <c r="L132" s="81">
        <v>645</v>
      </c>
      <c r="M132" s="81">
        <f t="shared" si="24"/>
        <v>38.699999999999996</v>
      </c>
    </row>
    <row r="133" spans="1:13" s="71" customFormat="1" ht="14.1" customHeight="1">
      <c r="B133" s="107"/>
      <c r="C133" s="107"/>
      <c r="D133" s="106"/>
      <c r="E133" s="106"/>
      <c r="F133" s="106"/>
      <c r="G133" s="106"/>
      <c r="H133" s="500" t="s">
        <v>912</v>
      </c>
      <c r="I133" s="832" t="s">
        <v>405</v>
      </c>
      <c r="J133" s="833"/>
      <c r="K133" s="80">
        <v>0.24</v>
      </c>
      <c r="L133" s="81">
        <v>1708</v>
      </c>
      <c r="M133" s="81">
        <f t="shared" si="24"/>
        <v>409.91999999999996</v>
      </c>
    </row>
    <row r="134" spans="1:13" s="71" customFormat="1" ht="14.1" customHeight="1">
      <c r="B134" s="836" t="s">
        <v>833</v>
      </c>
      <c r="C134" s="837"/>
      <c r="D134" s="273" t="s">
        <v>844</v>
      </c>
      <c r="E134" s="273" t="s">
        <v>845</v>
      </c>
      <c r="F134" s="273" t="s">
        <v>846</v>
      </c>
      <c r="G134" s="273" t="s">
        <v>5</v>
      </c>
      <c r="H134" s="500" t="s">
        <v>911</v>
      </c>
      <c r="I134" s="832" t="s">
        <v>183</v>
      </c>
      <c r="J134" s="833"/>
      <c r="K134" s="80">
        <v>5.8000000000000003E-2</v>
      </c>
      <c r="L134" s="81">
        <v>1600</v>
      </c>
      <c r="M134" s="81">
        <f t="shared" si="24"/>
        <v>92.800000000000011</v>
      </c>
    </row>
    <row r="135" spans="1:13" s="71" customFormat="1" ht="14.1" customHeight="1">
      <c r="B135" s="107"/>
      <c r="C135" s="107"/>
      <c r="D135" s="273" t="s">
        <v>837</v>
      </c>
      <c r="E135" s="109">
        <v>15.5</v>
      </c>
      <c r="F135" s="332">
        <v>888</v>
      </c>
      <c r="G135" s="329">
        <f>F135*E135</f>
        <v>13764</v>
      </c>
      <c r="H135" s="500" t="s">
        <v>909</v>
      </c>
      <c r="I135" s="838"/>
      <c r="J135" s="839"/>
      <c r="K135" s="102"/>
      <c r="L135" s="102"/>
      <c r="M135" s="388"/>
    </row>
    <row r="136" spans="1:13" s="71" customFormat="1" ht="14.1" customHeight="1">
      <c r="B136" s="107"/>
      <c r="C136" s="107"/>
      <c r="D136" s="273" t="s">
        <v>849</v>
      </c>
      <c r="E136" s="109">
        <v>34</v>
      </c>
      <c r="F136" s="332">
        <v>50</v>
      </c>
      <c r="G136" s="329">
        <f t="shared" ref="G136:G142" si="25">F136*E136</f>
        <v>1700</v>
      </c>
      <c r="H136" s="500" t="s">
        <v>911</v>
      </c>
      <c r="I136" s="847"/>
      <c r="J136" s="848"/>
      <c r="K136" s="109"/>
      <c r="L136" s="109"/>
      <c r="M136" s="102"/>
    </row>
    <row r="137" spans="1:13" s="70" customFormat="1" ht="14.1" customHeight="1">
      <c r="B137" s="106"/>
      <c r="C137" s="106"/>
      <c r="D137" s="322" t="s">
        <v>843</v>
      </c>
      <c r="E137" s="317"/>
      <c r="F137" s="321">
        <f>SUM(F135:F136)</f>
        <v>938</v>
      </c>
      <c r="G137" s="320">
        <f>SUM(G135:G136)</f>
        <v>15464</v>
      </c>
      <c r="H137" s="246"/>
      <c r="I137" s="442"/>
      <c r="J137" s="443"/>
      <c r="K137" s="109"/>
      <c r="L137" s="109"/>
      <c r="M137" s="317"/>
    </row>
    <row r="138" spans="1:13" s="70" customFormat="1" ht="14.1" customHeight="1">
      <c r="B138" s="106"/>
      <c r="C138" s="106"/>
      <c r="D138" s="322"/>
      <c r="E138" s="317"/>
      <c r="F138" s="321"/>
      <c r="G138" s="320"/>
      <c r="H138" s="246"/>
      <c r="I138" s="442"/>
      <c r="J138" s="443"/>
      <c r="K138" s="109"/>
      <c r="L138" s="109"/>
      <c r="M138" s="317"/>
    </row>
    <row r="139" spans="1:13" s="71" customFormat="1" ht="14.1" customHeight="1">
      <c r="A139" s="424"/>
      <c r="B139" s="107"/>
      <c r="C139" s="107"/>
      <c r="D139" s="390" t="s">
        <v>968</v>
      </c>
      <c r="E139" s="109">
        <v>360</v>
      </c>
      <c r="F139" s="332">
        <v>50</v>
      </c>
      <c r="G139" s="329">
        <f t="shared" si="25"/>
        <v>18000</v>
      </c>
      <c r="H139" s="106"/>
      <c r="I139" s="844" t="s">
        <v>906</v>
      </c>
      <c r="J139" s="845"/>
      <c r="K139" s="490">
        <f>SUM(K129:K136)</f>
        <v>0.62800000000000011</v>
      </c>
      <c r="L139" s="104"/>
      <c r="M139" s="489">
        <f>SUM(M129:M136)</f>
        <v>1092.57</v>
      </c>
    </row>
    <row r="140" spans="1:13" s="71" customFormat="1" ht="14.1" customHeight="1">
      <c r="B140" s="107"/>
      <c r="C140" s="107"/>
      <c r="D140" s="436" t="s">
        <v>888</v>
      </c>
      <c r="E140" s="109">
        <v>690</v>
      </c>
      <c r="F140" s="332">
        <v>30</v>
      </c>
      <c r="G140" s="329">
        <f t="shared" si="25"/>
        <v>20700</v>
      </c>
      <c r="H140" s="106"/>
      <c r="I140" s="106"/>
      <c r="J140" s="106"/>
      <c r="K140" s="106"/>
      <c r="L140" s="106"/>
      <c r="M140" s="263">
        <f>G124+M139</f>
        <v>34322.940999999999</v>
      </c>
    </row>
    <row r="141" spans="1:13" s="71" customFormat="1" ht="14.1" customHeight="1">
      <c r="B141" s="107"/>
      <c r="C141" s="107"/>
      <c r="D141" s="273" t="s">
        <v>907</v>
      </c>
      <c r="E141" s="389">
        <v>46</v>
      </c>
      <c r="F141" s="332">
        <v>150</v>
      </c>
      <c r="G141" s="329">
        <f t="shared" si="25"/>
        <v>6900</v>
      </c>
      <c r="H141" s="106"/>
      <c r="I141" s="106"/>
      <c r="J141" s="106"/>
      <c r="K141" s="106"/>
      <c r="L141" s="106"/>
    </row>
    <row r="142" spans="1:13" s="71" customFormat="1" ht="14.1" customHeight="1">
      <c r="B142" s="107"/>
      <c r="C142" s="107"/>
      <c r="D142" s="273" t="s">
        <v>27</v>
      </c>
      <c r="E142" s="109">
        <v>22</v>
      </c>
      <c r="F142" s="332">
        <v>500</v>
      </c>
      <c r="G142" s="329">
        <f t="shared" si="25"/>
        <v>11000</v>
      </c>
      <c r="H142" s="106"/>
      <c r="I142" s="106"/>
      <c r="J142" s="106"/>
      <c r="K142" s="106"/>
      <c r="L142" s="106"/>
    </row>
    <row r="143" spans="1:13" s="71" customFormat="1" ht="14.1" customHeight="1">
      <c r="B143" s="107"/>
      <c r="C143" s="107"/>
      <c r="D143" s="273" t="s">
        <v>849</v>
      </c>
      <c r="E143" s="109">
        <v>34</v>
      </c>
      <c r="F143" s="332">
        <v>150</v>
      </c>
      <c r="G143" s="329">
        <f t="shared" ref="G143" si="26">F143*E143</f>
        <v>5100</v>
      </c>
      <c r="H143" s="106"/>
      <c r="I143" s="106"/>
      <c r="J143" s="106"/>
      <c r="K143" s="106"/>
      <c r="L143" s="106"/>
    </row>
    <row r="144" spans="1:13" s="70" customFormat="1" ht="14.1" customHeight="1">
      <c r="D144" s="322" t="s">
        <v>843</v>
      </c>
      <c r="E144" s="317"/>
      <c r="F144" s="321">
        <f>SUM(F139:F143)</f>
        <v>880</v>
      </c>
      <c r="G144" s="320">
        <f>SUM(G139:G143)</f>
        <v>61700</v>
      </c>
    </row>
    <row r="145" spans="1:13" s="71" customFormat="1" ht="14.1" customHeight="1">
      <c r="B145" s="107"/>
      <c r="C145" s="107"/>
      <c r="D145" s="322" t="s">
        <v>969</v>
      </c>
      <c r="E145" s="317"/>
      <c r="F145" s="321">
        <f>F137+F144</f>
        <v>1818</v>
      </c>
      <c r="G145" s="320">
        <f>G137+G144</f>
        <v>77164</v>
      </c>
      <c r="H145" s="107"/>
      <c r="I145" s="107"/>
      <c r="J145" s="107"/>
      <c r="K145" s="107"/>
      <c r="L145" s="107"/>
    </row>
    <row r="146" spans="1:13" s="71" customFormat="1" ht="14.1" customHeight="1"/>
    <row r="147" spans="1:13" s="71" customFormat="1" ht="14.1" customHeight="1"/>
    <row r="148" spans="1:13" s="71" customFormat="1" ht="14.1" customHeight="1"/>
    <row r="149" spans="1:13" s="71" customFormat="1" ht="14.1" customHeight="1"/>
    <row r="150" spans="1:13" s="71" customFormat="1" ht="14.1" customHeight="1"/>
    <row r="151" spans="1:13" s="71" customFormat="1" ht="14.1" customHeight="1"/>
    <row r="152" spans="1:13" s="71" customFormat="1" ht="14.1" customHeight="1"/>
    <row r="153" spans="1:13" s="71" customFormat="1" ht="14.1" customHeight="1"/>
    <row r="154" spans="1:13" s="71" customFormat="1" ht="14.1" customHeight="1"/>
    <row r="155" spans="1:13" s="71" customFormat="1" ht="14.1" customHeight="1"/>
    <row r="156" spans="1:13" ht="14.1" customHeight="1"/>
    <row r="157" spans="1:13" ht="14.1" customHeight="1"/>
    <row r="158" spans="1:13" s="64" customFormat="1" ht="14.1" customHeight="1">
      <c r="A158" s="840" t="s">
        <v>240</v>
      </c>
      <c r="B158" s="840"/>
      <c r="C158" s="840" t="s">
        <v>765</v>
      </c>
      <c r="D158" s="840"/>
      <c r="E158" s="840" t="s">
        <v>764</v>
      </c>
      <c r="F158" s="840"/>
      <c r="G158" s="380" t="s">
        <v>66</v>
      </c>
      <c r="H158" s="840" t="s">
        <v>411</v>
      </c>
      <c r="I158" s="840"/>
      <c r="J158" s="840"/>
      <c r="K158" s="840" t="s">
        <v>68</v>
      </c>
      <c r="L158" s="840"/>
      <c r="M158" s="840"/>
    </row>
    <row r="159" spans="1:13" ht="14.1" customHeight="1"/>
    <row r="160" spans="1:13" ht="14.1" customHeight="1"/>
  </sheetData>
  <mergeCells count="29">
    <mergeCell ref="B134:C134"/>
    <mergeCell ref="I134:J134"/>
    <mergeCell ref="I135:J135"/>
    <mergeCell ref="I136:J136"/>
    <mergeCell ref="D131:E131"/>
    <mergeCell ref="I131:J131"/>
    <mergeCell ref="I132:J132"/>
    <mergeCell ref="I133:J133"/>
    <mergeCell ref="K158:M158"/>
    <mergeCell ref="I139:J139"/>
    <mergeCell ref="A158:B158"/>
    <mergeCell ref="C158:D158"/>
    <mergeCell ref="E158:F158"/>
    <mergeCell ref="H158:J158"/>
    <mergeCell ref="K4:M4"/>
    <mergeCell ref="K13:M13"/>
    <mergeCell ref="A1:M1"/>
    <mergeCell ref="A2:M2"/>
    <mergeCell ref="A3:M3"/>
    <mergeCell ref="K43:M43"/>
    <mergeCell ref="K50:M50"/>
    <mergeCell ref="K78:M78"/>
    <mergeCell ref="K89:M89"/>
    <mergeCell ref="K28:M28"/>
    <mergeCell ref="D129:E129"/>
    <mergeCell ref="D130:E130"/>
    <mergeCell ref="K110:M110"/>
    <mergeCell ref="I129:J129"/>
    <mergeCell ref="I130:J130"/>
  </mergeCells>
  <pageMargins left="0.45" right="0.2" top="0.25" bottom="0.25" header="0.3" footer="0.3"/>
  <pageSetup scale="8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64"/>
  <sheetViews>
    <sheetView topLeftCell="A121" workbookViewId="0">
      <selection activeCell="G57" sqref="G57:K61"/>
    </sheetView>
  </sheetViews>
  <sheetFormatPr defaultRowHeight="15"/>
  <cols>
    <col min="2" max="2" width="13.28515625" bestFit="1" customWidth="1"/>
    <col min="3" max="3" width="11.28515625" bestFit="1" customWidth="1"/>
    <col min="4" max="4" width="19.7109375" customWidth="1"/>
    <col min="5" max="5" width="16" bestFit="1" customWidth="1"/>
    <col min="6" max="6" width="11.140625" bestFit="1" customWidth="1"/>
    <col min="7" max="7" width="23.5703125" customWidth="1"/>
    <col min="8" max="8" width="6.42578125" bestFit="1" customWidth="1"/>
    <col min="9" max="9" width="10.5703125" bestFit="1" customWidth="1"/>
    <col min="10" max="10" width="10.140625" customWidth="1"/>
    <col min="11" max="11" width="11.5703125" bestFit="1" customWidth="1"/>
    <col min="12" max="12" width="9.5703125" bestFit="1" customWidth="1"/>
    <col min="13" max="13" width="11.140625" customWidth="1"/>
    <col min="14" max="14" width="11.42578125" customWidth="1"/>
  </cols>
  <sheetData>
    <row r="1" spans="1:14" ht="23.25">
      <c r="A1" s="846" t="s">
        <v>146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383"/>
    </row>
    <row r="2" spans="1:14" s="71" customFormat="1" ht="13.5" customHeight="1">
      <c r="A2" s="827" t="s">
        <v>147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384"/>
    </row>
    <row r="3" spans="1:14" s="441" customFormat="1" ht="13.5" customHeight="1">
      <c r="A3" s="828" t="s">
        <v>148</v>
      </c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  <c r="M3" s="828"/>
      <c r="N3" s="385"/>
    </row>
    <row r="4" spans="1:14" s="71" customFormat="1" ht="13.5" customHeight="1">
      <c r="A4" s="70" t="s">
        <v>21</v>
      </c>
      <c r="B4" s="70"/>
      <c r="C4" s="70"/>
      <c r="D4" s="70"/>
      <c r="E4" s="70"/>
      <c r="K4" s="824" t="s">
        <v>957</v>
      </c>
      <c r="L4" s="824"/>
      <c r="M4" s="824"/>
    </row>
    <row r="5" spans="1:14" s="71" customFormat="1" ht="13.5" customHeight="1">
      <c r="A5" s="274" t="s">
        <v>0</v>
      </c>
      <c r="B5" s="274" t="s">
        <v>7</v>
      </c>
      <c r="C5" s="274" t="s">
        <v>13</v>
      </c>
      <c r="D5" s="274" t="s">
        <v>14</v>
      </c>
      <c r="E5" s="274" t="s">
        <v>8</v>
      </c>
      <c r="F5" s="274" t="s">
        <v>1</v>
      </c>
      <c r="G5" s="274" t="s">
        <v>2</v>
      </c>
      <c r="H5" s="274" t="s">
        <v>15</v>
      </c>
      <c r="I5" s="274" t="s">
        <v>3</v>
      </c>
      <c r="J5" s="274" t="s">
        <v>4</v>
      </c>
      <c r="K5" s="274" t="s">
        <v>5</v>
      </c>
      <c r="L5" s="274" t="s">
        <v>12</v>
      </c>
      <c r="M5" s="274" t="s">
        <v>6</v>
      </c>
    </row>
    <row r="6" spans="1:14" s="71" customFormat="1" ht="13.5" customHeight="1">
      <c r="A6" s="428">
        <v>1</v>
      </c>
      <c r="B6" s="427" t="s">
        <v>954</v>
      </c>
      <c r="C6" s="427" t="s">
        <v>955</v>
      </c>
      <c r="D6" s="427" t="s">
        <v>956</v>
      </c>
      <c r="E6" s="428"/>
      <c r="F6" s="87">
        <f>6396*1.0936</f>
        <v>6994.6655999999994</v>
      </c>
      <c r="G6" s="517" t="s">
        <v>24</v>
      </c>
      <c r="H6" s="79"/>
      <c r="I6" s="80">
        <v>120</v>
      </c>
      <c r="J6" s="81">
        <v>74</v>
      </c>
      <c r="K6" s="81">
        <f t="shared" ref="K6:K8" si="0">I6*J6</f>
        <v>8880</v>
      </c>
      <c r="L6" s="102"/>
      <c r="M6" s="156" t="e">
        <f>I6+I10+#REF!+#REF!+#REF!</f>
        <v>#REF!</v>
      </c>
      <c r="N6" s="427" t="s">
        <v>173</v>
      </c>
    </row>
    <row r="7" spans="1:14" s="71" customFormat="1" ht="13.5" customHeight="1">
      <c r="A7" s="428"/>
      <c r="B7" s="427"/>
      <c r="C7" s="427"/>
      <c r="D7" s="427"/>
      <c r="E7" s="428"/>
      <c r="F7" s="98"/>
      <c r="G7" s="88" t="s">
        <v>18</v>
      </c>
      <c r="H7" s="79"/>
      <c r="I7" s="80">
        <v>60</v>
      </c>
      <c r="J7" s="81">
        <v>46</v>
      </c>
      <c r="K7" s="81">
        <f t="shared" si="0"/>
        <v>2760</v>
      </c>
      <c r="L7" s="102"/>
      <c r="M7" s="156" t="e">
        <f>I7+I11+#REF!+#REF!+#REF!+#REF!+I19+#REF!+#REF!+#REF!+#REF!+#REF!+#REF!</f>
        <v>#REF!</v>
      </c>
      <c r="N7" s="427" t="s">
        <v>174</v>
      </c>
    </row>
    <row r="8" spans="1:14" s="71" customFormat="1" ht="13.5" customHeight="1">
      <c r="A8" s="428"/>
      <c r="B8" s="427"/>
      <c r="C8" s="427"/>
      <c r="D8" s="427"/>
      <c r="E8" s="428"/>
      <c r="F8" s="98"/>
      <c r="G8" s="517" t="s">
        <v>1067</v>
      </c>
      <c r="H8" s="79"/>
      <c r="I8" s="80">
        <v>12</v>
      </c>
      <c r="J8" s="81">
        <v>416</v>
      </c>
      <c r="K8" s="81">
        <f t="shared" si="0"/>
        <v>4992</v>
      </c>
      <c r="L8" s="102"/>
      <c r="M8" s="156" t="e">
        <f>I8+I12+#REF!+#REF!+#REF!+#REF!+I20+#REF!+#REF!+#REF!+#REF!+#REF!+#REF!</f>
        <v>#REF!</v>
      </c>
      <c r="N8" s="427" t="s">
        <v>172</v>
      </c>
    </row>
    <row r="9" spans="1:14" s="71" customFormat="1" ht="13.5" customHeight="1">
      <c r="A9" s="428"/>
      <c r="B9" s="427"/>
      <c r="C9" s="427"/>
      <c r="D9" s="427"/>
      <c r="E9" s="274"/>
      <c r="F9" s="110"/>
      <c r="G9" s="517" t="s">
        <v>1065</v>
      </c>
      <c r="H9" s="79"/>
      <c r="I9" s="80">
        <v>8</v>
      </c>
      <c r="J9" s="81">
        <v>165</v>
      </c>
      <c r="K9" s="81">
        <f>I9*J9</f>
        <v>1320</v>
      </c>
      <c r="L9" s="111"/>
      <c r="M9" s="156" t="e">
        <f>#REF!+I17+#REF!+#REF!+#REF!+#REF!+#REF!+#REF!+I26+I29</f>
        <v>#REF!</v>
      </c>
      <c r="N9" s="427" t="s">
        <v>24</v>
      </c>
    </row>
    <row r="10" spans="1:14" s="71" customFormat="1" ht="13.5" customHeight="1">
      <c r="A10" s="428">
        <v>2</v>
      </c>
      <c r="B10" s="427" t="s">
        <v>451</v>
      </c>
      <c r="C10" s="427" t="s">
        <v>121</v>
      </c>
      <c r="D10" s="427" t="s">
        <v>290</v>
      </c>
      <c r="E10" s="428"/>
      <c r="F10" s="87"/>
      <c r="G10" s="518" t="s">
        <v>1066</v>
      </c>
      <c r="H10" s="79"/>
      <c r="I10" s="80">
        <v>10</v>
      </c>
      <c r="J10" s="81">
        <v>165</v>
      </c>
      <c r="K10" s="81">
        <f t="shared" ref="K10" si="1">I10*J10</f>
        <v>1650</v>
      </c>
      <c r="L10" s="102"/>
      <c r="M10" s="156" t="e">
        <f>#REF!+I18+#REF!+#REF!+#REF!+#REF!+#REF!+#REF!</f>
        <v>#REF!</v>
      </c>
      <c r="N10" s="427" t="s">
        <v>175</v>
      </c>
    </row>
    <row r="11" spans="1:14" s="71" customFormat="1" ht="13.5" customHeight="1">
      <c r="A11" s="428"/>
      <c r="B11" s="428"/>
      <c r="C11" s="428"/>
      <c r="D11" s="428"/>
      <c r="E11" s="274"/>
      <c r="F11" s="110"/>
      <c r="G11" s="427"/>
      <c r="H11" s="79"/>
      <c r="I11" s="80"/>
      <c r="J11" s="81"/>
      <c r="K11" s="81"/>
      <c r="L11" s="111"/>
      <c r="M11" s="156" t="e">
        <f>#REF!+I21+#REF!+#REF!+#REF!+#REF!+#REF!+#REF!</f>
        <v>#REF!</v>
      </c>
      <c r="N11" s="429" t="s">
        <v>176</v>
      </c>
    </row>
    <row r="12" spans="1:14" s="71" customFormat="1" ht="13.5" customHeight="1">
      <c r="A12" s="428"/>
      <c r="B12" s="427"/>
      <c r="C12" s="427"/>
      <c r="D12" s="427"/>
      <c r="E12" s="428"/>
      <c r="F12" s="87"/>
      <c r="G12" s="427"/>
      <c r="H12" s="79"/>
      <c r="I12" s="80"/>
      <c r="J12" s="81"/>
      <c r="K12" s="81"/>
      <c r="L12" s="102"/>
      <c r="M12" s="156">
        <f>I27+I30</f>
        <v>25</v>
      </c>
      <c r="N12" s="430" t="s">
        <v>10</v>
      </c>
    </row>
    <row r="13" spans="1:14" s="71" customFormat="1" ht="13.5" customHeight="1">
      <c r="A13" s="428"/>
      <c r="B13" s="428"/>
      <c r="C13" s="428"/>
      <c r="D13" s="428"/>
      <c r="E13" s="274" t="s">
        <v>9</v>
      </c>
      <c r="F13" s="110">
        <f>SUM(F6:F12)</f>
        <v>6994.6655999999994</v>
      </c>
      <c r="G13" s="274"/>
      <c r="H13" s="274"/>
      <c r="I13" s="125"/>
      <c r="J13" s="97"/>
      <c r="K13" s="111">
        <f>SUM(K6:K12)</f>
        <v>19602</v>
      </c>
      <c r="L13" s="111">
        <f>K13/F13</f>
        <v>2.8024213194695116</v>
      </c>
      <c r="M13" s="102"/>
    </row>
    <row r="14" spans="1:14" s="71" customFormat="1" ht="13.5" customHeight="1">
      <c r="D14" s="126" t="s">
        <v>30</v>
      </c>
      <c r="E14" s="126"/>
      <c r="F14" s="127">
        <f>F13</f>
        <v>6994.6655999999994</v>
      </c>
      <c r="G14" s="128"/>
      <c r="H14" s="128"/>
      <c r="I14" s="128"/>
      <c r="J14" s="128"/>
      <c r="K14" s="127">
        <f>K13</f>
        <v>19602</v>
      </c>
      <c r="L14" s="129">
        <f>K14/F14</f>
        <v>2.8024213194695116</v>
      </c>
    </row>
    <row r="15" spans="1:14" s="71" customFormat="1" ht="13.5" customHeight="1">
      <c r="A15" s="70" t="s">
        <v>23</v>
      </c>
      <c r="B15" s="70"/>
      <c r="C15" s="70"/>
      <c r="D15" s="70"/>
      <c r="E15" s="70"/>
      <c r="K15" s="824" t="s">
        <v>957</v>
      </c>
      <c r="L15" s="824"/>
      <c r="M15" s="824"/>
    </row>
    <row r="16" spans="1:14" s="71" customFormat="1" ht="13.5" customHeight="1">
      <c r="A16" s="274" t="s">
        <v>0</v>
      </c>
      <c r="B16" s="274" t="s">
        <v>7</v>
      </c>
      <c r="C16" s="274" t="s">
        <v>13</v>
      </c>
      <c r="D16" s="274" t="s">
        <v>14</v>
      </c>
      <c r="E16" s="274" t="s">
        <v>8</v>
      </c>
      <c r="F16" s="274" t="s">
        <v>1</v>
      </c>
      <c r="G16" s="274" t="s">
        <v>2</v>
      </c>
      <c r="H16" s="274" t="s">
        <v>15</v>
      </c>
      <c r="I16" s="274" t="s">
        <v>3</v>
      </c>
      <c r="J16" s="274" t="s">
        <v>4</v>
      </c>
      <c r="K16" s="274" t="s">
        <v>5</v>
      </c>
      <c r="L16" s="274" t="s">
        <v>12</v>
      </c>
      <c r="M16" s="274" t="s">
        <v>6</v>
      </c>
    </row>
    <row r="17" spans="1:13" s="71" customFormat="1" ht="13.5" customHeight="1">
      <c r="A17" s="428">
        <v>1</v>
      </c>
      <c r="B17" s="427" t="s">
        <v>942</v>
      </c>
      <c r="C17" s="427" t="s">
        <v>121</v>
      </c>
      <c r="D17" s="427" t="s">
        <v>943</v>
      </c>
      <c r="E17" s="428"/>
      <c r="F17" s="99">
        <f>3410*1.0936</f>
        <v>3729.1759999999995</v>
      </c>
      <c r="G17" s="517" t="s">
        <v>24</v>
      </c>
      <c r="H17" s="79"/>
      <c r="I17" s="80">
        <f>27+7</f>
        <v>34</v>
      </c>
      <c r="J17" s="81">
        <v>74</v>
      </c>
      <c r="K17" s="81">
        <f t="shared" ref="K17:K19" si="2">I17*J17</f>
        <v>2516</v>
      </c>
      <c r="L17" s="102"/>
      <c r="M17" s="124"/>
    </row>
    <row r="18" spans="1:13" s="71" customFormat="1" ht="13.5" customHeight="1">
      <c r="A18" s="428"/>
      <c r="B18" s="428"/>
      <c r="C18" s="428"/>
      <c r="D18" s="428"/>
      <c r="E18" s="428"/>
      <c r="F18" s="98"/>
      <c r="G18" s="88" t="s">
        <v>18</v>
      </c>
      <c r="H18" s="79"/>
      <c r="I18" s="80">
        <v>7</v>
      </c>
      <c r="J18" s="81">
        <v>46</v>
      </c>
      <c r="K18" s="81">
        <f t="shared" si="2"/>
        <v>322</v>
      </c>
      <c r="L18" s="102"/>
      <c r="M18" s="102"/>
    </row>
    <row r="19" spans="1:13" s="71" customFormat="1" ht="13.5" customHeight="1">
      <c r="A19" s="428"/>
      <c r="B19" s="427"/>
      <c r="C19" s="427"/>
      <c r="D19" s="427"/>
      <c r="E19" s="428"/>
      <c r="F19" s="98"/>
      <c r="G19" s="517" t="s">
        <v>1067</v>
      </c>
      <c r="H19" s="79"/>
      <c r="I19" s="80">
        <f>12+6</f>
        <v>18</v>
      </c>
      <c r="J19" s="81">
        <v>416</v>
      </c>
      <c r="K19" s="81">
        <f t="shared" si="2"/>
        <v>7488</v>
      </c>
      <c r="L19" s="102"/>
      <c r="M19" s="102"/>
    </row>
    <row r="20" spans="1:13" s="71" customFormat="1" ht="13.5" customHeight="1">
      <c r="A20" s="428"/>
      <c r="B20" s="428"/>
      <c r="C20" s="428"/>
      <c r="D20" s="428"/>
      <c r="E20" s="428"/>
      <c r="F20" s="98"/>
      <c r="G20" s="517" t="s">
        <v>1065</v>
      </c>
      <c r="H20" s="79"/>
      <c r="I20" s="80">
        <f>4+5</f>
        <v>9</v>
      </c>
      <c r="J20" s="81">
        <v>165</v>
      </c>
      <c r="K20" s="81">
        <f>I20*J20</f>
        <v>1485</v>
      </c>
      <c r="L20" s="102"/>
      <c r="M20" s="102"/>
    </row>
    <row r="21" spans="1:13" s="71" customFormat="1" ht="13.5" customHeight="1">
      <c r="A21" s="428"/>
      <c r="B21" s="428"/>
      <c r="C21" s="428"/>
      <c r="D21" s="428"/>
      <c r="E21" s="428"/>
      <c r="F21" s="98"/>
      <c r="G21" s="518" t="s">
        <v>1066</v>
      </c>
      <c r="H21" s="79"/>
      <c r="I21" s="80">
        <v>9</v>
      </c>
      <c r="J21" s="81">
        <v>165</v>
      </c>
      <c r="K21" s="81">
        <f t="shared" ref="K21" si="3">I21*J21</f>
        <v>1485</v>
      </c>
      <c r="L21" s="102"/>
      <c r="M21" s="102"/>
    </row>
    <row r="22" spans="1:13" s="71" customFormat="1" ht="13.5" customHeight="1">
      <c r="A22" s="428"/>
      <c r="B22" s="428"/>
      <c r="C22" s="428"/>
      <c r="D22" s="428"/>
      <c r="E22" s="274" t="s">
        <v>9</v>
      </c>
      <c r="F22" s="110">
        <f>SUM(F17:F21)</f>
        <v>3729.1759999999995</v>
      </c>
      <c r="G22" s="274"/>
      <c r="H22" s="274"/>
      <c r="I22" s="125"/>
      <c r="J22" s="97"/>
      <c r="K22" s="111">
        <f>SUM(K17:K21)</f>
        <v>13296</v>
      </c>
      <c r="L22" s="111">
        <f>K22/F22</f>
        <v>3.5653988977725914</v>
      </c>
      <c r="M22" s="102"/>
    </row>
    <row r="23" spans="1:13" s="71" customFormat="1" ht="13.5" customHeight="1">
      <c r="A23" s="131"/>
      <c r="B23" s="131"/>
      <c r="C23" s="131"/>
      <c r="D23" s="274" t="s">
        <v>30</v>
      </c>
      <c r="E23" s="274"/>
      <c r="F23" s="127">
        <f>F22</f>
        <v>3729.1759999999995</v>
      </c>
      <c r="G23" s="132"/>
      <c r="H23" s="132"/>
      <c r="I23" s="132"/>
      <c r="J23" s="132"/>
      <c r="K23" s="127">
        <f>K22</f>
        <v>13296</v>
      </c>
      <c r="L23" s="129">
        <f>K23/F23</f>
        <v>3.5653988977725914</v>
      </c>
      <c r="M23" s="102"/>
    </row>
    <row r="24" spans="1:13" s="71" customFormat="1" ht="13.5" customHeight="1">
      <c r="A24" s="70" t="s">
        <v>22</v>
      </c>
      <c r="B24" s="70"/>
      <c r="C24" s="70"/>
      <c r="D24" s="70"/>
      <c r="E24" s="70"/>
      <c r="K24" s="824" t="s">
        <v>957</v>
      </c>
      <c r="L24" s="824"/>
      <c r="M24" s="824"/>
    </row>
    <row r="25" spans="1:13" s="71" customFormat="1" ht="13.5" customHeight="1">
      <c r="A25" s="274" t="s">
        <v>0</v>
      </c>
      <c r="B25" s="274" t="s">
        <v>7</v>
      </c>
      <c r="C25" s="274" t="s">
        <v>13</v>
      </c>
      <c r="D25" s="274" t="s">
        <v>14</v>
      </c>
      <c r="E25" s="274" t="s">
        <v>8</v>
      </c>
      <c r="F25" s="274" t="s">
        <v>1</v>
      </c>
      <c r="G25" s="274" t="s">
        <v>2</v>
      </c>
      <c r="H25" s="274" t="s">
        <v>15</v>
      </c>
      <c r="I25" s="274" t="s">
        <v>3</v>
      </c>
      <c r="J25" s="274" t="s">
        <v>4</v>
      </c>
      <c r="K25" s="274" t="s">
        <v>5</v>
      </c>
      <c r="L25" s="274" t="s">
        <v>12</v>
      </c>
      <c r="M25" s="274" t="s">
        <v>6</v>
      </c>
    </row>
    <row r="26" spans="1:13" s="71" customFormat="1" ht="13.5" customHeight="1">
      <c r="A26" s="428">
        <v>1</v>
      </c>
      <c r="B26" s="427" t="s">
        <v>767</v>
      </c>
      <c r="C26" s="427" t="s">
        <v>766</v>
      </c>
      <c r="D26" s="427" t="s">
        <v>857</v>
      </c>
      <c r="E26" s="428"/>
      <c r="F26" s="99">
        <f>6445*1.0936</f>
        <v>7048.2519999999995</v>
      </c>
      <c r="G26" s="427" t="s">
        <v>24</v>
      </c>
      <c r="H26" s="79"/>
      <c r="I26" s="80">
        <v>53</v>
      </c>
      <c r="J26" s="81">
        <v>74</v>
      </c>
      <c r="K26" s="81">
        <f t="shared" ref="K26:K27" si="4">I26*J26</f>
        <v>3922</v>
      </c>
      <c r="L26" s="102"/>
      <c r="M26" s="124"/>
    </row>
    <row r="27" spans="1:13" s="71" customFormat="1" ht="13.5" customHeight="1">
      <c r="A27" s="428"/>
      <c r="B27" s="427"/>
      <c r="C27" s="427"/>
      <c r="D27" s="427"/>
      <c r="E27" s="428"/>
      <c r="F27" s="99"/>
      <c r="G27" s="430" t="s">
        <v>10</v>
      </c>
      <c r="H27" s="79"/>
      <c r="I27" s="80">
        <v>15</v>
      </c>
      <c r="J27" s="81">
        <v>120</v>
      </c>
      <c r="K27" s="81">
        <f t="shared" si="4"/>
        <v>1800</v>
      </c>
      <c r="L27" s="102"/>
      <c r="M27" s="102"/>
    </row>
    <row r="28" spans="1:13" s="71" customFormat="1" ht="13.5" customHeight="1">
      <c r="A28" s="428"/>
      <c r="B28" s="427"/>
      <c r="C28" s="427"/>
      <c r="D28" s="427"/>
      <c r="E28" s="274" t="s">
        <v>9</v>
      </c>
      <c r="F28" s="110">
        <f>SUM(F26:F27)</f>
        <v>7048.2519999999995</v>
      </c>
      <c r="G28" s="274"/>
      <c r="H28" s="274"/>
      <c r="I28" s="125"/>
      <c r="J28" s="97"/>
      <c r="K28" s="111">
        <f>SUM(K26:K27)</f>
        <v>5722</v>
      </c>
      <c r="L28" s="111">
        <f>K28/F28</f>
        <v>0.81183249407087044</v>
      </c>
      <c r="M28" s="102"/>
    </row>
    <row r="29" spans="1:13" s="71" customFormat="1" ht="13.5" customHeight="1">
      <c r="A29" s="428">
        <v>2</v>
      </c>
      <c r="B29" s="427" t="s">
        <v>947</v>
      </c>
      <c r="C29" s="427" t="s">
        <v>700</v>
      </c>
      <c r="D29" s="427" t="s">
        <v>297</v>
      </c>
      <c r="E29" s="428"/>
      <c r="F29" s="99">
        <f>4620*1.0936</f>
        <v>5052.4319999999998</v>
      </c>
      <c r="G29" s="427" t="s">
        <v>24</v>
      </c>
      <c r="H29" s="79"/>
      <c r="I29" s="80">
        <v>39</v>
      </c>
      <c r="J29" s="81">
        <v>74</v>
      </c>
      <c r="K29" s="81">
        <f t="shared" ref="K29:K30" si="5">I29*J29</f>
        <v>2886</v>
      </c>
      <c r="L29" s="102"/>
      <c r="M29" s="102"/>
    </row>
    <row r="30" spans="1:13" s="71" customFormat="1" ht="13.5" customHeight="1">
      <c r="A30" s="428"/>
      <c r="B30" s="427"/>
      <c r="C30" s="427"/>
      <c r="D30" s="427"/>
      <c r="E30" s="428"/>
      <c r="F30" s="98"/>
      <c r="G30" s="430" t="s">
        <v>10</v>
      </c>
      <c r="H30" s="79"/>
      <c r="I30" s="80">
        <v>10</v>
      </c>
      <c r="J30" s="81">
        <v>120</v>
      </c>
      <c r="K30" s="81">
        <f t="shared" si="5"/>
        <v>1200</v>
      </c>
      <c r="L30" s="102"/>
      <c r="M30" s="102"/>
    </row>
    <row r="31" spans="1:13" s="71" customFormat="1" ht="13.5" customHeight="1">
      <c r="A31" s="428"/>
      <c r="B31" s="427"/>
      <c r="C31" s="427"/>
      <c r="D31" s="427"/>
      <c r="E31" s="274" t="s">
        <v>9</v>
      </c>
      <c r="F31" s="110">
        <f>SUM(F29:F30)</f>
        <v>5052.4319999999998</v>
      </c>
      <c r="G31" s="274"/>
      <c r="H31" s="274"/>
      <c r="I31" s="125"/>
      <c r="J31" s="97"/>
      <c r="K31" s="111">
        <f>SUM(K29:K30)</f>
        <v>4086</v>
      </c>
      <c r="L31" s="111">
        <f>K31/F31</f>
        <v>0.80871944441805454</v>
      </c>
      <c r="M31" s="102"/>
    </row>
    <row r="32" spans="1:13" s="71" customFormat="1" ht="13.5" customHeight="1">
      <c r="A32" s="428">
        <v>3</v>
      </c>
      <c r="B32" s="427" t="s">
        <v>865</v>
      </c>
      <c r="C32" s="427" t="s">
        <v>700</v>
      </c>
      <c r="D32" s="427" t="s">
        <v>297</v>
      </c>
      <c r="E32" s="428"/>
      <c r="F32" s="99">
        <f>11290*1.0936</f>
        <v>12346.743999999999</v>
      </c>
      <c r="G32" s="427" t="s">
        <v>24</v>
      </c>
      <c r="H32" s="79"/>
      <c r="I32" s="80">
        <v>143</v>
      </c>
      <c r="J32" s="81">
        <v>74</v>
      </c>
      <c r="K32" s="81">
        <f t="shared" ref="K32:K33" si="6">I32*J32</f>
        <v>10582</v>
      </c>
      <c r="L32" s="102"/>
      <c r="M32" s="102"/>
    </row>
    <row r="33" spans="1:14" s="71" customFormat="1" ht="13.5" customHeight="1">
      <c r="A33" s="428"/>
      <c r="B33" s="427"/>
      <c r="C33" s="427"/>
      <c r="D33" s="427"/>
      <c r="E33" s="428"/>
      <c r="F33" s="98"/>
      <c r="G33" s="430" t="s">
        <v>10</v>
      </c>
      <c r="H33" s="79"/>
      <c r="I33" s="80">
        <v>25</v>
      </c>
      <c r="J33" s="81">
        <v>120</v>
      </c>
      <c r="K33" s="81">
        <f t="shared" si="6"/>
        <v>3000</v>
      </c>
      <c r="L33" s="102"/>
      <c r="M33" s="102"/>
    </row>
    <row r="34" spans="1:14" s="71" customFormat="1" ht="13.5" customHeight="1">
      <c r="A34" s="428"/>
      <c r="B34" s="427"/>
      <c r="C34" s="427"/>
      <c r="D34" s="427"/>
      <c r="E34" s="274" t="s">
        <v>9</v>
      </c>
      <c r="F34" s="110">
        <f>SUM(F32:F33)</f>
        <v>12346.743999999999</v>
      </c>
      <c r="G34" s="274"/>
      <c r="H34" s="274"/>
      <c r="I34" s="125"/>
      <c r="J34" s="97"/>
      <c r="K34" s="111">
        <f>SUM(K32:K33)</f>
        <v>13582</v>
      </c>
      <c r="L34" s="111">
        <f>K34/F34</f>
        <v>1.1000471055364882</v>
      </c>
      <c r="M34" s="102"/>
    </row>
    <row r="35" spans="1:14" s="71" customFormat="1" ht="13.5" customHeight="1">
      <c r="D35" s="126" t="s">
        <v>30</v>
      </c>
      <c r="E35" s="126"/>
      <c r="F35" s="127">
        <f>F28+F31+F34</f>
        <v>24447.428</v>
      </c>
      <c r="G35" s="128"/>
      <c r="H35" s="128"/>
      <c r="I35" s="128"/>
      <c r="J35" s="128"/>
      <c r="K35" s="127">
        <f>K28+K31+K34</f>
        <v>23390</v>
      </c>
      <c r="L35" s="129">
        <f>K35/F35</f>
        <v>0.95674686106039453</v>
      </c>
    </row>
    <row r="36" spans="1:14" s="71" customFormat="1" ht="13.5" customHeight="1">
      <c r="A36" s="70" t="s">
        <v>16</v>
      </c>
      <c r="B36" s="70"/>
      <c r="C36" s="70"/>
      <c r="D36" s="70"/>
      <c r="E36" s="70"/>
      <c r="K36" s="824" t="s">
        <v>957</v>
      </c>
      <c r="L36" s="824"/>
      <c r="M36" s="824"/>
    </row>
    <row r="37" spans="1:14" s="71" customFormat="1" ht="13.5" customHeight="1">
      <c r="A37" s="274" t="s">
        <v>0</v>
      </c>
      <c r="B37" s="274" t="s">
        <v>7</v>
      </c>
      <c r="C37" s="274" t="s">
        <v>13</v>
      </c>
      <c r="D37" s="274" t="s">
        <v>14</v>
      </c>
      <c r="E37" s="274" t="s">
        <v>8</v>
      </c>
      <c r="F37" s="274" t="s">
        <v>1</v>
      </c>
      <c r="G37" s="274" t="s">
        <v>2</v>
      </c>
      <c r="H37" s="274" t="s">
        <v>15</v>
      </c>
      <c r="I37" s="274" t="s">
        <v>3</v>
      </c>
      <c r="J37" s="274" t="s">
        <v>4</v>
      </c>
      <c r="K37" s="274" t="s">
        <v>5</v>
      </c>
      <c r="L37" s="274" t="s">
        <v>12</v>
      </c>
      <c r="M37" s="274" t="s">
        <v>6</v>
      </c>
    </row>
    <row r="38" spans="1:14" s="71" customFormat="1" ht="13.5" customHeight="1">
      <c r="A38" s="428"/>
      <c r="B38" s="427"/>
      <c r="C38" s="427"/>
      <c r="D38" s="427"/>
      <c r="E38" s="428"/>
      <c r="F38" s="98"/>
      <c r="G38" s="427" t="s">
        <v>75</v>
      </c>
      <c r="H38" s="427"/>
      <c r="I38" s="96"/>
      <c r="J38" s="94">
        <v>367</v>
      </c>
      <c r="K38" s="94">
        <f t="shared" ref="K38" si="7">I38*J38</f>
        <v>0</v>
      </c>
      <c r="L38" s="102"/>
      <c r="M38" s="139"/>
    </row>
    <row r="39" spans="1:14" s="71" customFormat="1" ht="13.5" customHeight="1">
      <c r="A39" s="428"/>
      <c r="B39" s="428"/>
      <c r="C39" s="428"/>
      <c r="D39" s="428"/>
      <c r="E39" s="428"/>
      <c r="F39" s="98"/>
      <c r="G39" s="427" t="s">
        <v>70</v>
      </c>
      <c r="H39" s="79"/>
      <c r="I39" s="80"/>
      <c r="J39" s="81">
        <v>146</v>
      </c>
      <c r="K39" s="81">
        <f t="shared" ref="K39:K40" si="8">I39*J39</f>
        <v>0</v>
      </c>
      <c r="L39" s="102"/>
      <c r="M39" s="102"/>
    </row>
    <row r="40" spans="1:14" s="71" customFormat="1" ht="13.5" customHeight="1">
      <c r="A40" s="428"/>
      <c r="B40" s="428"/>
      <c r="C40" s="428"/>
      <c r="D40" s="428"/>
      <c r="E40" s="428"/>
      <c r="F40" s="98"/>
      <c r="G40" s="427" t="s">
        <v>20</v>
      </c>
      <c r="H40" s="79"/>
      <c r="I40" s="80"/>
      <c r="J40" s="81">
        <v>315</v>
      </c>
      <c r="K40" s="81">
        <f t="shared" si="8"/>
        <v>0</v>
      </c>
      <c r="L40" s="102"/>
      <c r="M40" s="102"/>
    </row>
    <row r="41" spans="1:14" s="71" customFormat="1" ht="13.5" customHeight="1">
      <c r="A41" s="428"/>
      <c r="B41" s="428"/>
      <c r="C41" s="428"/>
      <c r="D41" s="428"/>
      <c r="E41" s="274" t="s">
        <v>9</v>
      </c>
      <c r="F41" s="110">
        <f>SUM(F39:F40)</f>
        <v>0</v>
      </c>
      <c r="G41" s="274"/>
      <c r="H41" s="274"/>
      <c r="I41" s="125"/>
      <c r="J41" s="97"/>
      <c r="K41" s="111">
        <f>SUM(K39:K40)</f>
        <v>0</v>
      </c>
      <c r="L41" s="111" t="e">
        <f>K41/F41</f>
        <v>#DIV/0!</v>
      </c>
      <c r="M41" s="102"/>
    </row>
    <row r="42" spans="1:14" s="71" customFormat="1" ht="13.5" customHeight="1">
      <c r="A42" s="425"/>
      <c r="B42" s="425"/>
      <c r="C42" s="425"/>
      <c r="D42" s="126" t="s">
        <v>30</v>
      </c>
      <c r="E42" s="126"/>
      <c r="F42" s="127">
        <f>F41</f>
        <v>0</v>
      </c>
      <c r="G42" s="128"/>
      <c r="H42" s="128"/>
      <c r="I42" s="128"/>
      <c r="J42" s="128"/>
      <c r="K42" s="127">
        <f>K41</f>
        <v>0</v>
      </c>
      <c r="L42" s="129" t="e">
        <f>K42/F42</f>
        <v>#DIV/0!</v>
      </c>
      <c r="M42" s="131"/>
    </row>
    <row r="43" spans="1:14" s="71" customFormat="1" ht="13.5" customHeight="1">
      <c r="A43" s="106" t="s">
        <v>72</v>
      </c>
      <c r="B43" s="106"/>
      <c r="C43" s="106"/>
      <c r="D43" s="106"/>
      <c r="E43" s="106"/>
      <c r="F43" s="107"/>
      <c r="G43" s="107"/>
      <c r="H43" s="107"/>
      <c r="I43" s="149"/>
      <c r="J43" s="107"/>
      <c r="K43" s="824" t="s">
        <v>957</v>
      </c>
      <c r="L43" s="824"/>
      <c r="M43" s="824"/>
    </row>
    <row r="44" spans="1:14" s="71" customFormat="1" ht="13.5" customHeight="1">
      <c r="A44" s="273" t="s">
        <v>0</v>
      </c>
      <c r="B44" s="273" t="s">
        <v>7</v>
      </c>
      <c r="C44" s="273" t="s">
        <v>13</v>
      </c>
      <c r="D44" s="273" t="s">
        <v>14</v>
      </c>
      <c r="E44" s="273" t="s">
        <v>8</v>
      </c>
      <c r="F44" s="273" t="s">
        <v>1</v>
      </c>
      <c r="G44" s="273" t="s">
        <v>2</v>
      </c>
      <c r="H44" s="273" t="s">
        <v>15</v>
      </c>
      <c r="I44" s="150" t="s">
        <v>3</v>
      </c>
      <c r="J44" s="273" t="s">
        <v>4</v>
      </c>
      <c r="K44" s="273" t="s">
        <v>5</v>
      </c>
      <c r="L44" s="273" t="s">
        <v>12</v>
      </c>
      <c r="M44" s="273" t="s">
        <v>6</v>
      </c>
      <c r="N44" s="123"/>
    </row>
    <row r="45" spans="1:14" s="71" customFormat="1" ht="13.5" customHeight="1">
      <c r="A45" s="427">
        <v>9752</v>
      </c>
      <c r="B45" s="552" t="s">
        <v>1145</v>
      </c>
      <c r="C45" s="427" t="s">
        <v>937</v>
      </c>
      <c r="D45" s="427" t="s">
        <v>939</v>
      </c>
      <c r="E45" s="89" t="s">
        <v>127</v>
      </c>
      <c r="F45" s="87">
        <f>2063*1.0936</f>
        <v>2256.0967999999998</v>
      </c>
      <c r="G45" s="429" t="s">
        <v>405</v>
      </c>
      <c r="H45" s="79"/>
      <c r="I45" s="80">
        <v>0.54200000000000004</v>
      </c>
      <c r="J45" s="81">
        <v>1708</v>
      </c>
      <c r="K45" s="81">
        <f t="shared" ref="K45:K49" si="9">I45*J45</f>
        <v>925.7360000000001</v>
      </c>
      <c r="L45" s="102"/>
      <c r="M45" s="102"/>
    </row>
    <row r="46" spans="1:14" s="71" customFormat="1" ht="13.5" customHeight="1">
      <c r="A46" s="427"/>
      <c r="B46" s="428"/>
      <c r="C46" s="428"/>
      <c r="D46" s="428"/>
      <c r="E46" s="552" t="s">
        <v>644</v>
      </c>
      <c r="F46" s="98"/>
      <c r="G46" s="91" t="s">
        <v>192</v>
      </c>
      <c r="H46" s="79"/>
      <c r="I46" s="80">
        <v>1.1120000000000001</v>
      </c>
      <c r="J46" s="81">
        <v>1126</v>
      </c>
      <c r="K46" s="81">
        <f t="shared" si="9"/>
        <v>1252.1120000000001</v>
      </c>
      <c r="L46" s="102"/>
      <c r="M46" s="102"/>
    </row>
    <row r="47" spans="1:14" s="71" customFormat="1" ht="13.5" customHeight="1">
      <c r="A47" s="427"/>
      <c r="B47" s="428"/>
      <c r="C47" s="428"/>
      <c r="D47" s="428"/>
      <c r="E47" s="428"/>
      <c r="F47" s="98"/>
      <c r="G47" s="91" t="s">
        <v>193</v>
      </c>
      <c r="H47" s="79"/>
      <c r="I47" s="80">
        <v>3.51</v>
      </c>
      <c r="J47" s="81">
        <v>1150</v>
      </c>
      <c r="K47" s="81">
        <f t="shared" si="9"/>
        <v>4036.4999999999995</v>
      </c>
      <c r="L47" s="79"/>
      <c r="M47" s="102"/>
    </row>
    <row r="48" spans="1:14" s="71" customFormat="1" ht="13.5" customHeight="1">
      <c r="A48" s="427"/>
      <c r="B48" s="428"/>
      <c r="C48" s="428"/>
      <c r="D48" s="428"/>
      <c r="E48" s="428"/>
      <c r="F48" s="98"/>
      <c r="G48" s="427" t="s">
        <v>184</v>
      </c>
      <c r="H48" s="427"/>
      <c r="I48" s="80">
        <v>3.2</v>
      </c>
      <c r="J48" s="81">
        <v>336</v>
      </c>
      <c r="K48" s="94">
        <f t="shared" si="9"/>
        <v>1075.2</v>
      </c>
      <c r="L48" s="102"/>
      <c r="M48" s="102"/>
    </row>
    <row r="49" spans="1:13" s="71" customFormat="1" ht="13.5" customHeight="1">
      <c r="A49" s="427"/>
      <c r="B49" s="428"/>
      <c r="C49" s="428"/>
      <c r="D49" s="428"/>
      <c r="E49" s="428"/>
      <c r="F49" s="98"/>
      <c r="G49" s="95" t="s">
        <v>185</v>
      </c>
      <c r="H49" s="79"/>
      <c r="I49" s="96">
        <v>6.5</v>
      </c>
      <c r="J49" s="81">
        <v>490</v>
      </c>
      <c r="K49" s="81">
        <f t="shared" si="9"/>
        <v>3185</v>
      </c>
      <c r="L49" s="102"/>
      <c r="M49" s="102"/>
    </row>
    <row r="50" spans="1:13" s="71" customFormat="1" ht="13.5" customHeight="1">
      <c r="A50" s="427"/>
      <c r="B50" s="427"/>
      <c r="C50" s="427"/>
      <c r="D50" s="427"/>
      <c r="E50" s="273" t="s">
        <v>9</v>
      </c>
      <c r="F50" s="108">
        <f>SUM(F45:F49)</f>
        <v>2256.0967999999998</v>
      </c>
      <c r="G50" s="273"/>
      <c r="H50" s="273"/>
      <c r="I50" s="80"/>
      <c r="J50" s="81"/>
      <c r="K50" s="103">
        <f>SUM(K45:K49)</f>
        <v>10474.547999999999</v>
      </c>
      <c r="L50" s="103">
        <f>K50/F50</f>
        <v>4.6427741930222144</v>
      </c>
      <c r="M50" s="79"/>
    </row>
    <row r="51" spans="1:13" s="71" customFormat="1" ht="13.5" customHeight="1">
      <c r="A51" s="427">
        <v>9197</v>
      </c>
      <c r="B51" s="89" t="s">
        <v>924</v>
      </c>
      <c r="C51" s="89" t="s">
        <v>217</v>
      </c>
      <c r="D51" s="89" t="s">
        <v>120</v>
      </c>
      <c r="E51" s="89" t="s">
        <v>948</v>
      </c>
      <c r="F51" s="90">
        <f>100*1.0936</f>
        <v>109.35999999999999</v>
      </c>
      <c r="G51" s="93" t="s">
        <v>258</v>
      </c>
      <c r="H51" s="79"/>
      <c r="I51" s="80">
        <v>1.0999999999999999E-2</v>
      </c>
      <c r="J51" s="81">
        <v>2801</v>
      </c>
      <c r="K51" s="81">
        <f t="shared" ref="K51:K55" si="10">I51*J51</f>
        <v>30.811</v>
      </c>
      <c r="L51" s="79"/>
      <c r="M51" s="79"/>
    </row>
    <row r="52" spans="1:13" s="71" customFormat="1" ht="13.5" customHeight="1">
      <c r="A52" s="427"/>
      <c r="B52" s="427"/>
      <c r="C52" s="427"/>
      <c r="D52" s="427"/>
      <c r="E52" s="427"/>
      <c r="F52" s="87"/>
      <c r="G52" s="93" t="s">
        <v>259</v>
      </c>
      <c r="H52" s="79"/>
      <c r="I52" s="80">
        <v>5.0000000000000001E-3</v>
      </c>
      <c r="J52" s="81">
        <v>2704</v>
      </c>
      <c r="K52" s="81">
        <f t="shared" si="10"/>
        <v>13.52</v>
      </c>
      <c r="L52" s="79"/>
      <c r="M52" s="79"/>
    </row>
    <row r="53" spans="1:13" s="71" customFormat="1" ht="13.5" customHeight="1">
      <c r="A53" s="427"/>
      <c r="B53" s="427"/>
      <c r="C53" s="427"/>
      <c r="D53" s="427"/>
      <c r="E53" s="427"/>
      <c r="F53" s="87"/>
      <c r="G53" s="91" t="s">
        <v>260</v>
      </c>
      <c r="H53" s="79"/>
      <c r="I53" s="80">
        <v>5.0000000000000001E-3</v>
      </c>
      <c r="J53" s="81">
        <v>4545</v>
      </c>
      <c r="K53" s="81">
        <f t="shared" si="10"/>
        <v>22.725000000000001</v>
      </c>
      <c r="L53" s="79"/>
      <c r="M53" s="79"/>
    </row>
    <row r="54" spans="1:13" s="71" customFormat="1" ht="13.5" customHeight="1">
      <c r="A54" s="427"/>
      <c r="B54" s="427"/>
      <c r="C54" s="427"/>
      <c r="D54" s="427"/>
      <c r="E54" s="427"/>
      <c r="F54" s="87"/>
      <c r="G54" s="427" t="s">
        <v>184</v>
      </c>
      <c r="H54" s="79"/>
      <c r="I54" s="80">
        <v>0.6</v>
      </c>
      <c r="J54" s="81">
        <v>336</v>
      </c>
      <c r="K54" s="81">
        <f t="shared" si="10"/>
        <v>201.6</v>
      </c>
      <c r="L54" s="79"/>
      <c r="M54" s="79"/>
    </row>
    <row r="55" spans="1:13" s="71" customFormat="1" ht="13.5" customHeight="1">
      <c r="A55" s="427"/>
      <c r="B55" s="427"/>
      <c r="C55" s="427"/>
      <c r="D55" s="427"/>
      <c r="E55" s="427"/>
      <c r="F55" s="87"/>
      <c r="G55" s="95" t="s">
        <v>185</v>
      </c>
      <c r="H55" s="79"/>
      <c r="I55" s="96">
        <v>0.12</v>
      </c>
      <c r="J55" s="81">
        <v>490</v>
      </c>
      <c r="K55" s="81">
        <f t="shared" si="10"/>
        <v>58.8</v>
      </c>
      <c r="L55" s="79"/>
      <c r="M55" s="79"/>
    </row>
    <row r="56" spans="1:13" s="71" customFormat="1" ht="13.5" customHeight="1">
      <c r="A56" s="427"/>
      <c r="B56" s="427"/>
      <c r="C56" s="427"/>
      <c r="D56" s="427"/>
      <c r="E56" s="273" t="s">
        <v>9</v>
      </c>
      <c r="F56" s="108">
        <f>SUM(F51:F55)</f>
        <v>109.35999999999999</v>
      </c>
      <c r="G56" s="273"/>
      <c r="H56" s="273"/>
      <c r="I56" s="80"/>
      <c r="J56" s="81"/>
      <c r="K56" s="103">
        <f>SUM(K51:K55)</f>
        <v>327.45600000000002</v>
      </c>
      <c r="L56" s="103">
        <f>K56/F56</f>
        <v>2.9942940746159481</v>
      </c>
      <c r="M56" s="79"/>
    </row>
    <row r="57" spans="1:13" s="71" customFormat="1" ht="13.5" customHeight="1">
      <c r="A57" s="427">
        <v>9198</v>
      </c>
      <c r="B57" s="89" t="s">
        <v>949</v>
      </c>
      <c r="C57" s="89" t="s">
        <v>492</v>
      </c>
      <c r="D57" s="89" t="s">
        <v>120</v>
      </c>
      <c r="E57" s="427" t="s">
        <v>950</v>
      </c>
      <c r="F57" s="90">
        <f>90*1.0936</f>
        <v>98.423999999999992</v>
      </c>
      <c r="G57" s="93" t="s">
        <v>258</v>
      </c>
      <c r="H57" s="79"/>
      <c r="I57" s="80">
        <v>1.0999999999999999E-2</v>
      </c>
      <c r="J57" s="81">
        <v>2801</v>
      </c>
      <c r="K57" s="81">
        <f t="shared" ref="K57:K61" si="11">I57*J57</f>
        <v>30.811</v>
      </c>
      <c r="L57" s="79"/>
      <c r="M57" s="79"/>
    </row>
    <row r="58" spans="1:13" s="71" customFormat="1" ht="13.5" customHeight="1">
      <c r="A58" s="427"/>
      <c r="B58" s="427"/>
      <c r="C58" s="427"/>
      <c r="D58" s="427"/>
      <c r="E58" s="427"/>
      <c r="F58" s="87"/>
      <c r="G58" s="93" t="s">
        <v>259</v>
      </c>
      <c r="H58" s="79"/>
      <c r="I58" s="80">
        <v>1.9E-2</v>
      </c>
      <c r="J58" s="81">
        <v>2704</v>
      </c>
      <c r="K58" s="81">
        <f t="shared" si="11"/>
        <v>51.375999999999998</v>
      </c>
      <c r="L58" s="79"/>
      <c r="M58" s="79"/>
    </row>
    <row r="59" spans="1:13" s="71" customFormat="1" ht="13.5" customHeight="1">
      <c r="A59" s="427"/>
      <c r="B59" s="427"/>
      <c r="C59" s="427"/>
      <c r="D59" s="427"/>
      <c r="E59" s="427"/>
      <c r="F59" s="87"/>
      <c r="G59" s="91" t="s">
        <v>260</v>
      </c>
      <c r="H59" s="79"/>
      <c r="I59" s="80">
        <v>0.05</v>
      </c>
      <c r="J59" s="81">
        <v>4545</v>
      </c>
      <c r="K59" s="81">
        <f t="shared" si="11"/>
        <v>227.25</v>
      </c>
      <c r="L59" s="79"/>
      <c r="M59" s="79"/>
    </row>
    <row r="60" spans="1:13" s="71" customFormat="1" ht="13.5" customHeight="1">
      <c r="A60" s="427"/>
      <c r="B60" s="427"/>
      <c r="C60" s="427"/>
      <c r="D60" s="427"/>
      <c r="E60" s="427"/>
      <c r="F60" s="87"/>
      <c r="G60" s="427" t="s">
        <v>184</v>
      </c>
      <c r="H60" s="79"/>
      <c r="I60" s="80">
        <v>0.6</v>
      </c>
      <c r="J60" s="81">
        <v>336</v>
      </c>
      <c r="K60" s="81">
        <f t="shared" si="11"/>
        <v>201.6</v>
      </c>
      <c r="L60" s="79"/>
      <c r="M60" s="79"/>
    </row>
    <row r="61" spans="1:13" s="71" customFormat="1" ht="13.5" customHeight="1">
      <c r="A61" s="427"/>
      <c r="B61" s="427"/>
      <c r="C61" s="427"/>
      <c r="D61" s="427"/>
      <c r="E61" s="427"/>
      <c r="F61" s="87"/>
      <c r="G61" s="95" t="s">
        <v>185</v>
      </c>
      <c r="H61" s="79"/>
      <c r="I61" s="96">
        <v>0.12</v>
      </c>
      <c r="J61" s="81">
        <v>490</v>
      </c>
      <c r="K61" s="81">
        <f t="shared" si="11"/>
        <v>58.8</v>
      </c>
      <c r="L61" s="79"/>
      <c r="M61" s="79"/>
    </row>
    <row r="62" spans="1:13" s="71" customFormat="1" ht="13.5" customHeight="1">
      <c r="A62" s="427"/>
      <c r="B62" s="427"/>
      <c r="C62" s="427"/>
      <c r="D62" s="427"/>
      <c r="E62" s="273" t="s">
        <v>9</v>
      </c>
      <c r="F62" s="108">
        <f>SUM(F57:F61)</f>
        <v>98.423999999999992</v>
      </c>
      <c r="G62" s="273"/>
      <c r="H62" s="273"/>
      <c r="I62" s="80"/>
      <c r="J62" s="81"/>
      <c r="K62" s="103">
        <f>SUM(K57:K61)</f>
        <v>569.83699999999999</v>
      </c>
      <c r="L62" s="103">
        <f>K62/F62</f>
        <v>5.7896143217101521</v>
      </c>
      <c r="M62" s="79"/>
    </row>
    <row r="63" spans="1:13" s="71" customFormat="1" ht="13.5" customHeight="1">
      <c r="A63" s="427">
        <v>9196</v>
      </c>
      <c r="B63" s="89" t="s">
        <v>951</v>
      </c>
      <c r="C63" s="89" t="s">
        <v>217</v>
      </c>
      <c r="D63" s="89" t="s">
        <v>120</v>
      </c>
      <c r="E63" s="89" t="s">
        <v>952</v>
      </c>
      <c r="F63" s="90">
        <f>50*1.0936</f>
        <v>54.679999999999993</v>
      </c>
      <c r="G63" s="429" t="s">
        <v>405</v>
      </c>
      <c r="H63" s="79"/>
      <c r="I63" s="80">
        <v>0.54</v>
      </c>
      <c r="J63" s="81">
        <v>1708</v>
      </c>
      <c r="K63" s="81">
        <f t="shared" ref="K63:K67" si="12">I63*J63</f>
        <v>922.32</v>
      </c>
      <c r="L63" s="79"/>
      <c r="M63" s="79"/>
    </row>
    <row r="64" spans="1:13" s="71" customFormat="1" ht="13.5" customHeight="1">
      <c r="A64" s="427"/>
      <c r="B64" s="427"/>
      <c r="C64" s="427"/>
      <c r="D64" s="427"/>
      <c r="E64" s="427"/>
      <c r="F64" s="87"/>
      <c r="G64" s="91" t="s">
        <v>926</v>
      </c>
      <c r="H64" s="79"/>
      <c r="I64" s="80">
        <v>0.10199999999999999</v>
      </c>
      <c r="J64" s="81">
        <v>2152</v>
      </c>
      <c r="K64" s="81">
        <f t="shared" si="12"/>
        <v>219.50399999999999</v>
      </c>
      <c r="L64" s="79"/>
      <c r="M64" s="79"/>
    </row>
    <row r="65" spans="1:14" s="71" customFormat="1" ht="13.5" customHeight="1">
      <c r="A65" s="427"/>
      <c r="B65" s="427"/>
      <c r="C65" s="427"/>
      <c r="D65" s="427"/>
      <c r="E65" s="427"/>
      <c r="F65" s="87"/>
      <c r="G65" s="93" t="s">
        <v>315</v>
      </c>
      <c r="H65" s="79"/>
      <c r="I65" s="80">
        <v>0.44400000000000001</v>
      </c>
      <c r="J65" s="81">
        <v>2184</v>
      </c>
      <c r="K65" s="81">
        <f t="shared" si="12"/>
        <v>969.69600000000003</v>
      </c>
      <c r="L65" s="79"/>
      <c r="M65" s="79"/>
    </row>
    <row r="66" spans="1:14" s="71" customFormat="1" ht="13.5" customHeight="1">
      <c r="A66" s="427"/>
      <c r="B66" s="427"/>
      <c r="C66" s="427"/>
      <c r="D66" s="427"/>
      <c r="E66" s="427"/>
      <c r="F66" s="87"/>
      <c r="G66" s="427" t="s">
        <v>184</v>
      </c>
      <c r="H66" s="427"/>
      <c r="I66" s="80">
        <v>0.6</v>
      </c>
      <c r="J66" s="81">
        <v>336</v>
      </c>
      <c r="K66" s="94">
        <f t="shared" si="12"/>
        <v>201.6</v>
      </c>
      <c r="L66" s="79"/>
      <c r="M66" s="79"/>
    </row>
    <row r="67" spans="1:14" s="71" customFormat="1" ht="13.5" customHeight="1">
      <c r="A67" s="427"/>
      <c r="B67" s="427"/>
      <c r="C67" s="427"/>
      <c r="D67" s="427"/>
      <c r="E67" s="427"/>
      <c r="F67" s="87"/>
      <c r="G67" s="95" t="s">
        <v>185</v>
      </c>
      <c r="H67" s="79"/>
      <c r="I67" s="96">
        <v>0.12</v>
      </c>
      <c r="J67" s="81">
        <v>490</v>
      </c>
      <c r="K67" s="81">
        <f t="shared" si="12"/>
        <v>58.8</v>
      </c>
      <c r="L67" s="79"/>
      <c r="M67" s="79"/>
    </row>
    <row r="68" spans="1:14" s="71" customFormat="1" ht="13.5" customHeight="1">
      <c r="A68" s="427"/>
      <c r="B68" s="427"/>
      <c r="C68" s="427"/>
      <c r="D68" s="427"/>
      <c r="E68" s="273" t="s">
        <v>9</v>
      </c>
      <c r="F68" s="108">
        <f>SUM(F63:F67)</f>
        <v>54.679999999999993</v>
      </c>
      <c r="G68" s="273"/>
      <c r="H68" s="273"/>
      <c r="I68" s="80"/>
      <c r="J68" s="81"/>
      <c r="K68" s="103">
        <f>SUM(K63:K67)</f>
        <v>2371.92</v>
      </c>
      <c r="L68" s="103">
        <f>K68/F68</f>
        <v>43.378200438917347</v>
      </c>
      <c r="M68" s="79"/>
    </row>
    <row r="69" spans="1:14" s="71" customFormat="1" ht="13.5" customHeight="1">
      <c r="A69" s="427">
        <v>9195</v>
      </c>
      <c r="B69" s="552" t="s">
        <v>1146</v>
      </c>
      <c r="C69" s="427" t="s">
        <v>937</v>
      </c>
      <c r="D69" s="427" t="s">
        <v>939</v>
      </c>
      <c r="E69" s="552" t="s">
        <v>1144</v>
      </c>
      <c r="F69" s="87">
        <f>2425*1.0936</f>
        <v>2651.9799999999996</v>
      </c>
      <c r="G69" s="553" t="s">
        <v>405</v>
      </c>
      <c r="H69" s="79"/>
      <c r="I69" s="80">
        <f>2.4+0.24+3.285</f>
        <v>5.9249999999999998</v>
      </c>
      <c r="J69" s="81">
        <v>1708</v>
      </c>
      <c r="K69" s="81">
        <f t="shared" ref="K69:K73" si="13">I69*J69</f>
        <v>10119.9</v>
      </c>
      <c r="L69" s="79"/>
      <c r="M69" s="79"/>
    </row>
    <row r="70" spans="1:14" s="71" customFormat="1" ht="13.5" customHeight="1">
      <c r="A70" s="427"/>
      <c r="B70" s="427"/>
      <c r="C70" s="427"/>
      <c r="D70" s="427"/>
      <c r="E70" s="552" t="s">
        <v>635</v>
      </c>
      <c r="F70" s="87"/>
      <c r="G70" s="553" t="s">
        <v>183</v>
      </c>
      <c r="H70" s="79"/>
      <c r="I70" s="80">
        <f>0.602+0.058+0.685</f>
        <v>1.3450000000000002</v>
      </c>
      <c r="J70" s="81">
        <v>1600</v>
      </c>
      <c r="K70" s="81">
        <f t="shared" si="13"/>
        <v>2152.0000000000005</v>
      </c>
      <c r="L70" s="79"/>
      <c r="M70" s="79"/>
    </row>
    <row r="71" spans="1:14" s="71" customFormat="1" ht="13.5" customHeight="1">
      <c r="A71" s="427"/>
      <c r="B71" s="427"/>
      <c r="C71" s="427"/>
      <c r="D71" s="427"/>
      <c r="E71" s="427"/>
      <c r="F71" s="87"/>
      <c r="G71" s="93" t="s">
        <v>315</v>
      </c>
      <c r="H71" s="79"/>
      <c r="I71" s="80">
        <f>0.76+0.12+0.685</f>
        <v>1.5649999999999999</v>
      </c>
      <c r="J71" s="81">
        <v>2184</v>
      </c>
      <c r="K71" s="81">
        <f t="shared" si="13"/>
        <v>3417.96</v>
      </c>
      <c r="L71" s="79"/>
      <c r="M71" s="79"/>
    </row>
    <row r="72" spans="1:14" s="71" customFormat="1" ht="13.5" customHeight="1">
      <c r="A72" s="427"/>
      <c r="B72" s="427"/>
      <c r="C72" s="427"/>
      <c r="D72" s="427"/>
      <c r="E72" s="427"/>
      <c r="F72" s="87"/>
      <c r="G72" s="552" t="s">
        <v>184</v>
      </c>
      <c r="H72" s="552"/>
      <c r="I72" s="80">
        <f>5+4.2</f>
        <v>9.1999999999999993</v>
      </c>
      <c r="J72" s="81">
        <v>336</v>
      </c>
      <c r="K72" s="94">
        <f t="shared" si="13"/>
        <v>3091.2</v>
      </c>
      <c r="L72" s="79"/>
      <c r="M72" s="79"/>
    </row>
    <row r="73" spans="1:14" s="71" customFormat="1" ht="13.5" customHeight="1">
      <c r="A73" s="427"/>
      <c r="B73" s="427"/>
      <c r="C73" s="427"/>
      <c r="D73" s="427"/>
      <c r="E73" s="427"/>
      <c r="F73" s="87"/>
      <c r="G73" s="95" t="s">
        <v>185</v>
      </c>
      <c r="H73" s="79"/>
      <c r="I73" s="96">
        <f>1+0.82</f>
        <v>1.8199999999999998</v>
      </c>
      <c r="J73" s="81">
        <v>490</v>
      </c>
      <c r="K73" s="81">
        <f t="shared" si="13"/>
        <v>891.8</v>
      </c>
      <c r="L73" s="79"/>
      <c r="M73" s="79"/>
    </row>
    <row r="74" spans="1:14" s="71" customFormat="1" ht="13.5" customHeight="1">
      <c r="A74" s="427"/>
      <c r="B74" s="427"/>
      <c r="C74" s="427"/>
      <c r="D74" s="427"/>
      <c r="E74" s="273" t="s">
        <v>9</v>
      </c>
      <c r="F74" s="108">
        <f>SUM(F69:F73)</f>
        <v>2651.9799999999996</v>
      </c>
      <c r="G74" s="273"/>
      <c r="H74" s="273"/>
      <c r="I74" s="80"/>
      <c r="J74" s="81"/>
      <c r="K74" s="103">
        <f>SUM(K69:K73)</f>
        <v>19672.86</v>
      </c>
      <c r="L74" s="103">
        <f>K74/F74</f>
        <v>7.4181781159737268</v>
      </c>
      <c r="M74" s="79"/>
    </row>
    <row r="75" spans="1:14" s="71" customFormat="1" ht="13.5" customHeight="1">
      <c r="A75" s="426"/>
      <c r="B75" s="426"/>
      <c r="C75" s="426"/>
      <c r="D75" s="133" t="s">
        <v>30</v>
      </c>
      <c r="E75" s="133"/>
      <c r="F75" s="134">
        <f>F50+F56+F62+F68+F74</f>
        <v>5170.5407999999989</v>
      </c>
      <c r="G75" s="135"/>
      <c r="H75" s="135"/>
      <c r="I75" s="135"/>
      <c r="J75" s="135"/>
      <c r="K75" s="134">
        <f>K50+K56+K62+K68+K74</f>
        <v>33416.620999999999</v>
      </c>
      <c r="L75" s="151">
        <f>K75/F75</f>
        <v>6.4628870156096641</v>
      </c>
      <c r="M75" s="137"/>
    </row>
    <row r="76" spans="1:14" s="107" customFormat="1" ht="13.5" customHeight="1">
      <c r="A76" s="70" t="s">
        <v>40</v>
      </c>
      <c r="B76" s="70"/>
      <c r="C76" s="70"/>
      <c r="D76" s="70"/>
      <c r="E76" s="70"/>
      <c r="F76" s="71"/>
      <c r="G76" s="71"/>
      <c r="H76" s="71"/>
      <c r="I76" s="140"/>
      <c r="J76" s="71"/>
      <c r="K76" s="824" t="s">
        <v>957</v>
      </c>
      <c r="L76" s="824"/>
      <c r="M76" s="824"/>
      <c r="N76" s="71"/>
    </row>
    <row r="77" spans="1:14" s="107" customFormat="1" ht="13.5" customHeight="1">
      <c r="A77" s="274" t="s">
        <v>0</v>
      </c>
      <c r="B77" s="274" t="s">
        <v>7</v>
      </c>
      <c r="C77" s="274" t="s">
        <v>13</v>
      </c>
      <c r="D77" s="274" t="s">
        <v>14</v>
      </c>
      <c r="E77" s="274" t="s">
        <v>8</v>
      </c>
      <c r="F77" s="274" t="s">
        <v>1</v>
      </c>
      <c r="G77" s="274" t="s">
        <v>2</v>
      </c>
      <c r="H77" s="274" t="s">
        <v>15</v>
      </c>
      <c r="I77" s="141" t="s">
        <v>3</v>
      </c>
      <c r="J77" s="274" t="s">
        <v>4</v>
      </c>
      <c r="K77" s="274" t="s">
        <v>5</v>
      </c>
      <c r="L77" s="274" t="s">
        <v>12</v>
      </c>
      <c r="M77" s="274" t="s">
        <v>6</v>
      </c>
      <c r="N77" s="123"/>
    </row>
    <row r="78" spans="1:14" s="107" customFormat="1" ht="13.5" customHeight="1">
      <c r="A78" s="427">
        <v>7699</v>
      </c>
      <c r="B78" s="427" t="s">
        <v>936</v>
      </c>
      <c r="C78" s="427" t="s">
        <v>937</v>
      </c>
      <c r="D78" s="427" t="s">
        <v>939</v>
      </c>
      <c r="E78" s="89" t="s">
        <v>953</v>
      </c>
      <c r="F78" s="87">
        <f>4450*1.0936</f>
        <v>4866.5199999999995</v>
      </c>
      <c r="G78" s="427" t="s">
        <v>27</v>
      </c>
      <c r="H78" s="79"/>
      <c r="I78" s="80">
        <v>150</v>
      </c>
      <c r="J78" s="81">
        <v>22</v>
      </c>
      <c r="K78" s="81">
        <f t="shared" ref="K78:K80" si="14">I78*J78</f>
        <v>3300</v>
      </c>
      <c r="L78" s="428"/>
      <c r="M78" s="428"/>
      <c r="N78" s="424"/>
    </row>
    <row r="79" spans="1:14" s="107" customFormat="1" ht="13.5" customHeight="1">
      <c r="A79" s="427"/>
      <c r="B79" s="428"/>
      <c r="C79" s="428"/>
      <c r="D79" s="428"/>
      <c r="E79" s="428"/>
      <c r="F79" s="428"/>
      <c r="G79" s="429" t="s">
        <v>49</v>
      </c>
      <c r="H79" s="79"/>
      <c r="I79" s="80">
        <v>14</v>
      </c>
      <c r="J79" s="81">
        <v>34</v>
      </c>
      <c r="K79" s="81">
        <f t="shared" si="14"/>
        <v>476</v>
      </c>
      <c r="L79" s="428"/>
      <c r="M79" s="428"/>
      <c r="N79" s="424"/>
    </row>
    <row r="80" spans="1:14" s="107" customFormat="1" ht="13.5" customHeight="1">
      <c r="A80" s="427"/>
      <c r="B80" s="428"/>
      <c r="C80" s="428"/>
      <c r="D80" s="428"/>
      <c r="E80" s="428"/>
      <c r="F80" s="428"/>
      <c r="G80" s="427" t="s">
        <v>19</v>
      </c>
      <c r="H80" s="79"/>
      <c r="I80" s="80">
        <v>3.6</v>
      </c>
      <c r="J80" s="81">
        <v>74</v>
      </c>
      <c r="K80" s="81">
        <f t="shared" si="14"/>
        <v>266.40000000000003</v>
      </c>
      <c r="L80" s="428"/>
      <c r="M80" s="428"/>
      <c r="N80" s="424"/>
    </row>
    <row r="81" spans="1:14" s="107" customFormat="1" ht="13.5" customHeight="1">
      <c r="A81" s="427"/>
      <c r="B81" s="428"/>
      <c r="C81" s="428"/>
      <c r="D81" s="428"/>
      <c r="E81" s="274" t="s">
        <v>9</v>
      </c>
      <c r="F81" s="110">
        <f>SUM(F78:F80)</f>
        <v>4866.5199999999995</v>
      </c>
      <c r="G81" s="274"/>
      <c r="H81" s="274"/>
      <c r="I81" s="125"/>
      <c r="J81" s="97"/>
      <c r="K81" s="111">
        <f>SUM(K78:K80)</f>
        <v>4042.4</v>
      </c>
      <c r="L81" s="111">
        <f>K81/F81</f>
        <v>0.83065517042979387</v>
      </c>
      <c r="M81" s="102"/>
      <c r="N81" s="71"/>
    </row>
    <row r="82" spans="1:14" s="71" customFormat="1" ht="13.5" customHeight="1">
      <c r="A82" s="427">
        <v>7679</v>
      </c>
      <c r="B82" s="427" t="s">
        <v>917</v>
      </c>
      <c r="C82" s="89" t="s">
        <v>918</v>
      </c>
      <c r="D82" s="89" t="s">
        <v>883</v>
      </c>
      <c r="E82" s="89" t="s">
        <v>127</v>
      </c>
      <c r="F82" s="87">
        <f>4000*1.0936</f>
        <v>4374.3999999999996</v>
      </c>
      <c r="G82" s="427" t="s">
        <v>27</v>
      </c>
      <c r="H82" s="79"/>
      <c r="I82" s="80">
        <f>120+75</f>
        <v>195</v>
      </c>
      <c r="J82" s="81">
        <v>22</v>
      </c>
      <c r="K82" s="81">
        <f t="shared" ref="K82:K84" si="15">I82*J82</f>
        <v>4290</v>
      </c>
      <c r="L82" s="428"/>
      <c r="M82" s="428"/>
      <c r="N82" s="424"/>
    </row>
    <row r="83" spans="1:14" s="71" customFormat="1" ht="13.5" customHeight="1">
      <c r="A83" s="428"/>
      <c r="B83" s="427"/>
      <c r="C83" s="427"/>
      <c r="D83" s="427"/>
      <c r="E83" s="427" t="s">
        <v>132</v>
      </c>
      <c r="F83" s="98"/>
      <c r="G83" s="429" t="s">
        <v>49</v>
      </c>
      <c r="H83" s="79"/>
      <c r="I83" s="80">
        <f>16+10</f>
        <v>26</v>
      </c>
      <c r="J83" s="81">
        <v>34</v>
      </c>
      <c r="K83" s="81">
        <f t="shared" si="15"/>
        <v>884</v>
      </c>
      <c r="L83" s="428"/>
      <c r="M83" s="428"/>
      <c r="N83" s="424"/>
    </row>
    <row r="84" spans="1:14" s="71" customFormat="1" ht="13.5" customHeight="1">
      <c r="A84" s="428"/>
      <c r="B84" s="427"/>
      <c r="C84" s="427"/>
      <c r="D84" s="427"/>
      <c r="E84" s="427"/>
      <c r="F84" s="98"/>
      <c r="G84" s="427" t="s">
        <v>19</v>
      </c>
      <c r="H84" s="79"/>
      <c r="I84" s="80">
        <f>4.8+3</f>
        <v>7.8</v>
      </c>
      <c r="J84" s="81">
        <v>74</v>
      </c>
      <c r="K84" s="81">
        <f t="shared" si="15"/>
        <v>577.19999999999993</v>
      </c>
      <c r="L84" s="428"/>
      <c r="M84" s="428"/>
      <c r="N84" s="424"/>
    </row>
    <row r="85" spans="1:14" s="71" customFormat="1" ht="13.5" customHeight="1">
      <c r="A85" s="428"/>
      <c r="B85" s="428"/>
      <c r="C85" s="428"/>
      <c r="D85" s="428"/>
      <c r="E85" s="274" t="s">
        <v>9</v>
      </c>
      <c r="F85" s="110">
        <f>SUM(F82:F84)</f>
        <v>4374.3999999999996</v>
      </c>
      <c r="G85" s="274"/>
      <c r="H85" s="274"/>
      <c r="I85" s="125"/>
      <c r="J85" s="97"/>
      <c r="K85" s="111">
        <f>SUM(K82:K84)</f>
        <v>5751.2</v>
      </c>
      <c r="L85" s="111">
        <f>K85/F85</f>
        <v>1.3147403072421362</v>
      </c>
      <c r="M85" s="102"/>
    </row>
    <row r="86" spans="1:14" s="71" customFormat="1" ht="13.5" customHeight="1">
      <c r="A86" s="427">
        <v>9992</v>
      </c>
      <c r="B86" s="427" t="s">
        <v>767</v>
      </c>
      <c r="C86" s="89" t="s">
        <v>766</v>
      </c>
      <c r="D86" s="89" t="s">
        <v>465</v>
      </c>
      <c r="E86" s="427" t="s">
        <v>102</v>
      </c>
      <c r="F86" s="98">
        <f>600*1.0936</f>
        <v>656.16</v>
      </c>
      <c r="G86" s="427" t="s">
        <v>27</v>
      </c>
      <c r="H86" s="79"/>
      <c r="I86" s="80">
        <f>25+5</f>
        <v>30</v>
      </c>
      <c r="J86" s="81">
        <v>22</v>
      </c>
      <c r="K86" s="81">
        <f t="shared" ref="K86:K88" si="16">I86*J86</f>
        <v>660</v>
      </c>
      <c r="L86" s="428"/>
      <c r="M86" s="428"/>
      <c r="N86" s="424"/>
    </row>
    <row r="87" spans="1:14" s="71" customFormat="1" ht="13.5" customHeight="1">
      <c r="A87" s="428"/>
      <c r="B87" s="428"/>
      <c r="C87" s="428"/>
      <c r="D87" s="428"/>
      <c r="E87" s="428"/>
      <c r="F87" s="428"/>
      <c r="G87" s="429" t="s">
        <v>49</v>
      </c>
      <c r="H87" s="79"/>
      <c r="I87" s="80">
        <f>5+1</f>
        <v>6</v>
      </c>
      <c r="J87" s="81">
        <v>34</v>
      </c>
      <c r="K87" s="81">
        <f t="shared" si="16"/>
        <v>204</v>
      </c>
      <c r="L87" s="428"/>
      <c r="M87" s="428"/>
      <c r="N87" s="424"/>
    </row>
    <row r="88" spans="1:14" s="71" customFormat="1" ht="13.5" customHeight="1">
      <c r="A88" s="428"/>
      <c r="B88" s="428"/>
      <c r="C88" s="428"/>
      <c r="D88" s="428"/>
      <c r="E88" s="428"/>
      <c r="F88" s="428"/>
      <c r="G88" s="427" t="s">
        <v>19</v>
      </c>
      <c r="H88" s="79"/>
      <c r="I88" s="80">
        <v>1</v>
      </c>
      <c r="J88" s="81">
        <v>74</v>
      </c>
      <c r="K88" s="81">
        <f t="shared" si="16"/>
        <v>74</v>
      </c>
      <c r="L88" s="428"/>
      <c r="M88" s="428"/>
      <c r="N88" s="424"/>
    </row>
    <row r="89" spans="1:14" s="71" customFormat="1" ht="13.5" customHeight="1">
      <c r="A89" s="428"/>
      <c r="B89" s="428"/>
      <c r="C89" s="428"/>
      <c r="D89" s="428"/>
      <c r="E89" s="274" t="s">
        <v>9</v>
      </c>
      <c r="F89" s="110">
        <f>SUM(F86:F88)</f>
        <v>656.16</v>
      </c>
      <c r="G89" s="274"/>
      <c r="H89" s="274"/>
      <c r="I89" s="125"/>
      <c r="J89" s="97"/>
      <c r="K89" s="111">
        <f>SUM(K86:K88)</f>
        <v>938</v>
      </c>
      <c r="L89" s="111">
        <f>K89/F89</f>
        <v>1.4295293830772984</v>
      </c>
      <c r="M89" s="153" t="s">
        <v>829</v>
      </c>
      <c r="N89" s="424"/>
    </row>
    <row r="90" spans="1:14" s="71" customFormat="1" ht="13.5" customHeight="1">
      <c r="A90" s="427">
        <v>8996</v>
      </c>
      <c r="B90" s="427" t="s">
        <v>768</v>
      </c>
      <c r="C90" s="427" t="s">
        <v>121</v>
      </c>
      <c r="D90" s="427" t="s">
        <v>113</v>
      </c>
      <c r="E90" s="427" t="s">
        <v>132</v>
      </c>
      <c r="F90" s="87">
        <f>1000*1.0936</f>
        <v>1093.5999999999999</v>
      </c>
      <c r="G90" s="427" t="s">
        <v>27</v>
      </c>
      <c r="H90" s="79"/>
      <c r="I90" s="80">
        <v>25.5</v>
      </c>
      <c r="J90" s="81">
        <v>22</v>
      </c>
      <c r="K90" s="81">
        <f t="shared" ref="K90:K92" si="17">I90*J90</f>
        <v>561</v>
      </c>
      <c r="L90" s="428"/>
      <c r="M90" s="428"/>
      <c r="N90" s="424"/>
    </row>
    <row r="91" spans="1:14" s="123" customFormat="1" ht="13.5" customHeight="1">
      <c r="A91" s="428"/>
      <c r="B91" s="428"/>
      <c r="C91" s="427"/>
      <c r="D91" s="427"/>
      <c r="E91" s="427"/>
      <c r="F91" s="427"/>
      <c r="G91" s="429" t="s">
        <v>49</v>
      </c>
      <c r="H91" s="79"/>
      <c r="I91" s="80">
        <v>4.25</v>
      </c>
      <c r="J91" s="81">
        <v>34</v>
      </c>
      <c r="K91" s="81">
        <f t="shared" si="17"/>
        <v>144.5</v>
      </c>
      <c r="L91" s="428"/>
      <c r="M91" s="428"/>
      <c r="N91" s="424"/>
    </row>
    <row r="92" spans="1:14" s="71" customFormat="1" ht="13.5" customHeight="1">
      <c r="A92" s="428"/>
      <c r="B92" s="428"/>
      <c r="C92" s="428"/>
      <c r="D92" s="428"/>
      <c r="E92" s="428"/>
      <c r="F92" s="428"/>
      <c r="G92" s="427" t="s">
        <v>19</v>
      </c>
      <c r="H92" s="79"/>
      <c r="I92" s="80">
        <v>8.5</v>
      </c>
      <c r="J92" s="81">
        <v>74</v>
      </c>
      <c r="K92" s="81">
        <f t="shared" si="17"/>
        <v>629</v>
      </c>
      <c r="L92" s="428"/>
      <c r="M92" s="428"/>
      <c r="N92" s="424"/>
    </row>
    <row r="93" spans="1:14" s="71" customFormat="1" ht="13.5" customHeight="1">
      <c r="A93" s="428"/>
      <c r="B93" s="428"/>
      <c r="C93" s="428"/>
      <c r="D93" s="428"/>
      <c r="E93" s="274" t="s">
        <v>9</v>
      </c>
      <c r="F93" s="110">
        <f>SUM(F90:F92)</f>
        <v>1093.5999999999999</v>
      </c>
      <c r="G93" s="274"/>
      <c r="H93" s="274"/>
      <c r="I93" s="125"/>
      <c r="J93" s="97"/>
      <c r="K93" s="111">
        <f>SUM(K90:K92)</f>
        <v>1334.5</v>
      </c>
      <c r="L93" s="111">
        <f>K93/F93</f>
        <v>1.2202816386247257</v>
      </c>
      <c r="M93" s="153" t="s">
        <v>829</v>
      </c>
      <c r="N93" s="424"/>
    </row>
    <row r="94" spans="1:14" s="71" customFormat="1" ht="13.5" customHeight="1">
      <c r="A94" s="428">
        <v>8998</v>
      </c>
      <c r="B94" s="427" t="s">
        <v>897</v>
      </c>
      <c r="C94" s="427" t="s">
        <v>882</v>
      </c>
      <c r="D94" s="427" t="s">
        <v>883</v>
      </c>
      <c r="E94" s="427" t="s">
        <v>114</v>
      </c>
      <c r="F94" s="87">
        <f>3000*1.0936</f>
        <v>3280.7999999999997</v>
      </c>
      <c r="G94" s="427" t="s">
        <v>27</v>
      </c>
      <c r="H94" s="79"/>
      <c r="I94" s="80">
        <v>250</v>
      </c>
      <c r="J94" s="81">
        <v>22</v>
      </c>
      <c r="K94" s="81">
        <f t="shared" ref="K94:K96" si="18">I94*J94</f>
        <v>5500</v>
      </c>
      <c r="L94" s="428"/>
      <c r="M94" s="428"/>
      <c r="N94" s="424"/>
    </row>
    <row r="95" spans="1:14" s="71" customFormat="1" ht="13.5" customHeight="1">
      <c r="A95" s="428"/>
      <c r="B95" s="428"/>
      <c r="C95" s="428"/>
      <c r="D95" s="428"/>
      <c r="E95" s="428"/>
      <c r="F95" s="428"/>
      <c r="G95" s="429" t="s">
        <v>49</v>
      </c>
      <c r="H95" s="79"/>
      <c r="I95" s="80">
        <v>20</v>
      </c>
      <c r="J95" s="81">
        <v>34</v>
      </c>
      <c r="K95" s="81">
        <f t="shared" si="18"/>
        <v>680</v>
      </c>
      <c r="L95" s="428"/>
      <c r="M95" s="428"/>
      <c r="N95" s="424"/>
    </row>
    <row r="96" spans="1:14" s="71" customFormat="1" ht="13.5" customHeight="1">
      <c r="A96" s="428"/>
      <c r="B96" s="428"/>
      <c r="C96" s="428"/>
      <c r="D96" s="428"/>
      <c r="E96" s="428"/>
      <c r="F96" s="428"/>
      <c r="G96" s="427" t="s">
        <v>19</v>
      </c>
      <c r="H96" s="79"/>
      <c r="I96" s="80">
        <v>6</v>
      </c>
      <c r="J96" s="81">
        <v>74</v>
      </c>
      <c r="K96" s="81">
        <f t="shared" si="18"/>
        <v>444</v>
      </c>
      <c r="L96" s="428"/>
      <c r="M96" s="428"/>
      <c r="N96" s="424"/>
    </row>
    <row r="97" spans="1:14" s="71" customFormat="1" ht="13.5" customHeight="1">
      <c r="A97" s="428"/>
      <c r="B97" s="428"/>
      <c r="C97" s="428"/>
      <c r="D97" s="428"/>
      <c r="E97" s="274" t="s">
        <v>9</v>
      </c>
      <c r="F97" s="110">
        <f>SUM(F94:F96)</f>
        <v>3280.7999999999997</v>
      </c>
      <c r="G97" s="274"/>
      <c r="H97" s="274"/>
      <c r="I97" s="125"/>
      <c r="J97" s="97"/>
      <c r="K97" s="111">
        <f>SUM(K94:K96)</f>
        <v>6624</v>
      </c>
      <c r="L97" s="111">
        <f>K97/F97</f>
        <v>2.0190197512801755</v>
      </c>
      <c r="M97" s="153"/>
      <c r="N97" s="424"/>
    </row>
    <row r="98" spans="1:14" s="71" customFormat="1" ht="13.5" customHeight="1">
      <c r="A98" s="425"/>
      <c r="B98" s="425"/>
      <c r="C98" s="425"/>
      <c r="D98" s="126" t="s">
        <v>30</v>
      </c>
      <c r="E98" s="142"/>
      <c r="F98" s="127">
        <f>F81+F85+F97</f>
        <v>12521.719999999998</v>
      </c>
      <c r="G98" s="128"/>
      <c r="H98" s="128"/>
      <c r="I98" s="128"/>
      <c r="J98" s="128"/>
      <c r="K98" s="127">
        <f>K81+K85+K89+K93+K97</f>
        <v>18690.099999999999</v>
      </c>
      <c r="L98" s="129">
        <f>K98/F98</f>
        <v>1.4926144331609397</v>
      </c>
      <c r="M98" s="131"/>
    </row>
    <row r="99" spans="1:14" s="71" customFormat="1" ht="13.5" customHeight="1">
      <c r="A99" s="106" t="s">
        <v>11</v>
      </c>
      <c r="B99" s="106"/>
      <c r="C99" s="106"/>
      <c r="D99" s="106"/>
      <c r="E99" s="106"/>
      <c r="F99" s="107"/>
      <c r="G99" s="107"/>
      <c r="H99" s="107"/>
      <c r="I99" s="107"/>
      <c r="J99" s="107"/>
      <c r="K99" s="824" t="s">
        <v>957</v>
      </c>
      <c r="L99" s="824"/>
      <c r="M99" s="824"/>
    </row>
    <row r="100" spans="1:14" s="71" customFormat="1" ht="13.5" customHeight="1">
      <c r="A100" s="273" t="s">
        <v>0</v>
      </c>
      <c r="B100" s="273" t="s">
        <v>7</v>
      </c>
      <c r="C100" s="273" t="s">
        <v>13</v>
      </c>
      <c r="D100" s="273" t="s">
        <v>14</v>
      </c>
      <c r="E100" s="273" t="s">
        <v>8</v>
      </c>
      <c r="F100" s="273" t="s">
        <v>1</v>
      </c>
      <c r="G100" s="273" t="s">
        <v>2</v>
      </c>
      <c r="H100" s="273" t="s">
        <v>15</v>
      </c>
      <c r="I100" s="273" t="s">
        <v>3</v>
      </c>
      <c r="J100" s="273" t="s">
        <v>4</v>
      </c>
      <c r="K100" s="273" t="s">
        <v>5</v>
      </c>
      <c r="L100" s="273" t="s">
        <v>12</v>
      </c>
      <c r="M100" s="273" t="s">
        <v>6</v>
      </c>
      <c r="N100" s="123"/>
    </row>
    <row r="101" spans="1:14" s="71" customFormat="1" ht="13.5" customHeight="1">
      <c r="A101" s="427">
        <v>9713</v>
      </c>
      <c r="B101" s="427" t="s">
        <v>858</v>
      </c>
      <c r="C101" s="89" t="s">
        <v>766</v>
      </c>
      <c r="D101" s="89" t="s">
        <v>465</v>
      </c>
      <c r="E101" s="89" t="s">
        <v>127</v>
      </c>
      <c r="F101" s="98">
        <f>5100*1.0936</f>
        <v>5577.36</v>
      </c>
      <c r="G101" s="173" t="s">
        <v>298</v>
      </c>
      <c r="H101" s="79"/>
      <c r="I101" s="80">
        <v>10</v>
      </c>
      <c r="J101" s="81">
        <v>435</v>
      </c>
      <c r="K101" s="94">
        <f t="shared" ref="K101:K102" si="19">I101*J101</f>
        <v>4350</v>
      </c>
      <c r="L101" s="79"/>
      <c r="M101" s="79"/>
    </row>
    <row r="102" spans="1:14" s="71" customFormat="1" ht="13.5" customHeight="1">
      <c r="A102" s="427"/>
      <c r="B102" s="427"/>
      <c r="C102" s="427"/>
      <c r="D102" s="427"/>
      <c r="E102" s="427"/>
      <c r="F102" s="87"/>
      <c r="G102" s="429" t="s">
        <v>206</v>
      </c>
      <c r="H102" s="79"/>
      <c r="I102" s="81">
        <v>6</v>
      </c>
      <c r="J102" s="81">
        <v>375</v>
      </c>
      <c r="K102" s="81">
        <f t="shared" si="19"/>
        <v>2250</v>
      </c>
      <c r="L102" s="79"/>
      <c r="M102" s="79"/>
    </row>
    <row r="103" spans="1:14" s="71" customFormat="1" ht="13.5" customHeight="1">
      <c r="A103" s="427"/>
      <c r="B103" s="427"/>
      <c r="C103" s="427"/>
      <c r="D103" s="427"/>
      <c r="E103" s="273" t="s">
        <v>9</v>
      </c>
      <c r="F103" s="108">
        <f>SUM(F101:F102)</f>
        <v>5577.36</v>
      </c>
      <c r="G103" s="273"/>
      <c r="H103" s="273"/>
      <c r="I103" s="81"/>
      <c r="J103" s="81"/>
      <c r="K103" s="103">
        <f>SUM(K101:K102)</f>
        <v>6600</v>
      </c>
      <c r="L103" s="103">
        <f>K103/F103</f>
        <v>1.1833555660742718</v>
      </c>
      <c r="M103" s="79"/>
    </row>
    <row r="104" spans="1:14" s="71" customFormat="1" ht="13.5" customHeight="1">
      <c r="A104" s="427">
        <v>9716</v>
      </c>
      <c r="B104" s="427" t="s">
        <v>767</v>
      </c>
      <c r="C104" s="89" t="s">
        <v>766</v>
      </c>
      <c r="D104" s="89" t="s">
        <v>465</v>
      </c>
      <c r="E104" s="427" t="s">
        <v>102</v>
      </c>
      <c r="F104" s="98">
        <f>3100*1.0936</f>
        <v>3390.16</v>
      </c>
      <c r="G104" s="173" t="s">
        <v>799</v>
      </c>
      <c r="H104" s="79"/>
      <c r="I104" s="188">
        <v>2.5</v>
      </c>
      <c r="J104" s="81">
        <v>350</v>
      </c>
      <c r="K104" s="94">
        <f t="shared" ref="K104:K105" si="20">I104*J104</f>
        <v>875</v>
      </c>
      <c r="L104" s="79"/>
      <c r="M104" s="79"/>
    </row>
    <row r="105" spans="1:14" s="71" customFormat="1" ht="13.5" customHeight="1">
      <c r="A105" s="427"/>
      <c r="B105" s="89"/>
      <c r="C105" s="89"/>
      <c r="D105" s="89"/>
      <c r="E105" s="427"/>
      <c r="F105" s="87"/>
      <c r="G105" s="427" t="s">
        <v>28</v>
      </c>
      <c r="H105" s="79"/>
      <c r="I105" s="80">
        <v>25</v>
      </c>
      <c r="J105" s="81">
        <v>17</v>
      </c>
      <c r="K105" s="81">
        <f t="shared" si="20"/>
        <v>425</v>
      </c>
      <c r="L105" s="79"/>
      <c r="M105" s="79"/>
    </row>
    <row r="106" spans="1:14" s="71" customFormat="1" ht="13.5" customHeight="1">
      <c r="A106" s="427"/>
      <c r="B106" s="427"/>
      <c r="C106" s="427"/>
      <c r="D106" s="427"/>
      <c r="E106" s="273" t="s">
        <v>9</v>
      </c>
      <c r="F106" s="108">
        <f>SUM(F104:F105)</f>
        <v>3390.16</v>
      </c>
      <c r="G106" s="273"/>
      <c r="H106" s="273"/>
      <c r="I106" s="81"/>
      <c r="J106" s="81"/>
      <c r="K106" s="103">
        <f>SUM(K104:K105)</f>
        <v>1300</v>
      </c>
      <c r="L106" s="103">
        <f>K106/F106</f>
        <v>0.3834627274228945</v>
      </c>
      <c r="M106" s="79"/>
    </row>
    <row r="107" spans="1:14" s="71" customFormat="1" ht="13.5" customHeight="1">
      <c r="A107" s="427">
        <v>9717</v>
      </c>
      <c r="B107" s="427" t="s">
        <v>936</v>
      </c>
      <c r="C107" s="427" t="s">
        <v>937</v>
      </c>
      <c r="D107" s="427" t="s">
        <v>939</v>
      </c>
      <c r="E107" s="89" t="s">
        <v>953</v>
      </c>
      <c r="F107" s="87">
        <f>200*1.0936</f>
        <v>218.71999999999997</v>
      </c>
      <c r="G107" s="173" t="s">
        <v>799</v>
      </c>
      <c r="H107" s="79"/>
      <c r="I107" s="188">
        <v>5</v>
      </c>
      <c r="J107" s="81">
        <v>350</v>
      </c>
      <c r="K107" s="94">
        <f t="shared" ref="K107" si="21">I107*J107</f>
        <v>1750</v>
      </c>
      <c r="L107" s="79"/>
      <c r="M107" s="79"/>
    </row>
    <row r="108" spans="1:14" s="71" customFormat="1" ht="13.5" customHeight="1">
      <c r="A108" s="427"/>
      <c r="B108" s="427"/>
      <c r="C108" s="427"/>
      <c r="D108" s="427"/>
      <c r="E108" s="427"/>
      <c r="F108" s="427"/>
      <c r="G108" s="429" t="s">
        <v>798</v>
      </c>
      <c r="H108" s="79"/>
      <c r="I108" s="81">
        <v>1</v>
      </c>
      <c r="J108" s="81">
        <v>248</v>
      </c>
      <c r="K108" s="81">
        <f>I108*J108</f>
        <v>248</v>
      </c>
      <c r="L108" s="79"/>
      <c r="M108" s="79"/>
    </row>
    <row r="109" spans="1:14" s="71" customFormat="1" ht="13.5" customHeight="1">
      <c r="A109" s="428"/>
      <c r="B109" s="427"/>
      <c r="C109" s="427"/>
      <c r="D109" s="427"/>
      <c r="E109" s="273" t="s">
        <v>9</v>
      </c>
      <c r="F109" s="108">
        <f>SUM(F107:F108)</f>
        <v>218.71999999999997</v>
      </c>
      <c r="G109" s="273"/>
      <c r="H109" s="273"/>
      <c r="I109" s="81"/>
      <c r="J109" s="81"/>
      <c r="K109" s="103">
        <f>SUM(K107:K108)</f>
        <v>1998</v>
      </c>
      <c r="L109" s="103">
        <f>K109/F109</f>
        <v>9.1349670811997079</v>
      </c>
      <c r="M109" s="102"/>
    </row>
    <row r="110" spans="1:14" s="71" customFormat="1" ht="13.5" customHeight="1">
      <c r="A110" s="428">
        <v>9715</v>
      </c>
      <c r="B110" s="427" t="s">
        <v>896</v>
      </c>
      <c r="C110" s="427" t="s">
        <v>349</v>
      </c>
      <c r="D110" s="427" t="s">
        <v>113</v>
      </c>
      <c r="E110" s="427" t="s">
        <v>127</v>
      </c>
      <c r="F110" s="90">
        <f>2500*1.0936</f>
        <v>2733.9999999999995</v>
      </c>
      <c r="G110" s="173" t="s">
        <v>298</v>
      </c>
      <c r="H110" s="79"/>
      <c r="I110" s="80">
        <v>10</v>
      </c>
      <c r="J110" s="81">
        <v>435</v>
      </c>
      <c r="K110" s="94">
        <f t="shared" ref="K110" si="22">I110*J110</f>
        <v>4350</v>
      </c>
      <c r="L110" s="79"/>
      <c r="M110" s="102"/>
    </row>
    <row r="111" spans="1:14" s="71" customFormat="1" ht="13.5" customHeight="1">
      <c r="A111" s="428"/>
      <c r="B111" s="427"/>
      <c r="C111" s="427"/>
      <c r="D111" s="427"/>
      <c r="E111" s="427"/>
      <c r="F111" s="160"/>
      <c r="G111" s="173"/>
      <c r="H111" s="79"/>
      <c r="I111" s="80"/>
      <c r="J111" s="81"/>
      <c r="K111" s="94"/>
      <c r="L111" s="102"/>
      <c r="M111" s="102"/>
    </row>
    <row r="112" spans="1:14" s="71" customFormat="1" ht="13.5" customHeight="1">
      <c r="A112" s="428"/>
      <c r="B112" s="427"/>
      <c r="C112" s="427"/>
      <c r="D112" s="427"/>
      <c r="E112" s="273" t="s">
        <v>9</v>
      </c>
      <c r="F112" s="108">
        <f>SUM(F110:F111)</f>
        <v>2733.9999999999995</v>
      </c>
      <c r="G112" s="273"/>
      <c r="H112" s="273"/>
      <c r="I112" s="81"/>
      <c r="J112" s="81"/>
      <c r="K112" s="103">
        <f>SUM(K110:K111)</f>
        <v>4350</v>
      </c>
      <c r="L112" s="103">
        <f>K112/F112</f>
        <v>1.5910753474762256</v>
      </c>
      <c r="M112" s="102"/>
    </row>
    <row r="113" spans="1:14" s="71" customFormat="1" ht="13.5" customHeight="1">
      <c r="A113" s="428">
        <v>9714</v>
      </c>
      <c r="B113" s="427" t="s">
        <v>269</v>
      </c>
      <c r="C113" s="427"/>
      <c r="D113" s="427"/>
      <c r="E113" s="427"/>
      <c r="F113" s="90">
        <f>200*1.0936</f>
        <v>218.71999999999997</v>
      </c>
      <c r="G113" s="173" t="s">
        <v>298</v>
      </c>
      <c r="H113" s="79"/>
      <c r="I113" s="80">
        <v>4</v>
      </c>
      <c r="J113" s="81">
        <v>435</v>
      </c>
      <c r="K113" s="94">
        <f t="shared" ref="K113:K114" si="23">I113*J113</f>
        <v>1740</v>
      </c>
      <c r="L113" s="79"/>
      <c r="M113" s="102"/>
    </row>
    <row r="114" spans="1:14" s="71" customFormat="1" ht="13.5" customHeight="1">
      <c r="A114" s="428"/>
      <c r="B114" s="427"/>
      <c r="C114" s="427"/>
      <c r="D114" s="427"/>
      <c r="E114" s="427"/>
      <c r="F114" s="160"/>
      <c r="G114" s="95" t="s">
        <v>204</v>
      </c>
      <c r="H114" s="79"/>
      <c r="I114" s="81">
        <v>2</v>
      </c>
      <c r="J114" s="81">
        <v>375</v>
      </c>
      <c r="K114" s="81">
        <f t="shared" si="23"/>
        <v>750</v>
      </c>
      <c r="L114" s="79"/>
      <c r="M114" s="102"/>
    </row>
    <row r="115" spans="1:14" s="71" customFormat="1" ht="13.5" customHeight="1">
      <c r="A115" s="428"/>
      <c r="B115" s="427"/>
      <c r="C115" s="427"/>
      <c r="D115" s="427"/>
      <c r="E115" s="273" t="s">
        <v>9</v>
      </c>
      <c r="F115" s="108">
        <f>SUM(F113:F114)</f>
        <v>218.71999999999997</v>
      </c>
      <c r="G115" s="273"/>
      <c r="H115" s="273"/>
      <c r="I115" s="81"/>
      <c r="J115" s="81"/>
      <c r="K115" s="103">
        <f>SUM(K113:K114)</f>
        <v>2490</v>
      </c>
      <c r="L115" s="103">
        <f>K115/F115</f>
        <v>11.384418434528165</v>
      </c>
      <c r="M115" s="102"/>
    </row>
    <row r="116" spans="1:14" s="71" customFormat="1" ht="13.5" customHeight="1">
      <c r="D116" s="126" t="s">
        <v>30</v>
      </c>
      <c r="E116" s="126"/>
      <c r="F116" s="127">
        <f>F103+F106+F109+F112+F115</f>
        <v>12138.96</v>
      </c>
      <c r="G116" s="128"/>
      <c r="H116" s="128"/>
      <c r="I116" s="128"/>
      <c r="J116" s="128"/>
      <c r="K116" s="127">
        <f>K103+K106+K109+K112+K115</f>
        <v>16738</v>
      </c>
      <c r="L116" s="129">
        <f>K116/F116</f>
        <v>1.3788660643086394</v>
      </c>
    </row>
    <row r="117" spans="1:14" s="71" customFormat="1" ht="13.5" customHeight="1">
      <c r="A117" s="70" t="s">
        <v>42</v>
      </c>
      <c r="B117" s="70"/>
      <c r="C117" s="70"/>
      <c r="D117" s="70"/>
      <c r="E117" s="70"/>
      <c r="K117" s="824" t="s">
        <v>957</v>
      </c>
      <c r="L117" s="824"/>
      <c r="M117" s="824"/>
    </row>
    <row r="118" spans="1:14" s="71" customFormat="1" ht="13.5" customHeight="1">
      <c r="A118" s="274" t="s">
        <v>0</v>
      </c>
      <c r="B118" s="274" t="s">
        <v>7</v>
      </c>
      <c r="C118" s="274" t="s">
        <v>13</v>
      </c>
      <c r="D118" s="274" t="s">
        <v>14</v>
      </c>
      <c r="E118" s="274" t="s">
        <v>8</v>
      </c>
      <c r="F118" s="274" t="s">
        <v>1</v>
      </c>
      <c r="G118" s="274" t="s">
        <v>2</v>
      </c>
      <c r="H118" s="274" t="s">
        <v>15</v>
      </c>
      <c r="I118" s="274" t="s">
        <v>3</v>
      </c>
      <c r="J118" s="274" t="s">
        <v>4</v>
      </c>
      <c r="K118" s="274" t="s">
        <v>5</v>
      </c>
      <c r="L118" s="274" t="s">
        <v>12</v>
      </c>
      <c r="M118" s="274" t="s">
        <v>6</v>
      </c>
      <c r="N118" s="123"/>
    </row>
    <row r="119" spans="1:14" s="71" customFormat="1" ht="13.5" customHeight="1">
      <c r="A119" s="428">
        <v>6425</v>
      </c>
      <c r="B119" s="427" t="s">
        <v>359</v>
      </c>
      <c r="C119" s="427" t="s">
        <v>121</v>
      </c>
      <c r="D119" s="427" t="s">
        <v>113</v>
      </c>
      <c r="E119" s="427" t="s">
        <v>499</v>
      </c>
      <c r="F119" s="99"/>
      <c r="G119" s="91" t="s">
        <v>209</v>
      </c>
      <c r="H119" s="79"/>
      <c r="I119" s="80"/>
      <c r="J119" s="81">
        <v>350</v>
      </c>
      <c r="K119" s="81">
        <f t="shared" ref="K119:K121" si="24">I119*J119</f>
        <v>0</v>
      </c>
      <c r="L119" s="112"/>
      <c r="M119" s="102"/>
    </row>
    <row r="120" spans="1:14" s="71" customFormat="1" ht="13.5" customHeight="1">
      <c r="A120" s="428"/>
      <c r="B120" s="428"/>
      <c r="C120" s="428"/>
      <c r="D120" s="428"/>
      <c r="E120" s="427" t="s">
        <v>500</v>
      </c>
      <c r="F120" s="98"/>
      <c r="G120" s="91" t="s">
        <v>466</v>
      </c>
      <c r="H120" s="109"/>
      <c r="I120" s="80"/>
      <c r="J120" s="81">
        <v>790</v>
      </c>
      <c r="K120" s="81">
        <f t="shared" si="24"/>
        <v>0</v>
      </c>
      <c r="L120" s="79"/>
      <c r="M120" s="102"/>
    </row>
    <row r="121" spans="1:14" s="71" customFormat="1" ht="13.5" customHeight="1">
      <c r="A121" s="428"/>
      <c r="B121" s="428"/>
      <c r="C121" s="428"/>
      <c r="D121" s="428"/>
      <c r="E121" s="427" t="s">
        <v>93</v>
      </c>
      <c r="F121" s="98"/>
      <c r="G121" s="91" t="s">
        <v>215</v>
      </c>
      <c r="H121" s="109"/>
      <c r="I121" s="80"/>
      <c r="J121" s="81">
        <v>750</v>
      </c>
      <c r="K121" s="81">
        <f t="shared" si="24"/>
        <v>0</v>
      </c>
      <c r="L121" s="79"/>
      <c r="M121" s="102"/>
    </row>
    <row r="122" spans="1:14" s="71" customFormat="1" ht="13.5" customHeight="1">
      <c r="A122" s="428"/>
      <c r="B122" s="428"/>
      <c r="C122" s="428"/>
      <c r="D122" s="428"/>
      <c r="E122" s="428"/>
      <c r="F122" s="98"/>
      <c r="G122" s="429" t="s">
        <v>211</v>
      </c>
      <c r="H122" s="79"/>
      <c r="I122" s="80"/>
      <c r="J122" s="81">
        <v>120</v>
      </c>
      <c r="K122" s="81">
        <f>I122*J122</f>
        <v>0</v>
      </c>
      <c r="L122" s="79"/>
      <c r="M122" s="102"/>
    </row>
    <row r="123" spans="1:14" s="71" customFormat="1" ht="13.5" customHeight="1">
      <c r="A123" s="428"/>
      <c r="B123" s="428"/>
      <c r="C123" s="428"/>
      <c r="D123" s="428"/>
      <c r="E123" s="428"/>
      <c r="F123" s="98"/>
      <c r="G123" s="429" t="s">
        <v>212</v>
      </c>
      <c r="H123" s="79"/>
      <c r="I123" s="80"/>
      <c r="J123" s="81">
        <v>527</v>
      </c>
      <c r="K123" s="81">
        <f t="shared" ref="K123:K125" si="25">I123*J123</f>
        <v>0</v>
      </c>
      <c r="L123" s="79"/>
      <c r="M123" s="102"/>
    </row>
    <row r="124" spans="1:14" s="71" customFormat="1" ht="13.5" customHeight="1">
      <c r="A124" s="428"/>
      <c r="B124" s="428"/>
      <c r="C124" s="428"/>
      <c r="D124" s="428"/>
      <c r="E124" s="428"/>
      <c r="F124" s="98"/>
      <c r="G124" s="429" t="s">
        <v>213</v>
      </c>
      <c r="H124" s="79"/>
      <c r="I124" s="80"/>
      <c r="J124" s="81">
        <v>348</v>
      </c>
      <c r="K124" s="81">
        <f t="shared" si="25"/>
        <v>0</v>
      </c>
      <c r="L124" s="79"/>
      <c r="M124" s="102"/>
    </row>
    <row r="125" spans="1:14" s="71" customFormat="1" ht="13.5" customHeight="1">
      <c r="A125" s="428"/>
      <c r="B125" s="428"/>
      <c r="C125" s="428"/>
      <c r="D125" s="428"/>
      <c r="E125" s="428"/>
      <c r="F125" s="98"/>
      <c r="G125" s="429" t="s">
        <v>45</v>
      </c>
      <c r="H125" s="79"/>
      <c r="I125" s="80"/>
      <c r="J125" s="81">
        <v>45</v>
      </c>
      <c r="K125" s="81">
        <f t="shared" si="25"/>
        <v>0</v>
      </c>
      <c r="L125" s="79"/>
      <c r="M125" s="102"/>
    </row>
    <row r="126" spans="1:14" s="71" customFormat="1" ht="13.5" customHeight="1">
      <c r="A126" s="428"/>
      <c r="B126" s="428"/>
      <c r="C126" s="428"/>
      <c r="D126" s="428"/>
      <c r="E126" s="274" t="s">
        <v>9</v>
      </c>
      <c r="F126" s="110">
        <f>SUM(F119:F125)</f>
        <v>0</v>
      </c>
      <c r="G126" s="274"/>
      <c r="H126" s="274"/>
      <c r="I126" s="97"/>
      <c r="J126" s="97"/>
      <c r="K126" s="111">
        <f>SUM(K119:K125)</f>
        <v>0</v>
      </c>
      <c r="L126" s="155" t="e">
        <f>K126/F126</f>
        <v>#DIV/0!</v>
      </c>
      <c r="M126" s="102"/>
    </row>
    <row r="127" spans="1:14" s="71" customFormat="1" ht="13.5" customHeight="1">
      <c r="D127" s="126" t="s">
        <v>30</v>
      </c>
      <c r="E127" s="126"/>
      <c r="F127" s="127">
        <f>F126</f>
        <v>0</v>
      </c>
      <c r="G127" s="128"/>
      <c r="H127" s="128"/>
      <c r="I127" s="128"/>
      <c r="J127" s="128"/>
      <c r="K127" s="127">
        <f>K126</f>
        <v>0</v>
      </c>
      <c r="L127" s="129" t="e">
        <f>K127/F127</f>
        <v>#DIV/0!</v>
      </c>
    </row>
    <row r="128" spans="1:14" s="71" customFormat="1" ht="13.5" customHeight="1"/>
    <row r="129" spans="2:13" s="71" customFormat="1" ht="13.5" customHeight="1"/>
    <row r="130" spans="2:13" s="71" customFormat="1" ht="13.5" customHeight="1">
      <c r="B130" s="107"/>
      <c r="C130" s="107"/>
      <c r="D130" s="133" t="s">
        <v>1009</v>
      </c>
      <c r="E130" s="405">
        <f>F75+F127</f>
        <v>5170.5407999999989</v>
      </c>
      <c r="F130" s="133"/>
      <c r="G130" s="134">
        <f>K14+K23+K35+K42+K75+K98+K116+K127</f>
        <v>125132.72099999999</v>
      </c>
      <c r="H130" s="135"/>
      <c r="I130" s="135"/>
      <c r="J130" s="135"/>
      <c r="K130" s="135"/>
      <c r="L130" s="134">
        <f>G130/E130</f>
        <v>24.201089564944546</v>
      </c>
    </row>
    <row r="131" spans="2:13" s="71" customFormat="1" ht="13.5" customHeight="1">
      <c r="B131" s="107"/>
      <c r="C131" s="107"/>
      <c r="D131" s="109" t="s">
        <v>855</v>
      </c>
      <c r="E131" s="406"/>
      <c r="F131" s="109"/>
      <c r="G131" s="359">
        <f>K45+K46+K47+K51+K52+K53+K57+K58+K59+K63+K64+K65+K69+K70+K71</f>
        <v>24392.220999999998</v>
      </c>
      <c r="H131" s="370"/>
      <c r="I131" s="359">
        <f>'05'!I211+'06'!G131</f>
        <v>519540.82100000011</v>
      </c>
      <c r="J131" s="416">
        <f>G131+M146</f>
        <v>32301.028999999999</v>
      </c>
      <c r="K131" s="360"/>
      <c r="L131" s="396"/>
    </row>
    <row r="132" spans="2:13" s="71" customFormat="1" ht="13.5" customHeight="1">
      <c r="B132" s="107"/>
      <c r="C132" s="107"/>
      <c r="D132" s="323" t="s">
        <v>854</v>
      </c>
      <c r="E132" s="361"/>
      <c r="F132" s="323"/>
      <c r="G132" s="397">
        <f>G130-G131</f>
        <v>100740.5</v>
      </c>
      <c r="H132" s="398"/>
      <c r="I132" s="359">
        <f>'05'!I212+'06'!G132</f>
        <v>1049484.912</v>
      </c>
      <c r="J132" s="400"/>
      <c r="K132" s="400"/>
      <c r="L132" s="401"/>
    </row>
    <row r="133" spans="2:13" s="71" customFormat="1" ht="13.5" customHeight="1">
      <c r="B133" s="107"/>
      <c r="C133" s="107"/>
      <c r="D133" s="109" t="s">
        <v>853</v>
      </c>
      <c r="E133" s="407"/>
      <c r="F133" s="109"/>
      <c r="G133" s="410">
        <f>SUM(G131:G132)</f>
        <v>125132.72099999999</v>
      </c>
      <c r="H133" s="402"/>
      <c r="I133" s="403">
        <f>'01'!G210+'02'!G257+'03'!G350+'04'!G260</f>
        <v>0</v>
      </c>
      <c r="J133" s="402"/>
      <c r="K133" s="402"/>
      <c r="L133" s="404">
        <f>G133/E130</f>
        <v>24.201089564944546</v>
      </c>
    </row>
    <row r="134" spans="2:13" s="71" customFormat="1" ht="13.5" customHeight="1">
      <c r="B134" s="107"/>
      <c r="C134" s="107"/>
      <c r="D134" s="395" t="s">
        <v>906</v>
      </c>
      <c r="E134" s="408"/>
      <c r="F134" s="109"/>
      <c r="G134" s="409">
        <f>'05'!G214+'06'!M146</f>
        <v>17663.636000000002</v>
      </c>
      <c r="H134" s="392"/>
      <c r="I134" s="391"/>
      <c r="J134" s="391"/>
      <c r="K134" s="393"/>
    </row>
    <row r="135" spans="2:13" s="71" customFormat="1" ht="13.5" customHeight="1">
      <c r="B135" s="107"/>
      <c r="C135" s="107"/>
      <c r="D135" s="106"/>
      <c r="E135" s="106"/>
      <c r="F135" s="106"/>
      <c r="G135" s="106"/>
      <c r="H135" s="246"/>
      <c r="I135" s="106"/>
      <c r="J135" s="106"/>
      <c r="K135" s="106"/>
      <c r="L135" s="106"/>
    </row>
    <row r="136" spans="2:13" s="71" customFormat="1" ht="13.5" customHeight="1">
      <c r="B136" s="107"/>
      <c r="C136" s="107"/>
      <c r="D136" s="829" t="s">
        <v>852</v>
      </c>
      <c r="E136" s="829"/>
      <c r="F136" s="357">
        <f>G152</f>
        <v>379780</v>
      </c>
      <c r="G136" s="106"/>
      <c r="H136" s="500" t="s">
        <v>908</v>
      </c>
      <c r="I136" s="832" t="s">
        <v>405</v>
      </c>
      <c r="J136" s="833"/>
      <c r="K136" s="80">
        <f>0.2+0.15+0.12</f>
        <v>0.47</v>
      </c>
      <c r="L136" s="81">
        <v>1708</v>
      </c>
      <c r="M136" s="81">
        <f t="shared" ref="M136:M140" si="26">K136*L136</f>
        <v>802.76</v>
      </c>
    </row>
    <row r="137" spans="2:13" s="71" customFormat="1" ht="13.5" customHeight="1">
      <c r="B137" s="107"/>
      <c r="C137" s="107"/>
      <c r="D137" s="829" t="s">
        <v>835</v>
      </c>
      <c r="E137" s="829"/>
      <c r="F137" s="357">
        <f>G142</f>
        <v>32116</v>
      </c>
      <c r="G137" s="106"/>
      <c r="H137" s="500" t="s">
        <v>909</v>
      </c>
      <c r="I137" s="834" t="s">
        <v>190</v>
      </c>
      <c r="J137" s="835"/>
      <c r="K137" s="80">
        <f>1.05+2.52+0.052</f>
        <v>3.6220000000000003</v>
      </c>
      <c r="L137" s="81">
        <v>644</v>
      </c>
      <c r="M137" s="81">
        <f t="shared" si="26"/>
        <v>2332.5680000000002</v>
      </c>
    </row>
    <row r="138" spans="2:13" s="71" customFormat="1" ht="13.5" customHeight="1">
      <c r="B138" s="107"/>
      <c r="C138" s="107"/>
      <c r="D138" s="829" t="s">
        <v>836</v>
      </c>
      <c r="E138" s="829"/>
      <c r="F138" s="357">
        <f>SUM(F136:F137)</f>
        <v>411896</v>
      </c>
      <c r="G138" s="106"/>
      <c r="H138" s="500" t="s">
        <v>910</v>
      </c>
      <c r="I138" s="830" t="s">
        <v>192</v>
      </c>
      <c r="J138" s="831"/>
      <c r="K138" s="80">
        <f>0.5+0.3+1.2</f>
        <v>2</v>
      </c>
      <c r="L138" s="81">
        <v>1126</v>
      </c>
      <c r="M138" s="81">
        <f t="shared" si="26"/>
        <v>2252</v>
      </c>
    </row>
    <row r="139" spans="2:13" s="71" customFormat="1" ht="13.5" customHeight="1">
      <c r="B139" s="107"/>
      <c r="C139" s="107"/>
      <c r="D139" s="423" t="s">
        <v>847</v>
      </c>
      <c r="E139" s="423"/>
      <c r="F139" s="357">
        <f>F136-G132</f>
        <v>279039.5</v>
      </c>
      <c r="G139" s="106"/>
      <c r="H139" s="500" t="s">
        <v>908</v>
      </c>
      <c r="I139" s="834" t="s">
        <v>315</v>
      </c>
      <c r="J139" s="835"/>
      <c r="K139" s="80">
        <f>0.2+0.15+0.12</f>
        <v>0.47</v>
      </c>
      <c r="L139" s="81">
        <v>2184</v>
      </c>
      <c r="M139" s="81">
        <f t="shared" si="26"/>
        <v>1026.48</v>
      </c>
    </row>
    <row r="140" spans="2:13" s="71" customFormat="1" ht="13.5" customHeight="1">
      <c r="B140" s="107"/>
      <c r="C140" s="107"/>
      <c r="D140" s="106"/>
      <c r="E140" s="106"/>
      <c r="F140" s="106"/>
      <c r="G140" s="106"/>
      <c r="H140" s="500" t="s">
        <v>912</v>
      </c>
      <c r="I140" s="830" t="s">
        <v>193</v>
      </c>
      <c r="J140" s="831"/>
      <c r="K140" s="80">
        <v>1.3</v>
      </c>
      <c r="L140" s="81">
        <v>1150</v>
      </c>
      <c r="M140" s="81">
        <f t="shared" si="26"/>
        <v>1495</v>
      </c>
    </row>
    <row r="141" spans="2:13" s="71" customFormat="1" ht="13.5" customHeight="1">
      <c r="B141" s="836" t="s">
        <v>833</v>
      </c>
      <c r="C141" s="837"/>
      <c r="D141" s="273" t="s">
        <v>844</v>
      </c>
      <c r="E141" s="273" t="s">
        <v>845</v>
      </c>
      <c r="F141" s="273" t="s">
        <v>846</v>
      </c>
      <c r="G141" s="273" t="s">
        <v>5</v>
      </c>
      <c r="H141" s="500" t="s">
        <v>911</v>
      </c>
      <c r="I141" s="830"/>
      <c r="J141" s="831"/>
      <c r="K141" s="80"/>
      <c r="L141" s="81"/>
      <c r="M141" s="81">
        <f t="shared" ref="M141" si="27">K141*L141</f>
        <v>0</v>
      </c>
    </row>
    <row r="142" spans="2:13" s="71" customFormat="1" ht="13.5" customHeight="1">
      <c r="B142" s="107"/>
      <c r="C142" s="107"/>
      <c r="D142" s="273" t="s">
        <v>837</v>
      </c>
      <c r="E142" s="109">
        <v>15.5</v>
      </c>
      <c r="F142" s="332">
        <v>2072</v>
      </c>
      <c r="G142" s="357">
        <f>F142*E142</f>
        <v>32116</v>
      </c>
      <c r="H142" s="500" t="s">
        <v>909</v>
      </c>
      <c r="I142" s="838"/>
      <c r="J142" s="839"/>
      <c r="K142" s="102"/>
      <c r="L142" s="102"/>
      <c r="M142" s="388"/>
    </row>
    <row r="143" spans="2:13" s="71" customFormat="1" ht="13.5" customHeight="1">
      <c r="B143" s="107"/>
      <c r="C143" s="107"/>
      <c r="D143" s="273" t="s">
        <v>19</v>
      </c>
      <c r="E143" s="109"/>
      <c r="F143" s="332"/>
      <c r="G143" s="357">
        <f t="shared" ref="G143:G150" si="28">F143*E143</f>
        <v>0</v>
      </c>
      <c r="H143" s="500" t="s">
        <v>911</v>
      </c>
      <c r="I143" s="847"/>
      <c r="J143" s="848"/>
      <c r="K143" s="109"/>
      <c r="L143" s="109"/>
      <c r="M143" s="102"/>
    </row>
    <row r="144" spans="2:13" s="70" customFormat="1" ht="13.5" customHeight="1">
      <c r="B144" s="106"/>
      <c r="C144" s="106"/>
      <c r="D144" s="322" t="s">
        <v>843</v>
      </c>
      <c r="E144" s="317"/>
      <c r="F144" s="321">
        <f>SUM(F142:F143)</f>
        <v>2072</v>
      </c>
      <c r="G144" s="440">
        <f>SUM(G142:G143)</f>
        <v>32116</v>
      </c>
      <c r="H144" s="246"/>
      <c r="I144" s="442"/>
      <c r="J144" s="443"/>
      <c r="K144" s="109"/>
      <c r="L144" s="109"/>
      <c r="M144" s="317"/>
    </row>
    <row r="145" spans="1:13" s="71" customFormat="1" ht="13.5" customHeight="1">
      <c r="B145" s="107"/>
      <c r="C145" s="107"/>
      <c r="D145" s="273"/>
      <c r="E145" s="109"/>
      <c r="F145" s="332"/>
      <c r="G145" s="357"/>
      <c r="H145" s="246"/>
      <c r="I145" s="442"/>
      <c r="J145" s="443"/>
      <c r="K145" s="109"/>
      <c r="L145" s="109"/>
      <c r="M145" s="102"/>
    </row>
    <row r="146" spans="1:13" s="71" customFormat="1" ht="13.5" customHeight="1">
      <c r="A146" s="424"/>
      <c r="B146" s="107"/>
      <c r="C146" s="107"/>
      <c r="D146" s="273" t="s">
        <v>170</v>
      </c>
      <c r="E146" s="109">
        <v>227</v>
      </c>
      <c r="F146" s="332">
        <f>60+120</f>
        <v>180</v>
      </c>
      <c r="G146" s="357">
        <f t="shared" si="28"/>
        <v>40860</v>
      </c>
      <c r="H146" s="106"/>
      <c r="I146" s="844" t="s">
        <v>906</v>
      </c>
      <c r="J146" s="845"/>
      <c r="K146" s="490">
        <f>SUM(K136:K143)</f>
        <v>7.8620000000000001</v>
      </c>
      <c r="L146" s="104"/>
      <c r="M146" s="489">
        <f>SUM(M136:M143)</f>
        <v>7908.8080000000009</v>
      </c>
    </row>
    <row r="147" spans="1:13" s="71" customFormat="1" ht="13.5" customHeight="1">
      <c r="B147" s="107"/>
      <c r="C147" s="107"/>
      <c r="D147" s="390" t="s">
        <v>181</v>
      </c>
      <c r="E147" s="109">
        <v>165</v>
      </c>
      <c r="F147" s="332">
        <v>240</v>
      </c>
      <c r="G147" s="357">
        <f t="shared" si="28"/>
        <v>39600</v>
      </c>
      <c r="H147" s="106"/>
      <c r="I147" s="106"/>
      <c r="J147" s="106"/>
      <c r="K147" s="106"/>
      <c r="L147" s="106"/>
      <c r="M147" s="263">
        <f>G131+M146</f>
        <v>32301.028999999999</v>
      </c>
    </row>
    <row r="148" spans="1:13" s="71" customFormat="1" ht="13.5" customHeight="1">
      <c r="B148" s="107"/>
      <c r="C148" s="107"/>
      <c r="D148" s="273" t="s">
        <v>171</v>
      </c>
      <c r="E148" s="389">
        <v>416</v>
      </c>
      <c r="F148" s="332">
        <v>600</v>
      </c>
      <c r="G148" s="357">
        <f t="shared" si="28"/>
        <v>249600</v>
      </c>
      <c r="H148" s="106"/>
      <c r="I148" s="106"/>
      <c r="J148" s="106"/>
      <c r="K148" s="106"/>
      <c r="L148" s="106"/>
    </row>
    <row r="149" spans="1:13" s="71" customFormat="1" ht="13.5" customHeight="1">
      <c r="B149" s="107"/>
      <c r="C149" s="107"/>
      <c r="D149" s="273" t="s">
        <v>27</v>
      </c>
      <c r="E149" s="109">
        <v>22</v>
      </c>
      <c r="F149" s="332">
        <v>1000</v>
      </c>
      <c r="G149" s="357">
        <f t="shared" si="28"/>
        <v>22000</v>
      </c>
      <c r="H149" s="106"/>
      <c r="I149" s="106"/>
      <c r="J149" s="106"/>
      <c r="K149" s="106"/>
      <c r="L149" s="106"/>
    </row>
    <row r="150" spans="1:13" s="71" customFormat="1" ht="13.5" customHeight="1">
      <c r="B150" s="107"/>
      <c r="C150" s="107"/>
      <c r="D150" s="273" t="s">
        <v>907</v>
      </c>
      <c r="E150" s="389">
        <v>46</v>
      </c>
      <c r="F150" s="332">
        <v>120</v>
      </c>
      <c r="G150" s="357">
        <f t="shared" si="28"/>
        <v>5520</v>
      </c>
      <c r="H150" s="106"/>
      <c r="I150" s="106"/>
      <c r="J150" s="106"/>
      <c r="K150" s="106"/>
      <c r="L150" s="106"/>
    </row>
    <row r="151" spans="1:13" s="71" customFormat="1" ht="13.5" customHeight="1">
      <c r="B151" s="107"/>
      <c r="C151" s="107"/>
      <c r="D151" s="273" t="s">
        <v>19</v>
      </c>
      <c r="E151" s="109">
        <v>74</v>
      </c>
      <c r="F151" s="332">
        <v>300</v>
      </c>
      <c r="G151" s="357">
        <f t="shared" ref="G151" si="29">F151*E151</f>
        <v>22200</v>
      </c>
      <c r="H151" s="106"/>
      <c r="I151" s="106"/>
      <c r="J151" s="106"/>
      <c r="K151" s="106"/>
      <c r="L151" s="106"/>
    </row>
    <row r="152" spans="1:13" s="70" customFormat="1" ht="13.5" customHeight="1">
      <c r="D152" s="322" t="s">
        <v>843</v>
      </c>
      <c r="E152" s="317"/>
      <c r="F152" s="321">
        <f>SUM(F146:F151)</f>
        <v>2440</v>
      </c>
      <c r="G152" s="440">
        <f>SUM(G146:G151)</f>
        <v>379780</v>
      </c>
    </row>
    <row r="153" spans="1:13" s="71" customFormat="1" ht="13.5" customHeight="1">
      <c r="B153" s="107"/>
      <c r="C153" s="107"/>
      <c r="D153" s="322" t="s">
        <v>969</v>
      </c>
      <c r="E153" s="317"/>
      <c r="F153" s="321">
        <f>F144+F152</f>
        <v>4512</v>
      </c>
      <c r="G153" s="320">
        <f>G144+G152</f>
        <v>411896</v>
      </c>
      <c r="H153" s="107"/>
      <c r="I153" s="107"/>
      <c r="J153" s="107"/>
      <c r="K153" s="107"/>
      <c r="L153" s="107"/>
    </row>
    <row r="154" spans="1:13" s="71" customFormat="1" ht="13.5" customHeight="1"/>
    <row r="155" spans="1:13" s="71" customFormat="1" ht="13.5" customHeight="1"/>
    <row r="156" spans="1:13" s="71" customFormat="1" ht="13.5" customHeight="1"/>
    <row r="157" spans="1:13" s="71" customFormat="1" ht="13.5" customHeight="1"/>
    <row r="158" spans="1:13" s="71" customFormat="1" ht="13.5" customHeight="1"/>
    <row r="159" spans="1:13" s="71" customFormat="1" ht="13.5" customHeight="1"/>
    <row r="160" spans="1:13" s="71" customFormat="1" ht="13.5" customHeight="1"/>
    <row r="161" spans="1:13" s="71" customFormat="1" ht="13.5" customHeight="1"/>
    <row r="162" spans="1:13" s="71" customFormat="1" ht="13.5" customHeight="1"/>
    <row r="163" spans="1:13" s="71" customFormat="1" ht="13.5" customHeight="1"/>
    <row r="164" spans="1:13" s="64" customFormat="1" ht="13.5" customHeight="1">
      <c r="A164" s="840" t="s">
        <v>240</v>
      </c>
      <c r="B164" s="840"/>
      <c r="C164" s="840" t="s">
        <v>765</v>
      </c>
      <c r="D164" s="840"/>
      <c r="E164" s="840" t="s">
        <v>764</v>
      </c>
      <c r="F164" s="840"/>
      <c r="G164" s="380" t="s">
        <v>66</v>
      </c>
      <c r="H164" s="840" t="s">
        <v>411</v>
      </c>
      <c r="I164" s="840"/>
      <c r="J164" s="840"/>
      <c r="K164" s="840" t="s">
        <v>68</v>
      </c>
      <c r="L164" s="840"/>
      <c r="M164" s="840"/>
    </row>
  </sheetData>
  <mergeCells count="29">
    <mergeCell ref="K164:M164"/>
    <mergeCell ref="I140:J140"/>
    <mergeCell ref="B141:C141"/>
    <mergeCell ref="I141:J141"/>
    <mergeCell ref="A164:B164"/>
    <mergeCell ref="C164:D164"/>
    <mergeCell ref="E164:F164"/>
    <mergeCell ref="H164:J164"/>
    <mergeCell ref="I142:J142"/>
    <mergeCell ref="I143:J143"/>
    <mergeCell ref="I146:J146"/>
    <mergeCell ref="A1:M1"/>
    <mergeCell ref="A2:M2"/>
    <mergeCell ref="A3:M3"/>
    <mergeCell ref="K99:M99"/>
    <mergeCell ref="D138:E138"/>
    <mergeCell ref="I138:J138"/>
    <mergeCell ref="K24:M24"/>
    <mergeCell ref="K36:M36"/>
    <mergeCell ref="K43:M43"/>
    <mergeCell ref="K76:M76"/>
    <mergeCell ref="K4:M4"/>
    <mergeCell ref="K15:M15"/>
    <mergeCell ref="I139:J139"/>
    <mergeCell ref="K117:M117"/>
    <mergeCell ref="D136:E136"/>
    <mergeCell ref="D137:E137"/>
    <mergeCell ref="I136:J136"/>
    <mergeCell ref="I137:J137"/>
  </mergeCells>
  <pageMargins left="0.45" right="0.2" top="0.25" bottom="0.25" header="0.3" footer="0.3"/>
  <pageSetup scale="8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298"/>
  <sheetViews>
    <sheetView topLeftCell="A202" workbookViewId="0">
      <selection activeCell="D7" sqref="D7"/>
    </sheetView>
  </sheetViews>
  <sheetFormatPr defaultRowHeight="15"/>
  <cols>
    <col min="2" max="2" width="12.85546875" customWidth="1"/>
    <col min="3" max="3" width="13" customWidth="1"/>
    <col min="4" max="4" width="18.85546875" customWidth="1"/>
    <col min="5" max="5" width="13.140625" customWidth="1"/>
    <col min="6" max="6" width="11.140625" customWidth="1"/>
    <col min="7" max="7" width="23.140625" customWidth="1"/>
    <col min="8" max="8" width="6.42578125" bestFit="1" customWidth="1"/>
    <col min="9" max="9" width="10.5703125" bestFit="1" customWidth="1"/>
    <col min="10" max="10" width="12.42578125" customWidth="1"/>
    <col min="11" max="11" width="11.7109375" customWidth="1"/>
    <col min="12" max="12" width="9.42578125" bestFit="1" customWidth="1"/>
    <col min="13" max="13" width="11.5703125" bestFit="1" customWidth="1"/>
    <col min="14" max="14" width="12" customWidth="1"/>
  </cols>
  <sheetData>
    <row r="1" spans="1:14" ht="18.75">
      <c r="A1" s="846" t="s">
        <v>146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351"/>
    </row>
    <row r="2" spans="1:14" s="71" customFormat="1" ht="15" customHeight="1">
      <c r="A2" s="827" t="s">
        <v>147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384"/>
    </row>
    <row r="3" spans="1:14" s="441" customFormat="1" ht="15" customHeight="1">
      <c r="A3" s="828" t="s">
        <v>148</v>
      </c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  <c r="M3" s="828"/>
      <c r="N3" s="385"/>
    </row>
    <row r="4" spans="1:14" s="71" customFormat="1" ht="15" customHeight="1">
      <c r="A4" s="70" t="s">
        <v>21</v>
      </c>
      <c r="B4" s="70"/>
      <c r="C4" s="70"/>
      <c r="D4" s="70"/>
      <c r="E4" s="70"/>
      <c r="K4" s="70" t="s">
        <v>252</v>
      </c>
      <c r="L4" s="70"/>
      <c r="M4" s="70"/>
    </row>
    <row r="5" spans="1:14" s="71" customFormat="1" ht="15" customHeight="1">
      <c r="A5" s="274" t="s">
        <v>0</v>
      </c>
      <c r="B5" s="274" t="s">
        <v>7</v>
      </c>
      <c r="C5" s="274" t="s">
        <v>13</v>
      </c>
      <c r="D5" s="274" t="s">
        <v>14</v>
      </c>
      <c r="E5" s="274" t="s">
        <v>8</v>
      </c>
      <c r="F5" s="274" t="s">
        <v>1</v>
      </c>
      <c r="G5" s="274" t="s">
        <v>2</v>
      </c>
      <c r="H5" s="274" t="s">
        <v>15</v>
      </c>
      <c r="I5" s="274" t="s">
        <v>3</v>
      </c>
      <c r="J5" s="274" t="s">
        <v>4</v>
      </c>
      <c r="K5" s="274" t="s">
        <v>5</v>
      </c>
      <c r="L5" s="274" t="s">
        <v>12</v>
      </c>
      <c r="M5" s="274" t="s">
        <v>6</v>
      </c>
    </row>
    <row r="6" spans="1:14" s="71" customFormat="1" ht="15" customHeight="1">
      <c r="A6" s="428">
        <v>1</v>
      </c>
      <c r="B6" s="427" t="s">
        <v>942</v>
      </c>
      <c r="C6" s="427" t="s">
        <v>121</v>
      </c>
      <c r="D6" s="577" t="s">
        <v>122</v>
      </c>
      <c r="E6" s="428"/>
      <c r="F6" s="99">
        <f>3232*1.0936</f>
        <v>3534.5151999999998</v>
      </c>
      <c r="G6" s="517" t="s">
        <v>1070</v>
      </c>
      <c r="H6" s="79"/>
      <c r="I6" s="80">
        <v>10</v>
      </c>
      <c r="J6" s="81">
        <v>227</v>
      </c>
      <c r="K6" s="81">
        <f t="shared" ref="K6:K7" si="0">I6*J6</f>
        <v>2270</v>
      </c>
      <c r="L6" s="102"/>
      <c r="M6" s="156" t="e">
        <f>I6+I10+#REF!</f>
        <v>#REF!</v>
      </c>
      <c r="N6" s="427" t="s">
        <v>173</v>
      </c>
    </row>
    <row r="7" spans="1:14" s="71" customFormat="1" ht="15" customHeight="1">
      <c r="A7" s="428"/>
      <c r="B7" s="427" t="s">
        <v>944</v>
      </c>
      <c r="C7" s="427" t="s">
        <v>766</v>
      </c>
      <c r="D7" s="427" t="s">
        <v>465</v>
      </c>
      <c r="E7" s="428"/>
      <c r="F7" s="87">
        <f>6225*1.0936</f>
        <v>6807.66</v>
      </c>
      <c r="G7" s="517" t="s">
        <v>1067</v>
      </c>
      <c r="H7" s="79"/>
      <c r="I7" s="80">
        <v>6</v>
      </c>
      <c r="J7" s="81">
        <v>416</v>
      </c>
      <c r="K7" s="81">
        <f t="shared" si="0"/>
        <v>2496</v>
      </c>
      <c r="L7" s="102"/>
      <c r="M7" s="156" t="e">
        <f>I7+I11+#REF!+I21+I27+#REF!</f>
        <v>#REF!</v>
      </c>
      <c r="N7" s="427" t="s">
        <v>174</v>
      </c>
    </row>
    <row r="8" spans="1:14" s="71" customFormat="1" ht="15" customHeight="1">
      <c r="A8" s="428"/>
      <c r="B8" s="427"/>
      <c r="C8" s="427"/>
      <c r="D8" s="427"/>
      <c r="E8" s="428"/>
      <c r="F8" s="99"/>
      <c r="G8" s="517" t="s">
        <v>1065</v>
      </c>
      <c r="H8" s="79"/>
      <c r="I8" s="80">
        <v>8</v>
      </c>
      <c r="J8" s="81">
        <v>165</v>
      </c>
      <c r="K8" s="81">
        <f>I8*J8</f>
        <v>1320</v>
      </c>
      <c r="L8" s="102"/>
      <c r="M8" s="156" t="e">
        <f>I8+I12+#REF!+I22+I28+#REF!</f>
        <v>#REF!</v>
      </c>
      <c r="N8" s="427" t="s">
        <v>172</v>
      </c>
    </row>
    <row r="9" spans="1:14" s="71" customFormat="1" ht="15" customHeight="1">
      <c r="A9" s="428"/>
      <c r="B9" s="428"/>
      <c r="C9" s="428"/>
      <c r="D9" s="428"/>
      <c r="E9" s="274" t="s">
        <v>9</v>
      </c>
      <c r="F9" s="110">
        <f>SUM(F6:F8)</f>
        <v>10342.1752</v>
      </c>
      <c r="G9" s="274"/>
      <c r="H9" s="274"/>
      <c r="I9" s="125"/>
      <c r="J9" s="97"/>
      <c r="K9" s="111">
        <f>SUM(K6:K8)</f>
        <v>6086</v>
      </c>
      <c r="L9" s="111">
        <f>K9/F9</f>
        <v>0.58846421398856208</v>
      </c>
      <c r="M9" s="156" t="e">
        <f>I19+I25+#REF!+I34+I37</f>
        <v>#REF!</v>
      </c>
      <c r="N9" s="427" t="s">
        <v>24</v>
      </c>
    </row>
    <row r="10" spans="1:14" s="71" customFormat="1" ht="15" customHeight="1">
      <c r="A10" s="428">
        <v>2</v>
      </c>
      <c r="B10" s="427" t="s">
        <v>945</v>
      </c>
      <c r="C10" s="427" t="s">
        <v>121</v>
      </c>
      <c r="D10" s="427" t="s">
        <v>946</v>
      </c>
      <c r="E10" s="428"/>
      <c r="F10" s="99">
        <f>166*1.0936</f>
        <v>181.5376</v>
      </c>
      <c r="G10" s="517" t="s">
        <v>24</v>
      </c>
      <c r="H10" s="79"/>
      <c r="I10" s="80">
        <v>20</v>
      </c>
      <c r="J10" s="81">
        <v>74</v>
      </c>
      <c r="K10" s="81">
        <f t="shared" ref="K10:K12" si="1">I10*J10</f>
        <v>1480</v>
      </c>
      <c r="L10" s="102"/>
      <c r="M10" s="156" t="e">
        <f>I20+I26+#REF!</f>
        <v>#REF!</v>
      </c>
      <c r="N10" s="427" t="s">
        <v>175</v>
      </c>
    </row>
    <row r="11" spans="1:14" s="71" customFormat="1" ht="15" customHeight="1">
      <c r="A11" s="428"/>
      <c r="B11" s="427" t="s">
        <v>269</v>
      </c>
      <c r="C11" s="427"/>
      <c r="D11" s="427"/>
      <c r="E11" s="428"/>
      <c r="F11" s="99">
        <f>595*1.0936</f>
        <v>650.69199999999989</v>
      </c>
      <c r="G11" s="88" t="s">
        <v>18</v>
      </c>
      <c r="H11" s="79"/>
      <c r="I11" s="80">
        <v>11</v>
      </c>
      <c r="J11" s="81">
        <v>46</v>
      </c>
      <c r="K11" s="81">
        <f t="shared" si="1"/>
        <v>506</v>
      </c>
      <c r="L11" s="102"/>
      <c r="M11" s="156" t="e">
        <f>I23+I29+#REF!</f>
        <v>#REF!</v>
      </c>
      <c r="N11" s="429" t="s">
        <v>176</v>
      </c>
    </row>
    <row r="12" spans="1:14" s="71" customFormat="1" ht="15" customHeight="1">
      <c r="A12" s="428"/>
      <c r="B12" s="427"/>
      <c r="C12" s="427"/>
      <c r="D12" s="427"/>
      <c r="E12" s="428"/>
      <c r="F12" s="99"/>
      <c r="G12" s="517" t="s">
        <v>1067</v>
      </c>
      <c r="H12" s="79"/>
      <c r="I12" s="80">
        <v>3</v>
      </c>
      <c r="J12" s="81">
        <v>416</v>
      </c>
      <c r="K12" s="81">
        <f t="shared" si="1"/>
        <v>1248</v>
      </c>
      <c r="L12" s="102"/>
      <c r="M12" s="156">
        <f>I35+I38</f>
        <v>30</v>
      </c>
      <c r="N12" s="430" t="s">
        <v>10</v>
      </c>
    </row>
    <row r="13" spans="1:14" s="71" customFormat="1" ht="15" customHeight="1">
      <c r="A13" s="428"/>
      <c r="B13" s="427"/>
      <c r="C13" s="427"/>
      <c r="D13" s="427"/>
      <c r="E13" s="428"/>
      <c r="F13" s="99"/>
      <c r="G13" s="517" t="s">
        <v>1065</v>
      </c>
      <c r="H13" s="79"/>
      <c r="I13" s="80">
        <v>2</v>
      </c>
      <c r="J13" s="81">
        <v>165</v>
      </c>
      <c r="K13" s="81">
        <f>I13*J13</f>
        <v>330</v>
      </c>
      <c r="L13" s="102"/>
      <c r="M13" s="156"/>
      <c r="N13" s="227"/>
    </row>
    <row r="14" spans="1:14" s="71" customFormat="1" ht="15" customHeight="1">
      <c r="A14" s="428"/>
      <c r="B14" s="427"/>
      <c r="C14" s="427"/>
      <c r="D14" s="427"/>
      <c r="E14" s="428"/>
      <c r="F14" s="99"/>
      <c r="G14" s="518" t="s">
        <v>1066</v>
      </c>
      <c r="H14" s="79"/>
      <c r="I14" s="80">
        <v>2.5</v>
      </c>
      <c r="J14" s="81">
        <v>165</v>
      </c>
      <c r="K14" s="81">
        <f t="shared" ref="K14" si="2">I14*J14</f>
        <v>412.5</v>
      </c>
      <c r="L14" s="102"/>
      <c r="M14" s="156"/>
      <c r="N14" s="227"/>
    </row>
    <row r="15" spans="1:14" s="71" customFormat="1" ht="15" customHeight="1">
      <c r="A15" s="428"/>
      <c r="B15" s="428"/>
      <c r="C15" s="428"/>
      <c r="D15" s="428"/>
      <c r="E15" s="274" t="s">
        <v>9</v>
      </c>
      <c r="F15" s="110">
        <f>SUM(F10:F14)</f>
        <v>832.22959999999989</v>
      </c>
      <c r="G15" s="274"/>
      <c r="H15" s="274"/>
      <c r="I15" s="125"/>
      <c r="J15" s="97"/>
      <c r="K15" s="111">
        <f>SUM(K10:K14)</f>
        <v>3976.5</v>
      </c>
      <c r="L15" s="111">
        <f>K15/F15</f>
        <v>4.7781285356829422</v>
      </c>
      <c r="M15" s="102"/>
    </row>
    <row r="16" spans="1:14" s="71" customFormat="1" ht="15" customHeight="1">
      <c r="D16" s="126" t="s">
        <v>30</v>
      </c>
      <c r="E16" s="126"/>
      <c r="F16" s="127">
        <f>F9+F15</f>
        <v>11174.4048</v>
      </c>
      <c r="G16" s="128"/>
      <c r="H16" s="128"/>
      <c r="I16" s="128"/>
      <c r="J16" s="128"/>
      <c r="K16" s="127">
        <f>K9+K15</f>
        <v>10062.5</v>
      </c>
      <c r="L16" s="129">
        <f>K16/F16</f>
        <v>0.90049538924883044</v>
      </c>
    </row>
    <row r="17" spans="1:13" s="71" customFormat="1" ht="15" customHeight="1">
      <c r="A17" s="70" t="s">
        <v>23</v>
      </c>
      <c r="B17" s="70"/>
      <c r="C17" s="70"/>
      <c r="D17" s="70"/>
      <c r="E17" s="70"/>
      <c r="K17" s="70" t="s">
        <v>252</v>
      </c>
      <c r="L17" s="70"/>
      <c r="M17" s="70"/>
    </row>
    <row r="18" spans="1:13" s="71" customFormat="1" ht="15" customHeight="1">
      <c r="A18" s="274" t="s">
        <v>0</v>
      </c>
      <c r="B18" s="274" t="s">
        <v>7</v>
      </c>
      <c r="C18" s="274" t="s">
        <v>13</v>
      </c>
      <c r="D18" s="274" t="s">
        <v>14</v>
      </c>
      <c r="E18" s="274" t="s">
        <v>8</v>
      </c>
      <c r="F18" s="274" t="s">
        <v>1</v>
      </c>
      <c r="G18" s="274" t="s">
        <v>2</v>
      </c>
      <c r="H18" s="274" t="s">
        <v>15</v>
      </c>
      <c r="I18" s="274" t="s">
        <v>3</v>
      </c>
      <c r="J18" s="274" t="s">
        <v>4</v>
      </c>
      <c r="K18" s="274" t="s">
        <v>5</v>
      </c>
      <c r="L18" s="274" t="s">
        <v>12</v>
      </c>
      <c r="M18" s="274" t="s">
        <v>6</v>
      </c>
    </row>
    <row r="19" spans="1:13" s="71" customFormat="1" ht="15" customHeight="1">
      <c r="A19" s="428">
        <v>1</v>
      </c>
      <c r="B19" s="427" t="s">
        <v>865</v>
      </c>
      <c r="C19" s="427" t="s">
        <v>700</v>
      </c>
      <c r="D19" s="427" t="s">
        <v>297</v>
      </c>
      <c r="E19" s="428"/>
      <c r="F19" s="99">
        <f>9160*1.0936</f>
        <v>10017.375999999998</v>
      </c>
      <c r="G19" s="517" t="s">
        <v>24</v>
      </c>
      <c r="H19" s="79"/>
      <c r="I19" s="80">
        <v>124</v>
      </c>
      <c r="J19" s="81">
        <v>74</v>
      </c>
      <c r="K19" s="81">
        <f t="shared" ref="K19:K21" si="3">I19*J19</f>
        <v>9176</v>
      </c>
      <c r="L19" s="102"/>
      <c r="M19" s="124"/>
    </row>
    <row r="20" spans="1:13" s="71" customFormat="1" ht="15" customHeight="1">
      <c r="A20" s="428"/>
      <c r="B20" s="427" t="s">
        <v>947</v>
      </c>
      <c r="C20" s="427" t="s">
        <v>700</v>
      </c>
      <c r="D20" s="427" t="s">
        <v>297</v>
      </c>
      <c r="E20" s="428"/>
      <c r="F20" s="99">
        <f>4770*1.0936</f>
        <v>5216.4719999999998</v>
      </c>
      <c r="G20" s="88" t="s">
        <v>18</v>
      </c>
      <c r="H20" s="79"/>
      <c r="I20" s="80">
        <v>60</v>
      </c>
      <c r="J20" s="81">
        <v>46</v>
      </c>
      <c r="K20" s="81">
        <f t="shared" si="3"/>
        <v>2760</v>
      </c>
      <c r="L20" s="102"/>
      <c r="M20" s="102"/>
    </row>
    <row r="21" spans="1:13" s="71" customFormat="1" ht="15" customHeight="1">
      <c r="A21" s="428"/>
      <c r="B21" s="427"/>
      <c r="C21" s="427"/>
      <c r="D21" s="427"/>
      <c r="E21" s="428"/>
      <c r="F21" s="98"/>
      <c r="G21" s="517" t="s">
        <v>1067</v>
      </c>
      <c r="H21" s="79"/>
      <c r="I21" s="80">
        <f>28+17</f>
        <v>45</v>
      </c>
      <c r="J21" s="81">
        <v>416</v>
      </c>
      <c r="K21" s="81">
        <f t="shared" si="3"/>
        <v>18720</v>
      </c>
      <c r="L21" s="102"/>
      <c r="M21" s="102"/>
    </row>
    <row r="22" spans="1:13" s="71" customFormat="1" ht="15" customHeight="1">
      <c r="A22" s="428"/>
      <c r="B22" s="428"/>
      <c r="C22" s="428"/>
      <c r="D22" s="428"/>
      <c r="E22" s="428"/>
      <c r="F22" s="98"/>
      <c r="G22" s="517" t="s">
        <v>1065</v>
      </c>
      <c r="H22" s="79"/>
      <c r="I22" s="80">
        <f>15+16</f>
        <v>31</v>
      </c>
      <c r="J22" s="81">
        <v>165</v>
      </c>
      <c r="K22" s="81">
        <f>I22*J22</f>
        <v>5115</v>
      </c>
      <c r="L22" s="102"/>
      <c r="M22" s="102"/>
    </row>
    <row r="23" spans="1:13" s="71" customFormat="1" ht="15" customHeight="1">
      <c r="A23" s="428"/>
      <c r="B23" s="428"/>
      <c r="C23" s="428"/>
      <c r="D23" s="428"/>
      <c r="E23" s="428"/>
      <c r="F23" s="98"/>
      <c r="G23" s="518" t="s">
        <v>1066</v>
      </c>
      <c r="H23" s="79"/>
      <c r="I23" s="80">
        <v>18</v>
      </c>
      <c r="J23" s="81">
        <v>165</v>
      </c>
      <c r="K23" s="81">
        <f t="shared" ref="K23" si="4">I23*J23</f>
        <v>2970</v>
      </c>
      <c r="L23" s="102"/>
      <c r="M23" s="102"/>
    </row>
    <row r="24" spans="1:13" s="71" customFormat="1" ht="15" customHeight="1">
      <c r="A24" s="428"/>
      <c r="B24" s="428"/>
      <c r="C24" s="428"/>
      <c r="D24" s="428"/>
      <c r="E24" s="274" t="s">
        <v>9</v>
      </c>
      <c r="F24" s="110">
        <f>SUM(F19:F23)</f>
        <v>15233.847999999998</v>
      </c>
      <c r="G24" s="427"/>
      <c r="H24" s="79"/>
      <c r="I24" s="80"/>
      <c r="J24" s="81"/>
      <c r="K24" s="103">
        <f>SUM(K19:K23)</f>
        <v>38741</v>
      </c>
      <c r="L24" s="111">
        <f>K24/F24</f>
        <v>2.5430869469092774</v>
      </c>
      <c r="M24" s="102"/>
    </row>
    <row r="25" spans="1:13" s="71" customFormat="1" ht="15" customHeight="1">
      <c r="A25" s="428">
        <v>2</v>
      </c>
      <c r="B25" s="427" t="s">
        <v>942</v>
      </c>
      <c r="C25" s="427" t="s">
        <v>121</v>
      </c>
      <c r="D25" s="427" t="s">
        <v>943</v>
      </c>
      <c r="E25" s="428"/>
      <c r="F25" s="99">
        <f>204*1.0936</f>
        <v>223.09439999999998</v>
      </c>
      <c r="G25" s="517" t="s">
        <v>24</v>
      </c>
      <c r="H25" s="79"/>
      <c r="I25" s="80">
        <v>5</v>
      </c>
      <c r="J25" s="81">
        <v>74</v>
      </c>
      <c r="K25" s="81">
        <f t="shared" ref="K25:K27" si="5">I25*J25</f>
        <v>370</v>
      </c>
      <c r="L25" s="102"/>
      <c r="M25" s="102"/>
    </row>
    <row r="26" spans="1:13" s="71" customFormat="1" ht="15" customHeight="1">
      <c r="A26" s="428"/>
      <c r="B26" s="427" t="s">
        <v>269</v>
      </c>
      <c r="C26" s="427"/>
      <c r="D26" s="427"/>
      <c r="E26" s="428"/>
      <c r="F26" s="99">
        <f>242*1.0936</f>
        <v>264.65119999999996</v>
      </c>
      <c r="G26" s="88" t="s">
        <v>18</v>
      </c>
      <c r="H26" s="79"/>
      <c r="I26" s="80">
        <v>3</v>
      </c>
      <c r="J26" s="81">
        <v>46</v>
      </c>
      <c r="K26" s="81">
        <f t="shared" si="5"/>
        <v>138</v>
      </c>
      <c r="L26" s="102"/>
      <c r="M26" s="102"/>
    </row>
    <row r="27" spans="1:13" s="71" customFormat="1" ht="15" customHeight="1">
      <c r="A27" s="428"/>
      <c r="B27" s="428"/>
      <c r="C27" s="428"/>
      <c r="D27" s="428"/>
      <c r="E27" s="428"/>
      <c r="F27" s="98"/>
      <c r="G27" s="517" t="s">
        <v>1067</v>
      </c>
      <c r="H27" s="79"/>
      <c r="I27" s="80">
        <v>2</v>
      </c>
      <c r="J27" s="81">
        <v>416</v>
      </c>
      <c r="K27" s="81">
        <f t="shared" si="5"/>
        <v>832</v>
      </c>
      <c r="L27" s="102"/>
      <c r="M27" s="102"/>
    </row>
    <row r="28" spans="1:13" s="71" customFormat="1" ht="15" customHeight="1">
      <c r="A28" s="428"/>
      <c r="B28" s="428"/>
      <c r="C28" s="428"/>
      <c r="D28" s="428"/>
      <c r="E28" s="428"/>
      <c r="F28" s="98"/>
      <c r="G28" s="517" t="s">
        <v>1065</v>
      </c>
      <c r="H28" s="79"/>
      <c r="I28" s="80">
        <v>1</v>
      </c>
      <c r="J28" s="81">
        <v>165</v>
      </c>
      <c r="K28" s="81">
        <f>I28*J28</f>
        <v>165</v>
      </c>
      <c r="L28" s="102"/>
      <c r="M28" s="102"/>
    </row>
    <row r="29" spans="1:13" s="71" customFormat="1" ht="15" customHeight="1">
      <c r="A29" s="428"/>
      <c r="B29" s="428"/>
      <c r="C29" s="428"/>
      <c r="D29" s="428"/>
      <c r="E29" s="428"/>
      <c r="F29" s="98"/>
      <c r="G29" s="518" t="s">
        <v>1066</v>
      </c>
      <c r="H29" s="79"/>
      <c r="I29" s="80">
        <v>1</v>
      </c>
      <c r="J29" s="81">
        <v>165</v>
      </c>
      <c r="K29" s="81">
        <f t="shared" ref="K29" si="6">I29*J29</f>
        <v>165</v>
      </c>
      <c r="L29" s="102"/>
      <c r="M29" s="102"/>
    </row>
    <row r="30" spans="1:13" s="71" customFormat="1" ht="15" customHeight="1">
      <c r="A30" s="428"/>
      <c r="B30" s="428"/>
      <c r="C30" s="428"/>
      <c r="D30" s="428"/>
      <c r="E30" s="274" t="s">
        <v>9</v>
      </c>
      <c r="F30" s="110">
        <f>SUM(F25:F29)</f>
        <v>487.74559999999997</v>
      </c>
      <c r="G30" s="274"/>
      <c r="H30" s="274"/>
      <c r="I30" s="125"/>
      <c r="J30" s="97"/>
      <c r="K30" s="111">
        <f>SUM(K25:K29)</f>
        <v>1670</v>
      </c>
      <c r="L30" s="111">
        <f>K30/F30</f>
        <v>3.423916074281347</v>
      </c>
      <c r="M30" s="102"/>
    </row>
    <row r="31" spans="1:13" s="71" customFormat="1" ht="15" customHeight="1">
      <c r="A31" s="131"/>
      <c r="B31" s="131"/>
      <c r="C31" s="131"/>
      <c r="D31" s="274" t="s">
        <v>30</v>
      </c>
      <c r="E31" s="274"/>
      <c r="F31" s="127">
        <f>F24+F30</f>
        <v>15721.593599999998</v>
      </c>
      <c r="G31" s="132"/>
      <c r="H31" s="132"/>
      <c r="I31" s="132"/>
      <c r="J31" s="132"/>
      <c r="K31" s="127">
        <f>K24+K30</f>
        <v>40411</v>
      </c>
      <c r="L31" s="129">
        <f>K31/F31</f>
        <v>2.5704137270155618</v>
      </c>
      <c r="M31" s="102"/>
    </row>
    <row r="32" spans="1:13" s="71" customFormat="1" ht="15" customHeight="1">
      <c r="A32" s="70" t="s">
        <v>22</v>
      </c>
      <c r="B32" s="70"/>
      <c r="C32" s="70"/>
      <c r="D32" s="70"/>
      <c r="E32" s="70"/>
      <c r="K32" s="70" t="s">
        <v>252</v>
      </c>
      <c r="L32" s="70"/>
      <c r="M32" s="70"/>
    </row>
    <row r="33" spans="1:13" s="71" customFormat="1" ht="15" customHeight="1">
      <c r="A33" s="274" t="s">
        <v>0</v>
      </c>
      <c r="B33" s="274" t="s">
        <v>7</v>
      </c>
      <c r="C33" s="274" t="s">
        <v>13</v>
      </c>
      <c r="D33" s="274" t="s">
        <v>14</v>
      </c>
      <c r="E33" s="274" t="s">
        <v>8</v>
      </c>
      <c r="F33" s="274" t="s">
        <v>1</v>
      </c>
      <c r="G33" s="274" t="s">
        <v>2</v>
      </c>
      <c r="H33" s="274" t="s">
        <v>15</v>
      </c>
      <c r="I33" s="274" t="s">
        <v>3</v>
      </c>
      <c r="J33" s="274" t="s">
        <v>4</v>
      </c>
      <c r="K33" s="274" t="s">
        <v>5</v>
      </c>
      <c r="L33" s="274" t="s">
        <v>12</v>
      </c>
      <c r="M33" s="274" t="s">
        <v>6</v>
      </c>
    </row>
    <row r="34" spans="1:13" s="71" customFormat="1" ht="15" customHeight="1">
      <c r="A34" s="428">
        <v>1</v>
      </c>
      <c r="B34" s="427" t="s">
        <v>865</v>
      </c>
      <c r="C34" s="427" t="s">
        <v>700</v>
      </c>
      <c r="D34" s="427" t="s">
        <v>297</v>
      </c>
      <c r="E34" s="428"/>
      <c r="F34" s="99">
        <f>9470*1.0936</f>
        <v>10356.392</v>
      </c>
      <c r="G34" s="427" t="s">
        <v>24</v>
      </c>
      <c r="H34" s="79"/>
      <c r="I34" s="80">
        <f>42+48+32+20</f>
        <v>142</v>
      </c>
      <c r="J34" s="81">
        <v>74</v>
      </c>
      <c r="K34" s="81">
        <f t="shared" ref="K34:K35" si="7">I34*J34</f>
        <v>10508</v>
      </c>
      <c r="L34" s="102"/>
      <c r="M34" s="124"/>
    </row>
    <row r="35" spans="1:13" s="71" customFormat="1" ht="15" customHeight="1">
      <c r="A35" s="428"/>
      <c r="B35" s="427" t="s">
        <v>947</v>
      </c>
      <c r="C35" s="427" t="s">
        <v>700</v>
      </c>
      <c r="D35" s="427" t="s">
        <v>297</v>
      </c>
      <c r="E35" s="428"/>
      <c r="F35" s="99">
        <f>2000*1.0936</f>
        <v>2187.1999999999998</v>
      </c>
      <c r="G35" s="430" t="s">
        <v>10</v>
      </c>
      <c r="H35" s="79"/>
      <c r="I35" s="80">
        <f>10+15</f>
        <v>25</v>
      </c>
      <c r="J35" s="81">
        <v>120</v>
      </c>
      <c r="K35" s="81">
        <f t="shared" si="7"/>
        <v>3000</v>
      </c>
      <c r="L35" s="102"/>
      <c r="M35" s="102"/>
    </row>
    <row r="36" spans="1:13" s="71" customFormat="1" ht="15" customHeight="1">
      <c r="A36" s="428"/>
      <c r="B36" s="427"/>
      <c r="C36" s="427"/>
      <c r="D36" s="427"/>
      <c r="E36" s="274" t="s">
        <v>9</v>
      </c>
      <c r="F36" s="110">
        <f>SUM(F34:F35)</f>
        <v>12543.592000000001</v>
      </c>
      <c r="G36" s="274"/>
      <c r="H36" s="274"/>
      <c r="I36" s="125"/>
      <c r="J36" s="97"/>
      <c r="K36" s="111">
        <f>SUM(K34:K35)</f>
        <v>13508</v>
      </c>
      <c r="L36" s="111">
        <f>K36/F36</f>
        <v>1.0768845160142326</v>
      </c>
      <c r="M36" s="102"/>
    </row>
    <row r="37" spans="1:13" s="71" customFormat="1" ht="15" customHeight="1">
      <c r="A37" s="428">
        <v>2</v>
      </c>
      <c r="B37" s="427" t="s">
        <v>277</v>
      </c>
      <c r="C37" s="427" t="s">
        <v>861</v>
      </c>
      <c r="D37" s="427" t="s">
        <v>868</v>
      </c>
      <c r="E37" s="428"/>
      <c r="F37" s="99">
        <f>330*1.0936</f>
        <v>360.88799999999998</v>
      </c>
      <c r="G37" s="427" t="s">
        <v>24</v>
      </c>
      <c r="H37" s="79"/>
      <c r="I37" s="80">
        <v>18</v>
      </c>
      <c r="J37" s="81">
        <v>74</v>
      </c>
      <c r="K37" s="81">
        <f t="shared" ref="K37:K38" si="8">I37*J37</f>
        <v>1332</v>
      </c>
      <c r="L37" s="102"/>
      <c r="M37" s="102"/>
    </row>
    <row r="38" spans="1:13" s="71" customFormat="1" ht="15" customHeight="1">
      <c r="A38" s="428"/>
      <c r="B38" s="427" t="s">
        <v>269</v>
      </c>
      <c r="C38" s="427"/>
      <c r="D38" s="427"/>
      <c r="E38" s="428"/>
      <c r="F38" s="99">
        <f>348*1.0936</f>
        <v>380.57279999999997</v>
      </c>
      <c r="G38" s="430" t="s">
        <v>10</v>
      </c>
      <c r="H38" s="79"/>
      <c r="I38" s="80">
        <v>5</v>
      </c>
      <c r="J38" s="81">
        <v>120</v>
      </c>
      <c r="K38" s="81">
        <f t="shared" si="8"/>
        <v>600</v>
      </c>
      <c r="L38" s="102"/>
      <c r="M38" s="102"/>
    </row>
    <row r="39" spans="1:13" s="71" customFormat="1" ht="15" customHeight="1">
      <c r="A39" s="428"/>
      <c r="B39" s="427" t="s">
        <v>942</v>
      </c>
      <c r="C39" s="427" t="s">
        <v>121</v>
      </c>
      <c r="D39" s="427" t="s">
        <v>943</v>
      </c>
      <c r="E39" s="428"/>
      <c r="F39" s="99">
        <f>204*1.0936</f>
        <v>223.09439999999998</v>
      </c>
      <c r="G39" s="427"/>
      <c r="H39" s="79"/>
      <c r="I39" s="80"/>
      <c r="J39" s="81"/>
      <c r="K39" s="81"/>
      <c r="L39" s="102"/>
      <c r="M39" s="102"/>
    </row>
    <row r="40" spans="1:13" s="71" customFormat="1" ht="15" customHeight="1">
      <c r="A40" s="428"/>
      <c r="B40" s="428"/>
      <c r="C40" s="428"/>
      <c r="D40" s="428"/>
      <c r="E40" s="274" t="s">
        <v>9</v>
      </c>
      <c r="F40" s="110">
        <f>SUM(F37:F39)</f>
        <v>964.5551999999999</v>
      </c>
      <c r="G40" s="274"/>
      <c r="H40" s="274"/>
      <c r="I40" s="125"/>
      <c r="J40" s="97"/>
      <c r="K40" s="111">
        <f>SUM(K37:K39)</f>
        <v>1932</v>
      </c>
      <c r="L40" s="111">
        <f>K40/F40</f>
        <v>2.0029957850001745</v>
      </c>
      <c r="M40" s="102"/>
    </row>
    <row r="41" spans="1:13" s="71" customFormat="1" ht="15" customHeight="1">
      <c r="D41" s="126" t="s">
        <v>30</v>
      </c>
      <c r="E41" s="126"/>
      <c r="F41" s="127">
        <f>F36+F40</f>
        <v>13508.147200000001</v>
      </c>
      <c r="G41" s="128"/>
      <c r="H41" s="128"/>
      <c r="I41" s="128"/>
      <c r="J41" s="128"/>
      <c r="K41" s="127">
        <f>K36+K40</f>
        <v>15440</v>
      </c>
      <c r="L41" s="129">
        <f>K41/F41</f>
        <v>1.1430138990490124</v>
      </c>
    </row>
    <row r="42" spans="1:13" s="71" customFormat="1" ht="15" customHeight="1">
      <c r="A42" s="70" t="s">
        <v>16</v>
      </c>
      <c r="B42" s="70"/>
      <c r="C42" s="70"/>
      <c r="D42" s="70"/>
      <c r="E42" s="70"/>
      <c r="K42" s="70" t="s">
        <v>252</v>
      </c>
      <c r="L42" s="70"/>
      <c r="M42" s="70"/>
    </row>
    <row r="43" spans="1:13" s="71" customFormat="1" ht="15" customHeight="1">
      <c r="A43" s="274" t="s">
        <v>0</v>
      </c>
      <c r="B43" s="274" t="s">
        <v>7</v>
      </c>
      <c r="C43" s="274" t="s">
        <v>13</v>
      </c>
      <c r="D43" s="274" t="s">
        <v>14</v>
      </c>
      <c r="E43" s="274" t="s">
        <v>8</v>
      </c>
      <c r="F43" s="274" t="s">
        <v>1</v>
      </c>
      <c r="G43" s="274" t="s">
        <v>2</v>
      </c>
      <c r="H43" s="274" t="s">
        <v>15</v>
      </c>
      <c r="I43" s="274" t="s">
        <v>3</v>
      </c>
      <c r="J43" s="274" t="s">
        <v>4</v>
      </c>
      <c r="K43" s="274" t="s">
        <v>5</v>
      </c>
      <c r="L43" s="274" t="s">
        <v>12</v>
      </c>
      <c r="M43" s="274" t="s">
        <v>6</v>
      </c>
    </row>
    <row r="44" spans="1:13" s="71" customFormat="1" ht="15" customHeight="1">
      <c r="A44" s="428"/>
      <c r="B44" s="427"/>
      <c r="C44" s="427"/>
      <c r="D44" s="427"/>
      <c r="E44" s="428"/>
      <c r="F44" s="98"/>
      <c r="G44" s="427" t="s">
        <v>75</v>
      </c>
      <c r="H44" s="427"/>
      <c r="I44" s="96"/>
      <c r="J44" s="94">
        <v>367</v>
      </c>
      <c r="K44" s="94">
        <f t="shared" ref="K44" si="9">I44*J44</f>
        <v>0</v>
      </c>
      <c r="L44" s="102"/>
      <c r="M44" s="139"/>
    </row>
    <row r="45" spans="1:13" s="71" customFormat="1" ht="15" customHeight="1">
      <c r="A45" s="428"/>
      <c r="B45" s="428"/>
      <c r="C45" s="428"/>
      <c r="D45" s="428"/>
      <c r="E45" s="428"/>
      <c r="F45" s="98"/>
      <c r="G45" s="427" t="s">
        <v>69</v>
      </c>
      <c r="H45" s="79"/>
      <c r="I45" s="80"/>
      <c r="J45" s="81">
        <v>334</v>
      </c>
      <c r="K45" s="81">
        <f t="shared" ref="K45:K46" si="10">I45*J45</f>
        <v>0</v>
      </c>
      <c r="L45" s="102"/>
      <c r="M45" s="102"/>
    </row>
    <row r="46" spans="1:13" s="71" customFormat="1" ht="15" customHeight="1">
      <c r="A46" s="428"/>
      <c r="B46" s="428"/>
      <c r="C46" s="428"/>
      <c r="D46" s="428"/>
      <c r="E46" s="428"/>
      <c r="F46" s="98"/>
      <c r="G46" s="427" t="s">
        <v>20</v>
      </c>
      <c r="H46" s="79"/>
      <c r="I46" s="80"/>
      <c r="J46" s="81">
        <v>315</v>
      </c>
      <c r="K46" s="81">
        <f t="shared" si="10"/>
        <v>0</v>
      </c>
      <c r="L46" s="102"/>
      <c r="M46" s="102"/>
    </row>
    <row r="47" spans="1:13" s="71" customFormat="1" ht="15" customHeight="1">
      <c r="A47" s="428"/>
      <c r="B47" s="428"/>
      <c r="C47" s="428"/>
      <c r="D47" s="428"/>
      <c r="E47" s="274" t="s">
        <v>9</v>
      </c>
      <c r="F47" s="110">
        <f>SUM(F45:F46)</f>
        <v>0</v>
      </c>
      <c r="G47" s="274"/>
      <c r="H47" s="274"/>
      <c r="I47" s="125"/>
      <c r="J47" s="97"/>
      <c r="K47" s="111">
        <f>SUM(K45:K46)</f>
        <v>0</v>
      </c>
      <c r="L47" s="111" t="e">
        <f>K47/F47</f>
        <v>#DIV/0!</v>
      </c>
      <c r="M47" s="102"/>
    </row>
    <row r="48" spans="1:13" s="71" customFormat="1" ht="15" customHeight="1">
      <c r="A48" s="425"/>
      <c r="B48" s="425"/>
      <c r="C48" s="425"/>
      <c r="D48" s="126" t="s">
        <v>30</v>
      </c>
      <c r="E48" s="126"/>
      <c r="F48" s="127">
        <f>F47</f>
        <v>0</v>
      </c>
      <c r="G48" s="128"/>
      <c r="H48" s="128"/>
      <c r="I48" s="128"/>
      <c r="J48" s="128"/>
      <c r="K48" s="127">
        <f>K47</f>
        <v>0</v>
      </c>
      <c r="L48" s="129" t="e">
        <f>K48/F48</f>
        <v>#DIV/0!</v>
      </c>
      <c r="M48" s="131"/>
    </row>
    <row r="49" spans="1:14" s="71" customFormat="1" ht="15" customHeight="1">
      <c r="A49" s="510"/>
      <c r="B49" s="510"/>
      <c r="C49" s="510"/>
      <c r="D49" s="130"/>
      <c r="E49" s="130"/>
      <c r="F49" s="519"/>
      <c r="G49" s="520"/>
      <c r="H49" s="520"/>
      <c r="I49" s="520"/>
      <c r="J49" s="520"/>
      <c r="K49" s="519"/>
      <c r="L49" s="521"/>
      <c r="M49" s="131"/>
    </row>
    <row r="50" spans="1:14" s="71" customFormat="1" ht="15" customHeight="1">
      <c r="A50" s="70" t="s">
        <v>72</v>
      </c>
      <c r="B50" s="70"/>
      <c r="C50" s="70"/>
      <c r="D50" s="70"/>
      <c r="E50" s="70"/>
      <c r="I50" s="140"/>
      <c r="K50" s="70" t="s">
        <v>252</v>
      </c>
      <c r="L50" s="70"/>
      <c r="M50" s="70"/>
    </row>
    <row r="51" spans="1:14" s="71" customFormat="1" ht="15" customHeight="1">
      <c r="A51" s="274" t="s">
        <v>0</v>
      </c>
      <c r="B51" s="274" t="s">
        <v>7</v>
      </c>
      <c r="C51" s="274" t="s">
        <v>13</v>
      </c>
      <c r="D51" s="274" t="s">
        <v>14</v>
      </c>
      <c r="E51" s="274" t="s">
        <v>8</v>
      </c>
      <c r="F51" s="274" t="s">
        <v>1</v>
      </c>
      <c r="G51" s="274" t="s">
        <v>2</v>
      </c>
      <c r="H51" s="274" t="s">
        <v>15</v>
      </c>
      <c r="I51" s="141" t="s">
        <v>3</v>
      </c>
      <c r="J51" s="274" t="s">
        <v>4</v>
      </c>
      <c r="K51" s="274" t="s">
        <v>5</v>
      </c>
      <c r="L51" s="274" t="s">
        <v>12</v>
      </c>
      <c r="M51" s="274" t="s">
        <v>6</v>
      </c>
      <c r="N51" s="123"/>
    </row>
    <row r="52" spans="1:14" s="71" customFormat="1" ht="15" customHeight="1">
      <c r="A52" s="427">
        <v>9861</v>
      </c>
      <c r="B52" s="427" t="s">
        <v>917</v>
      </c>
      <c r="C52" s="89" t="s">
        <v>918</v>
      </c>
      <c r="D52" s="89" t="s">
        <v>883</v>
      </c>
      <c r="E52" s="89" t="s">
        <v>127</v>
      </c>
      <c r="F52" s="87">
        <f>6710*1.0936</f>
        <v>7338.0559999999996</v>
      </c>
      <c r="G52" s="93" t="s">
        <v>258</v>
      </c>
      <c r="H52" s="79"/>
      <c r="I52" s="80">
        <f>0.502+0.317+0.03</f>
        <v>0.84899999999999998</v>
      </c>
      <c r="J52" s="81">
        <v>2801</v>
      </c>
      <c r="K52" s="81">
        <f t="shared" ref="K52:K56" si="11">I52*J52</f>
        <v>2378.049</v>
      </c>
      <c r="L52" s="102"/>
      <c r="M52" s="102"/>
    </row>
    <row r="53" spans="1:14" s="123" customFormat="1" ht="15" customHeight="1">
      <c r="A53" s="428"/>
      <c r="B53" s="427"/>
      <c r="C53" s="427"/>
      <c r="D53" s="427"/>
      <c r="E53" s="89" t="s">
        <v>201</v>
      </c>
      <c r="F53" s="89"/>
      <c r="G53" s="93" t="s">
        <v>259</v>
      </c>
      <c r="H53" s="79"/>
      <c r="I53" s="80">
        <f>0.45+0.283+0.028</f>
        <v>0.76100000000000001</v>
      </c>
      <c r="J53" s="81">
        <v>2704</v>
      </c>
      <c r="K53" s="81">
        <f t="shared" si="11"/>
        <v>2057.7440000000001</v>
      </c>
      <c r="L53" s="102"/>
      <c r="M53" s="102"/>
      <c r="N53" s="71"/>
    </row>
    <row r="54" spans="1:14" s="71" customFormat="1" ht="15" customHeight="1">
      <c r="A54" s="428"/>
      <c r="B54" s="428"/>
      <c r="C54" s="428"/>
      <c r="D54" s="428"/>
      <c r="E54" s="428"/>
      <c r="F54" s="98"/>
      <c r="G54" s="91" t="s">
        <v>260</v>
      </c>
      <c r="H54" s="79"/>
      <c r="I54" s="80">
        <f>1.178+0.142+0.072</f>
        <v>1.3919999999999999</v>
      </c>
      <c r="J54" s="81">
        <v>4545</v>
      </c>
      <c r="K54" s="81">
        <f t="shared" si="11"/>
        <v>6326.6399999999994</v>
      </c>
      <c r="L54" s="102"/>
      <c r="M54" s="102"/>
    </row>
    <row r="55" spans="1:14" s="71" customFormat="1" ht="15" customHeight="1">
      <c r="A55" s="428"/>
      <c r="B55" s="428"/>
      <c r="C55" s="428"/>
      <c r="D55" s="428"/>
      <c r="E55" s="428"/>
      <c r="F55" s="98"/>
      <c r="G55" s="427" t="s">
        <v>184</v>
      </c>
      <c r="H55" s="79"/>
      <c r="I55" s="80">
        <f>7.5+4.7+0.5</f>
        <v>12.7</v>
      </c>
      <c r="J55" s="81">
        <v>336</v>
      </c>
      <c r="K55" s="81">
        <f t="shared" si="11"/>
        <v>4267.2</v>
      </c>
      <c r="L55" s="102"/>
      <c r="M55" s="102"/>
    </row>
    <row r="56" spans="1:14" s="71" customFormat="1" ht="15" customHeight="1">
      <c r="A56" s="428"/>
      <c r="B56" s="428"/>
      <c r="C56" s="428"/>
      <c r="D56" s="428"/>
      <c r="E56" s="428"/>
      <c r="F56" s="98"/>
      <c r="G56" s="95" t="s">
        <v>185</v>
      </c>
      <c r="H56" s="79"/>
      <c r="I56" s="96">
        <f>1.5+0.94+0.1</f>
        <v>2.54</v>
      </c>
      <c r="J56" s="81">
        <v>490</v>
      </c>
      <c r="K56" s="81">
        <f t="shared" si="11"/>
        <v>1244.5999999999999</v>
      </c>
      <c r="L56" s="102"/>
      <c r="M56" s="102"/>
    </row>
    <row r="57" spans="1:14" s="71" customFormat="1" ht="15" customHeight="1">
      <c r="A57" s="428"/>
      <c r="B57" s="428"/>
      <c r="C57" s="428"/>
      <c r="D57" s="428"/>
      <c r="E57" s="274" t="s">
        <v>9</v>
      </c>
      <c r="F57" s="110">
        <f>SUM(F52:F56)</f>
        <v>7338.0559999999996</v>
      </c>
      <c r="G57" s="274"/>
      <c r="H57" s="274"/>
      <c r="I57" s="125"/>
      <c r="J57" s="97"/>
      <c r="K57" s="111">
        <f>SUM(K52:K56)</f>
        <v>16274.232999999998</v>
      </c>
      <c r="L57" s="111">
        <f>K57/F57</f>
        <v>2.2177853371519651</v>
      </c>
      <c r="M57" s="102"/>
    </row>
    <row r="58" spans="1:14" s="71" customFormat="1" ht="15" customHeight="1">
      <c r="A58" s="427">
        <v>9856</v>
      </c>
      <c r="B58" s="427" t="s">
        <v>277</v>
      </c>
      <c r="C58" s="427" t="s">
        <v>919</v>
      </c>
      <c r="D58" s="427" t="s">
        <v>920</v>
      </c>
      <c r="E58" s="427" t="s">
        <v>232</v>
      </c>
      <c r="F58" s="90">
        <f>40*1.0936</f>
        <v>43.744</v>
      </c>
      <c r="G58" s="429" t="s">
        <v>405</v>
      </c>
      <c r="H58" s="79"/>
      <c r="I58" s="80">
        <f>0.345</f>
        <v>0.34499999999999997</v>
      </c>
      <c r="J58" s="81">
        <v>1708</v>
      </c>
      <c r="K58" s="81">
        <f t="shared" ref="K58:K62" si="12">I58*J58</f>
        <v>589.26</v>
      </c>
      <c r="L58" s="102"/>
      <c r="M58" s="153"/>
    </row>
    <row r="59" spans="1:14" s="71" customFormat="1" ht="15" customHeight="1">
      <c r="A59" s="428"/>
      <c r="B59" s="428"/>
      <c r="C59" s="428"/>
      <c r="D59" s="428"/>
      <c r="E59" s="428"/>
      <c r="F59" s="98"/>
      <c r="G59" s="91" t="s">
        <v>192</v>
      </c>
      <c r="H59" s="79"/>
      <c r="I59" s="80">
        <f>0.143+0.014</f>
        <v>0.157</v>
      </c>
      <c r="J59" s="81">
        <v>1126</v>
      </c>
      <c r="K59" s="81">
        <f t="shared" si="12"/>
        <v>176.78200000000001</v>
      </c>
      <c r="L59" s="79"/>
      <c r="M59" s="102"/>
    </row>
    <row r="60" spans="1:14" s="71" customFormat="1" ht="15" customHeight="1">
      <c r="A60" s="428"/>
      <c r="B60" s="428"/>
      <c r="C60" s="428"/>
      <c r="D60" s="427"/>
      <c r="E60" s="229"/>
      <c r="F60" s="427"/>
      <c r="G60" s="91" t="s">
        <v>199</v>
      </c>
      <c r="H60" s="79"/>
      <c r="I60" s="80">
        <f>1.15</f>
        <v>1.1499999999999999</v>
      </c>
      <c r="J60" s="81">
        <v>530</v>
      </c>
      <c r="K60" s="81">
        <f t="shared" si="12"/>
        <v>609.5</v>
      </c>
      <c r="L60" s="79"/>
      <c r="M60" s="102"/>
    </row>
    <row r="61" spans="1:14" s="71" customFormat="1" ht="15" customHeight="1">
      <c r="A61" s="428"/>
      <c r="B61" s="428"/>
      <c r="C61" s="428"/>
      <c r="D61" s="428"/>
      <c r="E61" s="428"/>
      <c r="F61" s="98"/>
      <c r="G61" s="427" t="s">
        <v>184</v>
      </c>
      <c r="H61" s="427"/>
      <c r="I61" s="80">
        <v>0.5</v>
      </c>
      <c r="J61" s="81">
        <v>336</v>
      </c>
      <c r="K61" s="94">
        <f t="shared" si="12"/>
        <v>168</v>
      </c>
      <c r="L61" s="79"/>
      <c r="M61" s="102"/>
    </row>
    <row r="62" spans="1:14" s="71" customFormat="1" ht="15" customHeight="1">
      <c r="A62" s="428"/>
      <c r="B62" s="428"/>
      <c r="C62" s="428"/>
      <c r="D62" s="428"/>
      <c r="E62" s="428"/>
      <c r="F62" s="98"/>
      <c r="G62" s="95" t="s">
        <v>185</v>
      </c>
      <c r="H62" s="79"/>
      <c r="I62" s="96">
        <v>0.1</v>
      </c>
      <c r="J62" s="81">
        <v>490</v>
      </c>
      <c r="K62" s="81">
        <f t="shared" si="12"/>
        <v>49</v>
      </c>
      <c r="L62" s="79"/>
      <c r="M62" s="102"/>
    </row>
    <row r="63" spans="1:14" s="71" customFormat="1" ht="15" customHeight="1">
      <c r="A63" s="427"/>
      <c r="B63" s="428"/>
      <c r="C63" s="428"/>
      <c r="D63" s="428"/>
      <c r="E63" s="274" t="s">
        <v>9</v>
      </c>
      <c r="F63" s="110">
        <f>SUM(F58:F62)</f>
        <v>43.744</v>
      </c>
      <c r="G63" s="274"/>
      <c r="H63" s="274"/>
      <c r="I63" s="125"/>
      <c r="J63" s="97"/>
      <c r="K63" s="111">
        <f>SUM(K58:K62)</f>
        <v>1592.5419999999999</v>
      </c>
      <c r="L63" s="111">
        <f>K63/F63</f>
        <v>36.405952816386247</v>
      </c>
      <c r="M63" s="102"/>
    </row>
    <row r="64" spans="1:14" s="71" customFormat="1" ht="15" customHeight="1">
      <c r="A64" s="428">
        <v>9868</v>
      </c>
      <c r="B64" s="427" t="s">
        <v>921</v>
      </c>
      <c r="C64" s="427" t="s">
        <v>922</v>
      </c>
      <c r="D64" s="427" t="s">
        <v>923</v>
      </c>
      <c r="E64" s="427" t="s">
        <v>102</v>
      </c>
      <c r="F64" s="90">
        <f>45*1.0936</f>
        <v>49.211999999999996</v>
      </c>
      <c r="G64" s="429" t="s">
        <v>405</v>
      </c>
      <c r="H64" s="79"/>
      <c r="I64" s="80">
        <f>0.064+0.018</f>
        <v>8.2000000000000003E-2</v>
      </c>
      <c r="J64" s="81">
        <v>1708</v>
      </c>
      <c r="K64" s="81">
        <f t="shared" ref="K64:K68" si="13">I64*J64</f>
        <v>140.05600000000001</v>
      </c>
      <c r="L64" s="102"/>
      <c r="M64" s="102"/>
    </row>
    <row r="65" spans="1:13" s="71" customFormat="1" ht="15" customHeight="1">
      <c r="A65" s="428"/>
      <c r="B65" s="428"/>
      <c r="C65" s="427"/>
      <c r="D65" s="427"/>
      <c r="E65" s="427"/>
      <c r="F65" s="427"/>
      <c r="G65" s="429" t="s">
        <v>183</v>
      </c>
      <c r="H65" s="79"/>
      <c r="I65" s="80">
        <f>0.34+0.136+0.022</f>
        <v>0.49800000000000005</v>
      </c>
      <c r="J65" s="81">
        <v>1600</v>
      </c>
      <c r="K65" s="81">
        <f t="shared" si="13"/>
        <v>796.80000000000007</v>
      </c>
      <c r="L65" s="102"/>
      <c r="M65" s="102"/>
    </row>
    <row r="66" spans="1:13" s="71" customFormat="1" ht="15" customHeight="1">
      <c r="A66" s="428"/>
      <c r="B66" s="428"/>
      <c r="C66" s="428"/>
      <c r="D66" s="428"/>
      <c r="E66" s="428"/>
      <c r="F66" s="98"/>
      <c r="G66" s="91" t="s">
        <v>193</v>
      </c>
      <c r="H66" s="79"/>
      <c r="I66" s="80">
        <f>0.08+1.15+0.43</f>
        <v>1.66</v>
      </c>
      <c r="J66" s="81">
        <v>1150</v>
      </c>
      <c r="K66" s="81">
        <f t="shared" si="13"/>
        <v>1909</v>
      </c>
      <c r="L66" s="79"/>
      <c r="M66" s="102"/>
    </row>
    <row r="67" spans="1:13" s="71" customFormat="1" ht="15" customHeight="1">
      <c r="A67" s="428"/>
      <c r="B67" s="428"/>
      <c r="C67" s="428"/>
      <c r="D67" s="428"/>
      <c r="E67" s="428"/>
      <c r="F67" s="98"/>
      <c r="G67" s="427" t="s">
        <v>184</v>
      </c>
      <c r="H67" s="427"/>
      <c r="I67" s="80">
        <v>0.9</v>
      </c>
      <c r="J67" s="81">
        <v>336</v>
      </c>
      <c r="K67" s="94">
        <f t="shared" si="13"/>
        <v>302.40000000000003</v>
      </c>
      <c r="L67" s="102"/>
      <c r="M67" s="102"/>
    </row>
    <row r="68" spans="1:13" s="71" customFormat="1" ht="15" customHeight="1">
      <c r="A68" s="428"/>
      <c r="B68" s="428"/>
      <c r="C68" s="428"/>
      <c r="D68" s="428"/>
      <c r="E68" s="428"/>
      <c r="F68" s="98"/>
      <c r="G68" s="95" t="s">
        <v>185</v>
      </c>
      <c r="H68" s="79"/>
      <c r="I68" s="96">
        <v>0.18</v>
      </c>
      <c r="J68" s="81">
        <v>490</v>
      </c>
      <c r="K68" s="81">
        <f t="shared" si="13"/>
        <v>88.2</v>
      </c>
      <c r="L68" s="102"/>
      <c r="M68" s="102"/>
    </row>
    <row r="69" spans="1:13" s="71" customFormat="1" ht="15" customHeight="1">
      <c r="A69" s="428"/>
      <c r="B69" s="428"/>
      <c r="C69" s="428"/>
      <c r="D69" s="428"/>
      <c r="E69" s="274" t="s">
        <v>9</v>
      </c>
      <c r="F69" s="110">
        <f>SUM(F64:F68)</f>
        <v>49.211999999999996</v>
      </c>
      <c r="G69" s="274"/>
      <c r="H69" s="274"/>
      <c r="I69" s="125"/>
      <c r="J69" s="97"/>
      <c r="K69" s="111">
        <f>SUM(K64:K68)</f>
        <v>3236.4560000000001</v>
      </c>
      <c r="L69" s="111">
        <f>K69/F69</f>
        <v>65.765585629521269</v>
      </c>
      <c r="M69" s="102"/>
    </row>
    <row r="70" spans="1:13" s="71" customFormat="1" ht="15" customHeight="1">
      <c r="A70" s="428">
        <v>9877</v>
      </c>
      <c r="B70" s="427" t="s">
        <v>924</v>
      </c>
      <c r="C70" s="427" t="s">
        <v>121</v>
      </c>
      <c r="D70" s="427" t="s">
        <v>120</v>
      </c>
      <c r="E70" s="427" t="s">
        <v>925</v>
      </c>
      <c r="F70" s="160">
        <f>50*1.0936</f>
        <v>54.679999999999993</v>
      </c>
      <c r="G70" s="91" t="s">
        <v>346</v>
      </c>
      <c r="H70" s="79"/>
      <c r="I70" s="80">
        <v>3.3000000000000002E-2</v>
      </c>
      <c r="J70" s="81">
        <v>3837</v>
      </c>
      <c r="K70" s="81">
        <f t="shared" ref="K70" si="14">I70*J70</f>
        <v>126.62100000000001</v>
      </c>
      <c r="L70" s="79"/>
      <c r="M70" s="102"/>
    </row>
    <row r="71" spans="1:13" s="71" customFormat="1" ht="15" customHeight="1">
      <c r="A71" s="428"/>
      <c r="B71" s="428"/>
      <c r="C71" s="428"/>
      <c r="D71" s="428"/>
      <c r="E71" s="428"/>
      <c r="F71" s="98"/>
      <c r="G71" s="91" t="s">
        <v>926</v>
      </c>
      <c r="H71" s="79"/>
      <c r="I71" s="80">
        <v>2E-3</v>
      </c>
      <c r="J71" s="81">
        <v>2152</v>
      </c>
      <c r="K71" s="81">
        <f t="shared" ref="K71:K74" si="15">I71*J71</f>
        <v>4.3040000000000003</v>
      </c>
      <c r="L71" s="102"/>
      <c r="M71" s="102"/>
    </row>
    <row r="72" spans="1:13" s="71" customFormat="1" ht="15" customHeight="1">
      <c r="A72" s="428"/>
      <c r="B72" s="428"/>
      <c r="C72" s="428"/>
      <c r="D72" s="428"/>
      <c r="E72" s="428"/>
      <c r="F72" s="98"/>
      <c r="G72" s="93" t="s">
        <v>315</v>
      </c>
      <c r="H72" s="79"/>
      <c r="I72" s="80">
        <v>0.09</v>
      </c>
      <c r="J72" s="81">
        <v>2184</v>
      </c>
      <c r="K72" s="81">
        <f t="shared" si="15"/>
        <v>196.56</v>
      </c>
      <c r="L72" s="102"/>
      <c r="M72" s="102"/>
    </row>
    <row r="73" spans="1:13" s="71" customFormat="1" ht="15" customHeight="1">
      <c r="A73" s="428"/>
      <c r="B73" s="428"/>
      <c r="C73" s="428"/>
      <c r="D73" s="428"/>
      <c r="E73" s="428"/>
      <c r="F73" s="98"/>
      <c r="G73" s="427" t="s">
        <v>184</v>
      </c>
      <c r="H73" s="427"/>
      <c r="I73" s="80">
        <v>0.5</v>
      </c>
      <c r="J73" s="81">
        <v>336</v>
      </c>
      <c r="K73" s="94">
        <f t="shared" si="15"/>
        <v>168</v>
      </c>
      <c r="L73" s="102"/>
      <c r="M73" s="102"/>
    </row>
    <row r="74" spans="1:13" s="71" customFormat="1" ht="15" customHeight="1">
      <c r="A74" s="428"/>
      <c r="B74" s="428"/>
      <c r="C74" s="428"/>
      <c r="D74" s="428"/>
      <c r="E74" s="428"/>
      <c r="F74" s="98"/>
      <c r="G74" s="95" t="s">
        <v>185</v>
      </c>
      <c r="H74" s="79"/>
      <c r="I74" s="96">
        <v>0.1</v>
      </c>
      <c r="J74" s="81">
        <v>490</v>
      </c>
      <c r="K74" s="81">
        <f t="shared" si="15"/>
        <v>49</v>
      </c>
      <c r="L74" s="102"/>
      <c r="M74" s="102"/>
    </row>
    <row r="75" spans="1:13" s="71" customFormat="1" ht="15" customHeight="1">
      <c r="A75" s="428"/>
      <c r="B75" s="428"/>
      <c r="C75" s="428"/>
      <c r="D75" s="428"/>
      <c r="E75" s="274" t="s">
        <v>9</v>
      </c>
      <c r="F75" s="110">
        <f>SUM(F70:F74)</f>
        <v>54.679999999999993</v>
      </c>
      <c r="G75" s="274"/>
      <c r="H75" s="274"/>
      <c r="I75" s="125"/>
      <c r="J75" s="97"/>
      <c r="K75" s="111">
        <f>SUM(K70:K74)</f>
        <v>544.48500000000001</v>
      </c>
      <c r="L75" s="111">
        <f>K75/F75</f>
        <v>9.9576627651792258</v>
      </c>
      <c r="M75" s="102"/>
    </row>
    <row r="76" spans="1:13" s="71" customFormat="1" ht="15" customHeight="1">
      <c r="A76" s="427">
        <v>9869</v>
      </c>
      <c r="B76" s="281" t="s">
        <v>927</v>
      </c>
      <c r="C76" s="427" t="s">
        <v>513</v>
      </c>
      <c r="D76" s="427" t="s">
        <v>486</v>
      </c>
      <c r="E76" s="427" t="s">
        <v>232</v>
      </c>
      <c r="F76" s="160">
        <f>1550*1.0936</f>
        <v>1695.08</v>
      </c>
      <c r="G76" s="93" t="s">
        <v>190</v>
      </c>
      <c r="H76" s="79"/>
      <c r="I76" s="80">
        <f>1.05+0.378+0.075+0.19+0.165</f>
        <v>1.8579999999999999</v>
      </c>
      <c r="J76" s="81">
        <v>644</v>
      </c>
      <c r="K76" s="81">
        <f t="shared" ref="K76:K82" si="16">I76*J76</f>
        <v>1196.5519999999999</v>
      </c>
      <c r="L76" s="102"/>
      <c r="M76" s="102"/>
    </row>
    <row r="77" spans="1:13" s="71" customFormat="1" ht="15" customHeight="1">
      <c r="A77" s="428"/>
      <c r="B77" s="428"/>
      <c r="C77" s="428"/>
      <c r="D77" s="428"/>
      <c r="E77" s="428"/>
      <c r="F77" s="98"/>
      <c r="G77" s="91" t="s">
        <v>192</v>
      </c>
      <c r="H77" s="79"/>
      <c r="I77" s="80">
        <f>0.98+0.254+0.045+0.375+0.3+0.13+0.115+0.12</f>
        <v>2.3190000000000004</v>
      </c>
      <c r="J77" s="81">
        <v>1126</v>
      </c>
      <c r="K77" s="81">
        <f t="shared" si="16"/>
        <v>2611.1940000000004</v>
      </c>
      <c r="L77" s="102"/>
      <c r="M77" s="102"/>
    </row>
    <row r="78" spans="1:13" s="71" customFormat="1" ht="15" customHeight="1">
      <c r="A78" s="428"/>
      <c r="B78" s="428"/>
      <c r="C78" s="428"/>
      <c r="D78" s="428"/>
      <c r="E78" s="428"/>
      <c r="F78" s="98"/>
      <c r="G78" s="91" t="s">
        <v>199</v>
      </c>
      <c r="H78" s="79"/>
      <c r="I78" s="80">
        <f>3.036+15.4+0.18+0.808+0.7</f>
        <v>20.123999999999999</v>
      </c>
      <c r="J78" s="81">
        <v>530</v>
      </c>
      <c r="K78" s="81">
        <f t="shared" si="16"/>
        <v>10665.72</v>
      </c>
      <c r="L78" s="79"/>
      <c r="M78" s="102"/>
    </row>
    <row r="79" spans="1:13" s="71" customFormat="1" ht="15" customHeight="1">
      <c r="A79" s="433"/>
      <c r="B79" s="433"/>
      <c r="C79" s="433"/>
      <c r="D79" s="433"/>
      <c r="E79" s="433"/>
      <c r="F79" s="98"/>
      <c r="G79" s="435" t="s">
        <v>405</v>
      </c>
      <c r="H79" s="79"/>
      <c r="I79" s="80">
        <f>0.375+0.6+0.054</f>
        <v>1.0289999999999999</v>
      </c>
      <c r="J79" s="81">
        <v>1708</v>
      </c>
      <c r="K79" s="81">
        <f t="shared" si="16"/>
        <v>1757.5319999999999</v>
      </c>
      <c r="L79" s="79"/>
      <c r="M79" s="102"/>
    </row>
    <row r="80" spans="1:13" s="71" customFormat="1" ht="15" customHeight="1">
      <c r="A80" s="433"/>
      <c r="B80" s="433"/>
      <c r="C80" s="433"/>
      <c r="D80" s="433"/>
      <c r="E80" s="433"/>
      <c r="F80" s="98"/>
      <c r="G80" s="91" t="s">
        <v>193</v>
      </c>
      <c r="H80" s="79"/>
      <c r="I80" s="80">
        <v>0.435</v>
      </c>
      <c r="J80" s="81">
        <v>1150</v>
      </c>
      <c r="K80" s="81">
        <f t="shared" si="16"/>
        <v>500.25</v>
      </c>
      <c r="L80" s="79"/>
      <c r="M80" s="102"/>
    </row>
    <row r="81" spans="1:13" s="71" customFormat="1" ht="15" customHeight="1">
      <c r="A81" s="428"/>
      <c r="B81" s="428"/>
      <c r="C81" s="428"/>
      <c r="D81" s="428"/>
      <c r="E81" s="428"/>
      <c r="F81" s="98"/>
      <c r="G81" s="427" t="s">
        <v>184</v>
      </c>
      <c r="H81" s="427"/>
      <c r="I81" s="80">
        <v>4</v>
      </c>
      <c r="J81" s="81">
        <v>336</v>
      </c>
      <c r="K81" s="94">
        <f t="shared" si="16"/>
        <v>1344</v>
      </c>
      <c r="L81" s="102"/>
      <c r="M81" s="102"/>
    </row>
    <row r="82" spans="1:13" s="71" customFormat="1" ht="15" customHeight="1">
      <c r="A82" s="428"/>
      <c r="B82" s="428"/>
      <c r="C82" s="428"/>
      <c r="D82" s="428"/>
      <c r="E82" s="428"/>
      <c r="F82" s="98"/>
      <c r="G82" s="95" t="s">
        <v>185</v>
      </c>
      <c r="H82" s="79"/>
      <c r="I82" s="96">
        <v>0.8</v>
      </c>
      <c r="J82" s="81">
        <v>490</v>
      </c>
      <c r="K82" s="81">
        <f t="shared" si="16"/>
        <v>392</v>
      </c>
      <c r="L82" s="102"/>
      <c r="M82" s="102"/>
    </row>
    <row r="83" spans="1:13" s="71" customFormat="1" ht="15" customHeight="1">
      <c r="A83" s="428"/>
      <c r="B83" s="428"/>
      <c r="C83" s="428"/>
      <c r="D83" s="428"/>
      <c r="E83" s="274" t="s">
        <v>9</v>
      </c>
      <c r="F83" s="110">
        <f>SUM(F76:F82)</f>
        <v>1695.08</v>
      </c>
      <c r="G83" s="274"/>
      <c r="H83" s="274"/>
      <c r="I83" s="125"/>
      <c r="J83" s="97"/>
      <c r="K83" s="111">
        <f>SUM(K76:K82)</f>
        <v>18467.248</v>
      </c>
      <c r="L83" s="111">
        <f>K83/F83</f>
        <v>10.894617363192298</v>
      </c>
      <c r="M83" s="102"/>
    </row>
    <row r="84" spans="1:13" s="71" customFormat="1" ht="15" customHeight="1">
      <c r="A84" s="427">
        <v>9858</v>
      </c>
      <c r="B84" s="427" t="s">
        <v>891</v>
      </c>
      <c r="C84" s="427" t="s">
        <v>121</v>
      </c>
      <c r="D84" s="427" t="s">
        <v>369</v>
      </c>
      <c r="E84" s="427" t="s">
        <v>811</v>
      </c>
      <c r="F84" s="160">
        <f>50*1.0936</f>
        <v>54.679999999999993</v>
      </c>
      <c r="G84" s="93" t="s">
        <v>190</v>
      </c>
      <c r="H84" s="79"/>
      <c r="I84" s="80">
        <v>0.24</v>
      </c>
      <c r="J84" s="81">
        <v>644</v>
      </c>
      <c r="K84" s="81">
        <f t="shared" ref="K84:K88" si="17">I84*J84</f>
        <v>154.56</v>
      </c>
      <c r="L84" s="102"/>
      <c r="M84" s="102"/>
    </row>
    <row r="85" spans="1:13" s="71" customFormat="1" ht="15" customHeight="1">
      <c r="A85" s="428"/>
      <c r="B85" s="427"/>
      <c r="C85" s="427"/>
      <c r="D85" s="427"/>
      <c r="E85" s="427"/>
      <c r="F85" s="98"/>
      <c r="G85" s="91" t="s">
        <v>192</v>
      </c>
      <c r="H85" s="79"/>
      <c r="I85" s="80">
        <v>0.15</v>
      </c>
      <c r="J85" s="81">
        <v>1126</v>
      </c>
      <c r="K85" s="81">
        <f t="shared" si="17"/>
        <v>168.9</v>
      </c>
      <c r="L85" s="102"/>
      <c r="M85" s="102"/>
    </row>
    <row r="86" spans="1:13" s="71" customFormat="1" ht="15" customHeight="1">
      <c r="A86" s="428"/>
      <c r="B86" s="428"/>
      <c r="C86" s="428"/>
      <c r="D86" s="428"/>
      <c r="E86" s="428"/>
      <c r="F86" s="98"/>
      <c r="G86" s="91" t="s">
        <v>193</v>
      </c>
      <c r="H86" s="79"/>
      <c r="I86" s="80">
        <v>1.105</v>
      </c>
      <c r="J86" s="81">
        <v>1150</v>
      </c>
      <c r="K86" s="81">
        <f t="shared" si="17"/>
        <v>1270.75</v>
      </c>
      <c r="L86" s="79"/>
      <c r="M86" s="102"/>
    </row>
    <row r="87" spans="1:13" s="71" customFormat="1" ht="15" customHeight="1">
      <c r="A87" s="428"/>
      <c r="B87" s="428"/>
      <c r="C87" s="428"/>
      <c r="D87" s="428"/>
      <c r="E87" s="428"/>
      <c r="F87" s="98"/>
      <c r="G87" s="427" t="s">
        <v>184</v>
      </c>
      <c r="H87" s="427"/>
      <c r="I87" s="80">
        <v>0.5</v>
      </c>
      <c r="J87" s="81">
        <v>336</v>
      </c>
      <c r="K87" s="94">
        <f t="shared" si="17"/>
        <v>168</v>
      </c>
      <c r="L87" s="102"/>
      <c r="M87" s="102"/>
    </row>
    <row r="88" spans="1:13" s="71" customFormat="1" ht="15" customHeight="1">
      <c r="A88" s="428"/>
      <c r="B88" s="428"/>
      <c r="C88" s="428"/>
      <c r="D88" s="428"/>
      <c r="E88" s="428"/>
      <c r="F88" s="98"/>
      <c r="G88" s="95" t="s">
        <v>185</v>
      </c>
      <c r="H88" s="79"/>
      <c r="I88" s="96">
        <v>0.1</v>
      </c>
      <c r="J88" s="81">
        <v>490</v>
      </c>
      <c r="K88" s="81">
        <f t="shared" si="17"/>
        <v>49</v>
      </c>
      <c r="L88" s="102"/>
      <c r="M88" s="102"/>
    </row>
    <row r="89" spans="1:13" s="71" customFormat="1" ht="15" customHeight="1">
      <c r="A89" s="428"/>
      <c r="B89" s="428"/>
      <c r="C89" s="428"/>
      <c r="D89" s="428"/>
      <c r="E89" s="274" t="s">
        <v>9</v>
      </c>
      <c r="F89" s="110">
        <f>SUM(F84:F88)</f>
        <v>54.679999999999993</v>
      </c>
      <c r="G89" s="274"/>
      <c r="H89" s="274"/>
      <c r="I89" s="125"/>
      <c r="J89" s="97"/>
      <c r="K89" s="111">
        <f>SUM(K84:K88)</f>
        <v>1811.21</v>
      </c>
      <c r="L89" s="111">
        <f>K89/F89</f>
        <v>33.123811265544994</v>
      </c>
      <c r="M89" s="102"/>
    </row>
    <row r="90" spans="1:13" s="71" customFormat="1" ht="15" customHeight="1">
      <c r="A90" s="428">
        <v>9864</v>
      </c>
      <c r="B90" s="427" t="s">
        <v>873</v>
      </c>
      <c r="C90" s="427" t="s">
        <v>121</v>
      </c>
      <c r="D90" s="427" t="s">
        <v>120</v>
      </c>
      <c r="E90" s="427" t="s">
        <v>928</v>
      </c>
      <c r="F90" s="160">
        <f>50*1.0936</f>
        <v>54.679999999999993</v>
      </c>
      <c r="G90" s="429" t="s">
        <v>314</v>
      </c>
      <c r="H90" s="79"/>
      <c r="I90" s="80">
        <v>2.9000000000000001E-2</v>
      </c>
      <c r="J90" s="81">
        <v>1695</v>
      </c>
      <c r="K90" s="81">
        <f t="shared" ref="K90:K94" si="18">I90*J90</f>
        <v>49.155000000000001</v>
      </c>
      <c r="L90" s="102"/>
      <c r="M90" s="102"/>
    </row>
    <row r="91" spans="1:13" s="71" customFormat="1" ht="15" customHeight="1">
      <c r="A91" s="428"/>
      <c r="B91" s="428"/>
      <c r="C91" s="428"/>
      <c r="D91" s="428"/>
      <c r="E91" s="428"/>
      <c r="F91" s="98"/>
      <c r="G91" s="91" t="s">
        <v>279</v>
      </c>
      <c r="H91" s="79"/>
      <c r="I91" s="80">
        <v>8.3000000000000004E-2</v>
      </c>
      <c r="J91" s="81">
        <v>689</v>
      </c>
      <c r="K91" s="81">
        <f t="shared" si="18"/>
        <v>57.187000000000005</v>
      </c>
      <c r="L91" s="79"/>
      <c r="M91" s="102"/>
    </row>
    <row r="92" spans="1:13" s="71" customFormat="1" ht="15" customHeight="1">
      <c r="A92" s="428"/>
      <c r="B92" s="428"/>
      <c r="C92" s="428"/>
      <c r="D92" s="428"/>
      <c r="E92" s="428"/>
      <c r="F92" s="98"/>
      <c r="G92" s="93" t="s">
        <v>315</v>
      </c>
      <c r="H92" s="79"/>
      <c r="I92" s="80">
        <v>0.155</v>
      </c>
      <c r="J92" s="81">
        <v>2184</v>
      </c>
      <c r="K92" s="81">
        <f t="shared" si="18"/>
        <v>338.52</v>
      </c>
      <c r="L92" s="102"/>
      <c r="M92" s="102"/>
    </row>
    <row r="93" spans="1:13" s="71" customFormat="1" ht="15" customHeight="1">
      <c r="A93" s="428"/>
      <c r="B93" s="428"/>
      <c r="C93" s="428"/>
      <c r="D93" s="428"/>
      <c r="E93" s="428"/>
      <c r="F93" s="98"/>
      <c r="G93" s="427" t="s">
        <v>184</v>
      </c>
      <c r="H93" s="427"/>
      <c r="I93" s="80">
        <v>0.5</v>
      </c>
      <c r="J93" s="81">
        <v>336</v>
      </c>
      <c r="K93" s="94">
        <f t="shared" si="18"/>
        <v>168</v>
      </c>
      <c r="L93" s="102"/>
      <c r="M93" s="102"/>
    </row>
    <row r="94" spans="1:13" s="71" customFormat="1" ht="15" customHeight="1">
      <c r="A94" s="428"/>
      <c r="B94" s="428"/>
      <c r="C94" s="428"/>
      <c r="D94" s="428"/>
      <c r="E94" s="428"/>
      <c r="F94" s="98"/>
      <c r="G94" s="95" t="s">
        <v>185</v>
      </c>
      <c r="H94" s="79"/>
      <c r="I94" s="96">
        <v>0.1</v>
      </c>
      <c r="J94" s="81">
        <v>490</v>
      </c>
      <c r="K94" s="81">
        <f t="shared" si="18"/>
        <v>49</v>
      </c>
      <c r="L94" s="102"/>
      <c r="M94" s="102"/>
    </row>
    <row r="95" spans="1:13" s="71" customFormat="1" ht="15" customHeight="1">
      <c r="A95" s="428"/>
      <c r="B95" s="428"/>
      <c r="C95" s="428"/>
      <c r="D95" s="428"/>
      <c r="E95" s="274" t="s">
        <v>9</v>
      </c>
      <c r="F95" s="110">
        <f>SUM(F90:F94)</f>
        <v>54.679999999999993</v>
      </c>
      <c r="G95" s="274"/>
      <c r="H95" s="274"/>
      <c r="I95" s="125"/>
      <c r="J95" s="97"/>
      <c r="K95" s="111">
        <f>SUM(K90:K94)</f>
        <v>661.86199999999997</v>
      </c>
      <c r="L95" s="111">
        <f>K95/F95</f>
        <v>12.10427944403804</v>
      </c>
      <c r="M95" s="102"/>
    </row>
    <row r="96" spans="1:13" s="71" customFormat="1" ht="15" customHeight="1">
      <c r="A96" s="428">
        <v>9865</v>
      </c>
      <c r="B96" s="427" t="s">
        <v>929</v>
      </c>
      <c r="C96" s="427" t="s">
        <v>121</v>
      </c>
      <c r="D96" s="427" t="s">
        <v>826</v>
      </c>
      <c r="E96" s="427" t="s">
        <v>930</v>
      </c>
      <c r="F96" s="160">
        <f>45*1.0936</f>
        <v>49.211999999999996</v>
      </c>
      <c r="G96" s="93" t="s">
        <v>190</v>
      </c>
      <c r="H96" s="79"/>
      <c r="I96" s="80">
        <v>0.53</v>
      </c>
      <c r="J96" s="81">
        <v>644</v>
      </c>
      <c r="K96" s="81">
        <f t="shared" ref="K96:K100" si="19">I96*J96</f>
        <v>341.32</v>
      </c>
      <c r="L96" s="102"/>
      <c r="M96" s="102"/>
    </row>
    <row r="97" spans="1:13" s="71" customFormat="1" ht="15" customHeight="1">
      <c r="A97" s="428"/>
      <c r="B97" s="428"/>
      <c r="C97" s="428"/>
      <c r="D97" s="428"/>
      <c r="E97" s="428"/>
      <c r="F97" s="98"/>
      <c r="G97" s="91" t="s">
        <v>195</v>
      </c>
      <c r="H97" s="79"/>
      <c r="I97" s="80">
        <v>0.17799999999999999</v>
      </c>
      <c r="J97" s="81">
        <v>645</v>
      </c>
      <c r="K97" s="81">
        <f t="shared" si="19"/>
        <v>114.80999999999999</v>
      </c>
      <c r="L97" s="102"/>
      <c r="M97" s="102"/>
    </row>
    <row r="98" spans="1:13" s="71" customFormat="1" ht="15" customHeight="1">
      <c r="A98" s="428"/>
      <c r="B98" s="428"/>
      <c r="C98" s="428"/>
      <c r="D98" s="428"/>
      <c r="E98" s="428"/>
      <c r="F98" s="98"/>
      <c r="G98" s="91" t="s">
        <v>194</v>
      </c>
      <c r="H98" s="79"/>
      <c r="I98" s="80">
        <v>0.77500000000000002</v>
      </c>
      <c r="J98" s="81">
        <v>879</v>
      </c>
      <c r="K98" s="81">
        <f t="shared" si="19"/>
        <v>681.22500000000002</v>
      </c>
      <c r="L98" s="79"/>
      <c r="M98" s="102"/>
    </row>
    <row r="99" spans="1:13" s="71" customFormat="1" ht="15" customHeight="1">
      <c r="A99" s="428"/>
      <c r="B99" s="428"/>
      <c r="C99" s="428"/>
      <c r="D99" s="428"/>
      <c r="E99" s="428"/>
      <c r="F99" s="98"/>
      <c r="G99" s="427" t="s">
        <v>184</v>
      </c>
      <c r="H99" s="427"/>
      <c r="I99" s="80">
        <v>0.5</v>
      </c>
      <c r="J99" s="81">
        <v>336</v>
      </c>
      <c r="K99" s="94">
        <f t="shared" si="19"/>
        <v>168</v>
      </c>
      <c r="L99" s="102"/>
      <c r="M99" s="102"/>
    </row>
    <row r="100" spans="1:13" s="71" customFormat="1" ht="15" customHeight="1">
      <c r="A100" s="428"/>
      <c r="B100" s="428"/>
      <c r="C100" s="428"/>
      <c r="D100" s="428"/>
      <c r="E100" s="428"/>
      <c r="F100" s="98"/>
      <c r="G100" s="95" t="s">
        <v>185</v>
      </c>
      <c r="H100" s="79"/>
      <c r="I100" s="96">
        <v>0.1</v>
      </c>
      <c r="J100" s="81">
        <v>490</v>
      </c>
      <c r="K100" s="81">
        <f t="shared" si="19"/>
        <v>49</v>
      </c>
      <c r="L100" s="102"/>
      <c r="M100" s="102"/>
    </row>
    <row r="101" spans="1:13" s="71" customFormat="1" ht="15" customHeight="1">
      <c r="A101" s="428"/>
      <c r="B101" s="428"/>
      <c r="C101" s="428"/>
      <c r="D101" s="428"/>
      <c r="E101" s="274" t="s">
        <v>9</v>
      </c>
      <c r="F101" s="110">
        <f>SUM(F96:F100)</f>
        <v>49.211999999999996</v>
      </c>
      <c r="G101" s="274"/>
      <c r="H101" s="274"/>
      <c r="I101" s="125"/>
      <c r="J101" s="97"/>
      <c r="K101" s="111">
        <f>SUM(K96:K100)</f>
        <v>1354.355</v>
      </c>
      <c r="L101" s="111">
        <f>K101/F101</f>
        <v>27.520828253271564</v>
      </c>
      <c r="M101" s="102"/>
    </row>
    <row r="102" spans="1:13" s="71" customFormat="1" ht="15" customHeight="1">
      <c r="A102" s="428">
        <v>9863</v>
      </c>
      <c r="B102" s="427" t="s">
        <v>873</v>
      </c>
      <c r="C102" s="427" t="s">
        <v>121</v>
      </c>
      <c r="D102" s="427" t="s">
        <v>120</v>
      </c>
      <c r="E102" s="427" t="s">
        <v>931</v>
      </c>
      <c r="F102" s="160">
        <f>50*1.0936</f>
        <v>54.679999999999993</v>
      </c>
      <c r="G102" s="91" t="s">
        <v>196</v>
      </c>
      <c r="H102" s="79"/>
      <c r="I102" s="80">
        <f>0.51+0.1</f>
        <v>0.61</v>
      </c>
      <c r="J102" s="81">
        <v>888</v>
      </c>
      <c r="K102" s="81">
        <f t="shared" ref="K102:K106" si="20">I102*J102</f>
        <v>541.67999999999995</v>
      </c>
      <c r="L102" s="79"/>
      <c r="M102" s="102"/>
    </row>
    <row r="103" spans="1:13" s="71" customFormat="1" ht="15" customHeight="1">
      <c r="A103" s="428"/>
      <c r="B103" s="428"/>
      <c r="C103" s="428"/>
      <c r="D103" s="428"/>
      <c r="E103" s="428"/>
      <c r="F103" s="98"/>
      <c r="G103" s="429" t="s">
        <v>183</v>
      </c>
      <c r="H103" s="79"/>
      <c r="I103" s="80">
        <f>0.6+0.115</f>
        <v>0.71499999999999997</v>
      </c>
      <c r="J103" s="81">
        <v>1600</v>
      </c>
      <c r="K103" s="81">
        <f t="shared" si="20"/>
        <v>1144</v>
      </c>
      <c r="L103" s="102"/>
      <c r="M103" s="102"/>
    </row>
    <row r="104" spans="1:13" s="71" customFormat="1" ht="15" customHeight="1">
      <c r="A104" s="428"/>
      <c r="B104" s="428"/>
      <c r="C104" s="428"/>
      <c r="D104" s="428"/>
      <c r="E104" s="428"/>
      <c r="F104" s="98"/>
      <c r="G104" s="93" t="s">
        <v>315</v>
      </c>
      <c r="H104" s="79"/>
      <c r="I104" s="80">
        <f>0.015+0.004</f>
        <v>1.9E-2</v>
      </c>
      <c r="J104" s="81">
        <v>2184</v>
      </c>
      <c r="K104" s="81">
        <f t="shared" si="20"/>
        <v>41.496000000000002</v>
      </c>
      <c r="L104" s="102"/>
      <c r="M104" s="102"/>
    </row>
    <row r="105" spans="1:13" s="71" customFormat="1" ht="15" customHeight="1">
      <c r="A105" s="428"/>
      <c r="B105" s="428"/>
      <c r="C105" s="428"/>
      <c r="D105" s="428"/>
      <c r="E105" s="428"/>
      <c r="F105" s="98"/>
      <c r="G105" s="427" t="s">
        <v>184</v>
      </c>
      <c r="H105" s="427"/>
      <c r="I105" s="80">
        <v>0.5</v>
      </c>
      <c r="J105" s="81">
        <v>336</v>
      </c>
      <c r="K105" s="94">
        <f t="shared" si="20"/>
        <v>168</v>
      </c>
      <c r="L105" s="102"/>
      <c r="M105" s="102"/>
    </row>
    <row r="106" spans="1:13" s="71" customFormat="1" ht="15" customHeight="1">
      <c r="A106" s="428"/>
      <c r="B106" s="428"/>
      <c r="C106" s="428"/>
      <c r="D106" s="428"/>
      <c r="E106" s="428"/>
      <c r="F106" s="98"/>
      <c r="G106" s="95" t="s">
        <v>185</v>
      </c>
      <c r="H106" s="79"/>
      <c r="I106" s="96">
        <v>0.1</v>
      </c>
      <c r="J106" s="81">
        <v>490</v>
      </c>
      <c r="K106" s="81">
        <f t="shared" si="20"/>
        <v>49</v>
      </c>
      <c r="L106" s="102"/>
      <c r="M106" s="102"/>
    </row>
    <row r="107" spans="1:13" s="71" customFormat="1" ht="15" customHeight="1">
      <c r="A107" s="428"/>
      <c r="B107" s="428"/>
      <c r="C107" s="428"/>
      <c r="D107" s="428"/>
      <c r="E107" s="274" t="s">
        <v>9</v>
      </c>
      <c r="F107" s="110">
        <f>SUM(F102:F106)</f>
        <v>54.679999999999993</v>
      </c>
      <c r="G107" s="274"/>
      <c r="H107" s="274"/>
      <c r="I107" s="125"/>
      <c r="J107" s="97"/>
      <c r="K107" s="111">
        <f>SUM(K102:K106)</f>
        <v>1944.1759999999999</v>
      </c>
      <c r="L107" s="111">
        <f>K107/F107</f>
        <v>35.555523043160207</v>
      </c>
      <c r="M107" s="102"/>
    </row>
    <row r="108" spans="1:13" s="71" customFormat="1" ht="15" customHeight="1">
      <c r="A108" s="428">
        <v>9867</v>
      </c>
      <c r="B108" s="427" t="s">
        <v>520</v>
      </c>
      <c r="C108" s="89" t="s">
        <v>918</v>
      </c>
      <c r="D108" s="89" t="s">
        <v>883</v>
      </c>
      <c r="E108" s="89" t="s">
        <v>114</v>
      </c>
      <c r="F108" s="87">
        <f>1830*1.0936</f>
        <v>2001.2879999999998</v>
      </c>
      <c r="G108" s="429" t="s">
        <v>405</v>
      </c>
      <c r="H108" s="79"/>
      <c r="I108" s="80">
        <v>3.2069999999999999</v>
      </c>
      <c r="J108" s="81">
        <v>1708</v>
      </c>
      <c r="K108" s="81">
        <f t="shared" ref="K108:K112" si="21">I108*J108</f>
        <v>5477.5559999999996</v>
      </c>
      <c r="L108" s="102"/>
      <c r="M108" s="102"/>
    </row>
    <row r="109" spans="1:13" s="71" customFormat="1" ht="15" customHeight="1">
      <c r="A109" s="428"/>
      <c r="B109" s="427"/>
      <c r="C109" s="427"/>
      <c r="D109" s="427"/>
      <c r="E109" s="89"/>
      <c r="F109" s="89"/>
      <c r="G109" s="429" t="s">
        <v>183</v>
      </c>
      <c r="H109" s="79"/>
      <c r="I109" s="80">
        <v>0.88500000000000001</v>
      </c>
      <c r="J109" s="81">
        <v>1600</v>
      </c>
      <c r="K109" s="81">
        <f t="shared" si="21"/>
        <v>1416</v>
      </c>
      <c r="L109" s="102"/>
      <c r="M109" s="102"/>
    </row>
    <row r="110" spans="1:13" s="71" customFormat="1" ht="15" customHeight="1">
      <c r="A110" s="428"/>
      <c r="B110" s="428"/>
      <c r="C110" s="428"/>
      <c r="D110" s="428"/>
      <c r="E110" s="428"/>
      <c r="F110" s="98"/>
      <c r="G110" s="93" t="s">
        <v>315</v>
      </c>
      <c r="H110" s="79"/>
      <c r="I110" s="80">
        <v>3.891</v>
      </c>
      <c r="J110" s="81">
        <v>2184</v>
      </c>
      <c r="K110" s="81">
        <f t="shared" si="21"/>
        <v>8497.9439999999995</v>
      </c>
      <c r="L110" s="102"/>
      <c r="M110" s="102"/>
    </row>
    <row r="111" spans="1:13" s="71" customFormat="1" ht="15" customHeight="1">
      <c r="A111" s="428"/>
      <c r="B111" s="428"/>
      <c r="C111" s="428"/>
      <c r="D111" s="428"/>
      <c r="E111" s="428"/>
      <c r="F111" s="98"/>
      <c r="G111" s="427" t="s">
        <v>184</v>
      </c>
      <c r="H111" s="427"/>
      <c r="I111" s="80">
        <v>3</v>
      </c>
      <c r="J111" s="81">
        <v>336</v>
      </c>
      <c r="K111" s="94">
        <f t="shared" si="21"/>
        <v>1008</v>
      </c>
      <c r="L111" s="102"/>
      <c r="M111" s="102"/>
    </row>
    <row r="112" spans="1:13" s="71" customFormat="1" ht="15" customHeight="1">
      <c r="A112" s="428"/>
      <c r="B112" s="428"/>
      <c r="C112" s="428"/>
      <c r="D112" s="428"/>
      <c r="E112" s="428"/>
      <c r="F112" s="98"/>
      <c r="G112" s="95" t="s">
        <v>185</v>
      </c>
      <c r="H112" s="79"/>
      <c r="I112" s="96">
        <v>0.6</v>
      </c>
      <c r="J112" s="81">
        <v>490</v>
      </c>
      <c r="K112" s="81">
        <f t="shared" si="21"/>
        <v>294</v>
      </c>
      <c r="L112" s="102"/>
      <c r="M112" s="102"/>
    </row>
    <row r="113" spans="1:13" s="71" customFormat="1" ht="15" customHeight="1">
      <c r="A113" s="428"/>
      <c r="B113" s="428"/>
      <c r="C113" s="428"/>
      <c r="D113" s="428"/>
      <c r="E113" s="274" t="s">
        <v>9</v>
      </c>
      <c r="F113" s="110">
        <f>SUM(F108:F112)</f>
        <v>2001.2879999999998</v>
      </c>
      <c r="G113" s="274"/>
      <c r="H113" s="274"/>
      <c r="I113" s="125"/>
      <c r="J113" s="97"/>
      <c r="K113" s="111">
        <f>SUM(K108:K112)</f>
        <v>16693.5</v>
      </c>
      <c r="L113" s="111">
        <f>K113/F113</f>
        <v>8.3413781524698098</v>
      </c>
      <c r="M113" s="102"/>
    </row>
    <row r="114" spans="1:13" s="71" customFormat="1" ht="15" customHeight="1">
      <c r="A114" s="428">
        <v>9875</v>
      </c>
      <c r="B114" s="427" t="s">
        <v>932</v>
      </c>
      <c r="C114" s="427" t="s">
        <v>121</v>
      </c>
      <c r="D114" s="427" t="s">
        <v>120</v>
      </c>
      <c r="E114" s="427" t="s">
        <v>933</v>
      </c>
      <c r="F114" s="160">
        <f>50*1.0936</f>
        <v>54.679999999999993</v>
      </c>
      <c r="G114" s="429" t="s">
        <v>405</v>
      </c>
      <c r="H114" s="79"/>
      <c r="I114" s="80">
        <v>1.7000000000000001E-2</v>
      </c>
      <c r="J114" s="81">
        <v>1708</v>
      </c>
      <c r="K114" s="81">
        <f t="shared" ref="K114:K118" si="22">I114*J114</f>
        <v>29.036000000000001</v>
      </c>
      <c r="L114" s="102"/>
      <c r="M114" s="102"/>
    </row>
    <row r="115" spans="1:13" s="71" customFormat="1" ht="15" customHeight="1">
      <c r="A115" s="428"/>
      <c r="B115" s="428"/>
      <c r="C115" s="428"/>
      <c r="D115" s="428"/>
      <c r="E115" s="428"/>
      <c r="F115" s="98"/>
      <c r="G115" s="91" t="s">
        <v>926</v>
      </c>
      <c r="H115" s="79"/>
      <c r="I115" s="80">
        <v>2.9000000000000001E-2</v>
      </c>
      <c r="J115" s="81">
        <v>2152</v>
      </c>
      <c r="K115" s="81">
        <f t="shared" si="22"/>
        <v>62.408000000000001</v>
      </c>
      <c r="L115" s="102"/>
      <c r="M115" s="102"/>
    </row>
    <row r="116" spans="1:13" s="71" customFormat="1" ht="15" customHeight="1">
      <c r="A116" s="428"/>
      <c r="B116" s="428"/>
      <c r="C116" s="428"/>
      <c r="D116" s="428"/>
      <c r="E116" s="428"/>
      <c r="F116" s="98"/>
      <c r="G116" s="93" t="s">
        <v>315</v>
      </c>
      <c r="H116" s="79"/>
      <c r="I116" s="80">
        <v>0.33</v>
      </c>
      <c r="J116" s="81">
        <v>2184</v>
      </c>
      <c r="K116" s="81">
        <f t="shared" si="22"/>
        <v>720.72</v>
      </c>
      <c r="L116" s="79"/>
      <c r="M116" s="102"/>
    </row>
    <row r="117" spans="1:13" s="71" customFormat="1" ht="15" customHeight="1">
      <c r="A117" s="428"/>
      <c r="B117" s="428"/>
      <c r="C117" s="428"/>
      <c r="D117" s="428"/>
      <c r="E117" s="428"/>
      <c r="F117" s="98"/>
      <c r="G117" s="427" t="s">
        <v>184</v>
      </c>
      <c r="H117" s="427"/>
      <c r="I117" s="80">
        <v>0.6</v>
      </c>
      <c r="J117" s="81">
        <v>336</v>
      </c>
      <c r="K117" s="94">
        <f t="shared" si="22"/>
        <v>201.6</v>
      </c>
      <c r="L117" s="102"/>
      <c r="M117" s="102"/>
    </row>
    <row r="118" spans="1:13" s="71" customFormat="1" ht="15" customHeight="1">
      <c r="A118" s="428"/>
      <c r="B118" s="428"/>
      <c r="C118" s="428"/>
      <c r="D118" s="428"/>
      <c r="E118" s="428"/>
      <c r="F118" s="98"/>
      <c r="G118" s="95" t="s">
        <v>185</v>
      </c>
      <c r="H118" s="79"/>
      <c r="I118" s="96">
        <v>0.12</v>
      </c>
      <c r="J118" s="81">
        <v>490</v>
      </c>
      <c r="K118" s="81">
        <f t="shared" si="22"/>
        <v>58.8</v>
      </c>
      <c r="L118" s="102"/>
      <c r="M118" s="102"/>
    </row>
    <row r="119" spans="1:13" s="71" customFormat="1" ht="15" customHeight="1">
      <c r="A119" s="428"/>
      <c r="B119" s="428"/>
      <c r="C119" s="428"/>
      <c r="D119" s="428"/>
      <c r="E119" s="274" t="s">
        <v>9</v>
      </c>
      <c r="F119" s="110">
        <f>SUM(F114:F118)</f>
        <v>54.679999999999993</v>
      </c>
      <c r="G119" s="274"/>
      <c r="H119" s="274"/>
      <c r="I119" s="125"/>
      <c r="J119" s="97"/>
      <c r="K119" s="111">
        <f>SUM(K114:K118)</f>
        <v>1072.5640000000001</v>
      </c>
      <c r="L119" s="111">
        <f>K119/F119</f>
        <v>19.615288953913684</v>
      </c>
      <c r="M119" s="102"/>
    </row>
    <row r="120" spans="1:13" s="71" customFormat="1" ht="15" customHeight="1">
      <c r="A120" s="428">
        <v>9874</v>
      </c>
      <c r="B120" s="427" t="s">
        <v>895</v>
      </c>
      <c r="C120" s="427" t="s">
        <v>121</v>
      </c>
      <c r="D120" s="427" t="s">
        <v>120</v>
      </c>
      <c r="E120" s="427" t="s">
        <v>571</v>
      </c>
      <c r="F120" s="160">
        <f>50*1.0936</f>
        <v>54.679999999999993</v>
      </c>
      <c r="G120" s="429" t="s">
        <v>405</v>
      </c>
      <c r="H120" s="79"/>
      <c r="I120" s="80">
        <v>0.497</v>
      </c>
      <c r="J120" s="81">
        <v>1708</v>
      </c>
      <c r="K120" s="81">
        <f t="shared" ref="K120:K124" si="23">I120*J120</f>
        <v>848.87599999999998</v>
      </c>
      <c r="L120" s="102"/>
      <c r="M120" s="102"/>
    </row>
    <row r="121" spans="1:13" s="71" customFormat="1" ht="15" customHeight="1">
      <c r="A121" s="428"/>
      <c r="B121" s="428"/>
      <c r="C121" s="428"/>
      <c r="D121" s="428"/>
      <c r="E121" s="428"/>
      <c r="F121" s="98"/>
      <c r="G121" s="91" t="s">
        <v>926</v>
      </c>
      <c r="H121" s="79"/>
      <c r="I121" s="80">
        <v>0.14199999999999999</v>
      </c>
      <c r="J121" s="81">
        <v>2152</v>
      </c>
      <c r="K121" s="81">
        <f t="shared" si="23"/>
        <v>305.58399999999995</v>
      </c>
      <c r="L121" s="102"/>
      <c r="M121" s="102"/>
    </row>
    <row r="122" spans="1:13" s="71" customFormat="1" ht="15" customHeight="1">
      <c r="A122" s="428"/>
      <c r="B122" s="428"/>
      <c r="C122" s="428"/>
      <c r="D122" s="428"/>
      <c r="E122" s="428"/>
      <c r="F122" s="98"/>
      <c r="G122" s="93" t="s">
        <v>315</v>
      </c>
      <c r="H122" s="79"/>
      <c r="I122" s="80">
        <v>0.378</v>
      </c>
      <c r="J122" s="81">
        <v>2184</v>
      </c>
      <c r="K122" s="81">
        <f t="shared" si="23"/>
        <v>825.55200000000002</v>
      </c>
      <c r="L122" s="79"/>
      <c r="M122" s="102"/>
    </row>
    <row r="123" spans="1:13" s="71" customFormat="1" ht="15" customHeight="1">
      <c r="A123" s="428"/>
      <c r="B123" s="428"/>
      <c r="C123" s="428"/>
      <c r="D123" s="428"/>
      <c r="E123" s="428"/>
      <c r="F123" s="98"/>
      <c r="G123" s="427" t="s">
        <v>184</v>
      </c>
      <c r="H123" s="427"/>
      <c r="I123" s="80">
        <v>0.6</v>
      </c>
      <c r="J123" s="81">
        <v>336</v>
      </c>
      <c r="K123" s="94">
        <f t="shared" si="23"/>
        <v>201.6</v>
      </c>
      <c r="L123" s="102"/>
      <c r="M123" s="102"/>
    </row>
    <row r="124" spans="1:13" s="71" customFormat="1" ht="15" customHeight="1">
      <c r="A124" s="428"/>
      <c r="B124" s="428"/>
      <c r="C124" s="428"/>
      <c r="D124" s="428"/>
      <c r="E124" s="428"/>
      <c r="F124" s="98"/>
      <c r="G124" s="95" t="s">
        <v>185</v>
      </c>
      <c r="H124" s="79"/>
      <c r="I124" s="96">
        <v>0.12</v>
      </c>
      <c r="J124" s="81">
        <v>490</v>
      </c>
      <c r="K124" s="81">
        <f t="shared" si="23"/>
        <v>58.8</v>
      </c>
      <c r="L124" s="102"/>
      <c r="M124" s="102"/>
    </row>
    <row r="125" spans="1:13" s="71" customFormat="1" ht="15" customHeight="1">
      <c r="A125" s="428"/>
      <c r="B125" s="428"/>
      <c r="C125" s="428"/>
      <c r="D125" s="428"/>
      <c r="E125" s="274" t="s">
        <v>9</v>
      </c>
      <c r="F125" s="110">
        <f>SUM(F120:F124)</f>
        <v>54.679999999999993</v>
      </c>
      <c r="G125" s="274"/>
      <c r="H125" s="274"/>
      <c r="I125" s="125"/>
      <c r="J125" s="97"/>
      <c r="K125" s="111">
        <f>SUM(K120:K124)</f>
        <v>2240.4120000000003</v>
      </c>
      <c r="L125" s="111">
        <f>K125/F125</f>
        <v>40.973152889539151</v>
      </c>
      <c r="M125" s="102"/>
    </row>
    <row r="126" spans="1:13" s="71" customFormat="1" ht="15" customHeight="1">
      <c r="A126" s="428">
        <v>9873</v>
      </c>
      <c r="B126" s="427" t="s">
        <v>934</v>
      </c>
      <c r="C126" s="427" t="s">
        <v>121</v>
      </c>
      <c r="D126" s="427" t="s">
        <v>120</v>
      </c>
      <c r="E126" s="427" t="s">
        <v>129</v>
      </c>
      <c r="F126" s="160">
        <f>50*1.0936</f>
        <v>54.679999999999993</v>
      </c>
      <c r="G126" s="429" t="s">
        <v>405</v>
      </c>
      <c r="H126" s="79"/>
      <c r="I126" s="80">
        <f>0.231+0.052</f>
        <v>0.28300000000000003</v>
      </c>
      <c r="J126" s="81">
        <v>1708</v>
      </c>
      <c r="K126" s="81">
        <f t="shared" ref="K126:K130" si="24">I126*J126</f>
        <v>483.36400000000003</v>
      </c>
      <c r="L126" s="102"/>
      <c r="M126" s="102"/>
    </row>
    <row r="127" spans="1:13" s="71" customFormat="1" ht="15" customHeight="1">
      <c r="A127" s="428"/>
      <c r="B127" s="428"/>
      <c r="C127" s="428"/>
      <c r="D127" s="428"/>
      <c r="E127" s="428"/>
      <c r="F127" s="98"/>
      <c r="G127" s="429" t="s">
        <v>183</v>
      </c>
      <c r="H127" s="79"/>
      <c r="I127" s="80">
        <f>0.158+0.04</f>
        <v>0.19800000000000001</v>
      </c>
      <c r="J127" s="81">
        <v>1600</v>
      </c>
      <c r="K127" s="81">
        <f t="shared" si="24"/>
        <v>316.8</v>
      </c>
      <c r="L127" s="102"/>
      <c r="M127" s="102"/>
    </row>
    <row r="128" spans="1:13" s="71" customFormat="1" ht="15" customHeight="1">
      <c r="A128" s="428"/>
      <c r="B128" s="428"/>
      <c r="C128" s="428"/>
      <c r="D128" s="428"/>
      <c r="E128" s="428"/>
      <c r="F128" s="98"/>
      <c r="G128" s="91" t="s">
        <v>193</v>
      </c>
      <c r="H128" s="79"/>
      <c r="I128" s="80">
        <f>1.311+0.218</f>
        <v>1.5289999999999999</v>
      </c>
      <c r="J128" s="81">
        <v>1150</v>
      </c>
      <c r="K128" s="81">
        <f t="shared" si="24"/>
        <v>1758.35</v>
      </c>
      <c r="L128" s="79"/>
      <c r="M128" s="102"/>
    </row>
    <row r="129" spans="1:13" s="71" customFormat="1" ht="15" customHeight="1">
      <c r="A129" s="428"/>
      <c r="B129" s="428"/>
      <c r="C129" s="428"/>
      <c r="D129" s="428"/>
      <c r="E129" s="428"/>
      <c r="F129" s="98"/>
      <c r="G129" s="427" t="s">
        <v>184</v>
      </c>
      <c r="H129" s="427"/>
      <c r="I129" s="80">
        <v>0.6</v>
      </c>
      <c r="J129" s="81">
        <v>336</v>
      </c>
      <c r="K129" s="94">
        <f t="shared" si="24"/>
        <v>201.6</v>
      </c>
      <c r="L129" s="102"/>
      <c r="M129" s="102"/>
    </row>
    <row r="130" spans="1:13" s="71" customFormat="1" ht="15" customHeight="1">
      <c r="A130" s="428"/>
      <c r="B130" s="428"/>
      <c r="C130" s="428"/>
      <c r="D130" s="428"/>
      <c r="E130" s="428"/>
      <c r="F130" s="98"/>
      <c r="G130" s="95" t="s">
        <v>185</v>
      </c>
      <c r="H130" s="79"/>
      <c r="I130" s="96">
        <v>0.12</v>
      </c>
      <c r="J130" s="81">
        <v>490</v>
      </c>
      <c r="K130" s="81">
        <f t="shared" si="24"/>
        <v>58.8</v>
      </c>
      <c r="L130" s="102"/>
      <c r="M130" s="102"/>
    </row>
    <row r="131" spans="1:13" s="71" customFormat="1" ht="15" customHeight="1">
      <c r="A131" s="428"/>
      <c r="B131" s="428"/>
      <c r="C131" s="428"/>
      <c r="D131" s="428"/>
      <c r="E131" s="274" t="s">
        <v>9</v>
      </c>
      <c r="F131" s="110">
        <f>SUM(F126:F130)</f>
        <v>54.679999999999993</v>
      </c>
      <c r="G131" s="274"/>
      <c r="H131" s="274"/>
      <c r="I131" s="125"/>
      <c r="J131" s="97"/>
      <c r="K131" s="111">
        <f>SUM(K126:K130)</f>
        <v>2818.9140000000002</v>
      </c>
      <c r="L131" s="111">
        <f>K131/F131</f>
        <v>51.552926115581577</v>
      </c>
      <c r="M131" s="102"/>
    </row>
    <row r="132" spans="1:13" s="71" customFormat="1" ht="15" customHeight="1">
      <c r="A132" s="428">
        <v>9872</v>
      </c>
      <c r="B132" s="427" t="s">
        <v>935</v>
      </c>
      <c r="C132" s="427" t="s">
        <v>121</v>
      </c>
      <c r="D132" s="427" t="s">
        <v>120</v>
      </c>
      <c r="E132" s="427" t="s">
        <v>810</v>
      </c>
      <c r="F132" s="160">
        <f>50*1.0936</f>
        <v>54.679999999999993</v>
      </c>
      <c r="G132" s="429" t="s">
        <v>405</v>
      </c>
      <c r="H132" s="79"/>
      <c r="I132" s="80">
        <f>0.027+0.02</f>
        <v>4.7E-2</v>
      </c>
      <c r="J132" s="81">
        <v>1708</v>
      </c>
      <c r="K132" s="81">
        <f t="shared" ref="K132:K136" si="25">I132*J132</f>
        <v>80.275999999999996</v>
      </c>
      <c r="L132" s="102"/>
      <c r="M132" s="102"/>
    </row>
    <row r="133" spans="1:13" s="71" customFormat="1" ht="15" customHeight="1">
      <c r="A133" s="428"/>
      <c r="B133" s="428"/>
      <c r="C133" s="428"/>
      <c r="D133" s="428"/>
      <c r="E133" s="428"/>
      <c r="F133" s="98"/>
      <c r="G133" s="91" t="s">
        <v>192</v>
      </c>
      <c r="H133" s="79"/>
      <c r="I133" s="80">
        <f>0.204+0.04</f>
        <v>0.24399999999999999</v>
      </c>
      <c r="J133" s="81">
        <v>1126</v>
      </c>
      <c r="K133" s="81">
        <f t="shared" si="25"/>
        <v>274.74399999999997</v>
      </c>
      <c r="L133" s="102"/>
      <c r="M133" s="102"/>
    </row>
    <row r="134" spans="1:13" s="71" customFormat="1" ht="15" customHeight="1">
      <c r="A134" s="428"/>
      <c r="B134" s="428"/>
      <c r="C134" s="428"/>
      <c r="D134" s="428"/>
      <c r="E134" s="428"/>
      <c r="F134" s="98"/>
      <c r="G134" s="91" t="s">
        <v>193</v>
      </c>
      <c r="H134" s="79"/>
      <c r="I134" s="80">
        <f>1.278+0.213</f>
        <v>1.4910000000000001</v>
      </c>
      <c r="J134" s="81">
        <v>1150</v>
      </c>
      <c r="K134" s="81">
        <f t="shared" si="25"/>
        <v>1714.65</v>
      </c>
      <c r="L134" s="79"/>
      <c r="M134" s="102"/>
    </row>
    <row r="135" spans="1:13" s="71" customFormat="1" ht="15" customHeight="1">
      <c r="A135" s="428"/>
      <c r="B135" s="428"/>
      <c r="C135" s="428"/>
      <c r="D135" s="428"/>
      <c r="E135" s="428"/>
      <c r="F135" s="98"/>
      <c r="G135" s="427" t="s">
        <v>184</v>
      </c>
      <c r="H135" s="427"/>
      <c r="I135" s="80">
        <v>0.6</v>
      </c>
      <c r="J135" s="81">
        <v>336</v>
      </c>
      <c r="K135" s="94">
        <f t="shared" si="25"/>
        <v>201.6</v>
      </c>
      <c r="L135" s="102"/>
      <c r="M135" s="102"/>
    </row>
    <row r="136" spans="1:13" s="71" customFormat="1" ht="15" customHeight="1">
      <c r="A136" s="428"/>
      <c r="B136" s="428"/>
      <c r="C136" s="428"/>
      <c r="D136" s="428"/>
      <c r="E136" s="428"/>
      <c r="F136" s="98"/>
      <c r="G136" s="95" t="s">
        <v>185</v>
      </c>
      <c r="H136" s="79"/>
      <c r="I136" s="96">
        <v>0.12</v>
      </c>
      <c r="J136" s="81">
        <v>490</v>
      </c>
      <c r="K136" s="81">
        <f t="shared" si="25"/>
        <v>58.8</v>
      </c>
      <c r="L136" s="102"/>
      <c r="M136" s="102"/>
    </row>
    <row r="137" spans="1:13" s="71" customFormat="1" ht="15" customHeight="1">
      <c r="A137" s="428"/>
      <c r="B137" s="428"/>
      <c r="C137" s="428"/>
      <c r="D137" s="428"/>
      <c r="E137" s="274" t="s">
        <v>9</v>
      </c>
      <c r="F137" s="110">
        <f>SUM(F132:F136)</f>
        <v>54.679999999999993</v>
      </c>
      <c r="G137" s="274"/>
      <c r="H137" s="274"/>
      <c r="I137" s="125"/>
      <c r="J137" s="97"/>
      <c r="K137" s="111">
        <f>SUM(K132:K136)</f>
        <v>2330.0700000000002</v>
      </c>
      <c r="L137" s="111">
        <f>K137/F137</f>
        <v>42.61283833211413</v>
      </c>
      <c r="M137" s="102"/>
    </row>
    <row r="138" spans="1:13" s="71" customFormat="1" ht="15" customHeight="1">
      <c r="A138" s="428">
        <v>9881</v>
      </c>
      <c r="B138" s="552" t="s">
        <v>1146</v>
      </c>
      <c r="C138" s="427" t="s">
        <v>937</v>
      </c>
      <c r="D138" s="427" t="s">
        <v>486</v>
      </c>
      <c r="E138" s="427" t="s">
        <v>938</v>
      </c>
      <c r="F138" s="87">
        <f>2025*1.0936</f>
        <v>2214.54</v>
      </c>
      <c r="G138" s="429" t="s">
        <v>405</v>
      </c>
      <c r="H138" s="79"/>
      <c r="I138" s="80">
        <v>3.2850000000000001</v>
      </c>
      <c r="J138" s="81">
        <v>1708</v>
      </c>
      <c r="K138" s="81">
        <f t="shared" ref="K138:K142" si="26">I138*J138</f>
        <v>5610.7800000000007</v>
      </c>
      <c r="L138" s="102"/>
      <c r="M138" s="102"/>
    </row>
    <row r="139" spans="1:13" s="71" customFormat="1" ht="15" customHeight="1">
      <c r="A139" s="428"/>
      <c r="B139" s="428"/>
      <c r="C139" s="428"/>
      <c r="D139" s="428"/>
      <c r="E139" s="428"/>
      <c r="F139" s="98"/>
      <c r="G139" s="429" t="s">
        <v>183</v>
      </c>
      <c r="H139" s="79"/>
      <c r="I139" s="80">
        <v>0.68500000000000005</v>
      </c>
      <c r="J139" s="81">
        <v>1600</v>
      </c>
      <c r="K139" s="81">
        <f t="shared" si="26"/>
        <v>1096</v>
      </c>
      <c r="L139" s="102"/>
      <c r="M139" s="102"/>
    </row>
    <row r="140" spans="1:13" s="71" customFormat="1" ht="15" customHeight="1">
      <c r="A140" s="428"/>
      <c r="B140" s="428"/>
      <c r="C140" s="428"/>
      <c r="D140" s="428"/>
      <c r="E140" s="428"/>
      <c r="F140" s="98"/>
      <c r="G140" s="93" t="s">
        <v>315</v>
      </c>
      <c r="H140" s="79"/>
      <c r="I140" s="80">
        <v>0.86499999999999999</v>
      </c>
      <c r="J140" s="81">
        <v>2184</v>
      </c>
      <c r="K140" s="81">
        <f t="shared" si="26"/>
        <v>1889.16</v>
      </c>
      <c r="L140" s="79"/>
      <c r="M140" s="102"/>
    </row>
    <row r="141" spans="1:13" s="71" customFormat="1" ht="15" customHeight="1">
      <c r="A141" s="428"/>
      <c r="B141" s="428"/>
      <c r="C141" s="428"/>
      <c r="D141" s="428"/>
      <c r="E141" s="428"/>
      <c r="F141" s="98"/>
      <c r="G141" s="427" t="s">
        <v>184</v>
      </c>
      <c r="H141" s="427"/>
      <c r="I141" s="80">
        <v>5</v>
      </c>
      <c r="J141" s="81">
        <v>336</v>
      </c>
      <c r="K141" s="94">
        <f t="shared" si="26"/>
        <v>1680</v>
      </c>
      <c r="L141" s="102"/>
      <c r="M141" s="102"/>
    </row>
    <row r="142" spans="1:13" s="71" customFormat="1" ht="15" customHeight="1">
      <c r="A142" s="428"/>
      <c r="B142" s="428"/>
      <c r="C142" s="428"/>
      <c r="D142" s="428"/>
      <c r="E142" s="428"/>
      <c r="F142" s="98"/>
      <c r="G142" s="95" t="s">
        <v>185</v>
      </c>
      <c r="H142" s="79"/>
      <c r="I142" s="96">
        <v>1</v>
      </c>
      <c r="J142" s="81">
        <v>490</v>
      </c>
      <c r="K142" s="81">
        <f t="shared" si="26"/>
        <v>490</v>
      </c>
      <c r="L142" s="102"/>
      <c r="M142" s="102"/>
    </row>
    <row r="143" spans="1:13" s="71" customFormat="1" ht="15" customHeight="1">
      <c r="A143" s="428"/>
      <c r="B143" s="428"/>
      <c r="C143" s="428"/>
      <c r="D143" s="428"/>
      <c r="E143" s="274" t="s">
        <v>9</v>
      </c>
      <c r="F143" s="110">
        <f>SUM(F138:F142)</f>
        <v>2214.54</v>
      </c>
      <c r="G143" s="274"/>
      <c r="H143" s="274"/>
      <c r="I143" s="125"/>
      <c r="J143" s="97"/>
      <c r="K143" s="111">
        <f>SUM(K138:K142)</f>
        <v>10765.94</v>
      </c>
      <c r="L143" s="111">
        <f>K143/F143</f>
        <v>4.8614791333640399</v>
      </c>
      <c r="M143" s="102"/>
    </row>
    <row r="144" spans="1:13" s="71" customFormat="1" ht="15" customHeight="1">
      <c r="A144" s="428">
        <v>9876</v>
      </c>
      <c r="B144" s="552" t="s">
        <v>1145</v>
      </c>
      <c r="C144" s="427" t="s">
        <v>937</v>
      </c>
      <c r="D144" s="427" t="s">
        <v>939</v>
      </c>
      <c r="E144" s="89" t="s">
        <v>127</v>
      </c>
      <c r="F144" s="87">
        <f>2463*1.0936</f>
        <v>2693.5367999999999</v>
      </c>
      <c r="G144" s="429" t="s">
        <v>405</v>
      </c>
      <c r="H144" s="79"/>
      <c r="I144" s="80">
        <v>2.2509999999999999</v>
      </c>
      <c r="J144" s="81">
        <v>1708</v>
      </c>
      <c r="K144" s="81">
        <f t="shared" ref="K144:K148" si="27">I144*J144</f>
        <v>3844.7079999999996</v>
      </c>
      <c r="L144" s="102"/>
      <c r="M144" s="102"/>
    </row>
    <row r="145" spans="1:14" s="71" customFormat="1" ht="15" customHeight="1">
      <c r="A145" s="428"/>
      <c r="B145" s="428"/>
      <c r="C145" s="428"/>
      <c r="D145" s="428"/>
      <c r="E145" s="428"/>
      <c r="F145" s="98"/>
      <c r="G145" s="429" t="s">
        <v>183</v>
      </c>
      <c r="H145" s="79"/>
      <c r="I145" s="80">
        <v>0.52900000000000003</v>
      </c>
      <c r="J145" s="81">
        <v>1600</v>
      </c>
      <c r="K145" s="81">
        <f t="shared" si="27"/>
        <v>846.40000000000009</v>
      </c>
      <c r="L145" s="102"/>
      <c r="M145" s="102"/>
    </row>
    <row r="146" spans="1:14" s="71" customFormat="1" ht="15" customHeight="1">
      <c r="A146" s="428"/>
      <c r="B146" s="428"/>
      <c r="C146" s="428"/>
      <c r="D146" s="428"/>
      <c r="E146" s="428"/>
      <c r="F146" s="98"/>
      <c r="G146" s="93" t="s">
        <v>315</v>
      </c>
      <c r="H146" s="79"/>
      <c r="I146" s="80">
        <v>3.1960000000000002</v>
      </c>
      <c r="J146" s="81">
        <v>2184</v>
      </c>
      <c r="K146" s="81">
        <f t="shared" si="27"/>
        <v>6980.0640000000003</v>
      </c>
      <c r="L146" s="79"/>
      <c r="M146" s="102"/>
    </row>
    <row r="147" spans="1:14" s="71" customFormat="1" ht="15" customHeight="1">
      <c r="A147" s="428"/>
      <c r="B147" s="428"/>
      <c r="C147" s="428"/>
      <c r="D147" s="428"/>
      <c r="E147" s="428"/>
      <c r="F147" s="98"/>
      <c r="G147" s="427" t="s">
        <v>184</v>
      </c>
      <c r="H147" s="427"/>
      <c r="I147" s="80">
        <v>8</v>
      </c>
      <c r="J147" s="81">
        <v>336</v>
      </c>
      <c r="K147" s="94">
        <f t="shared" si="27"/>
        <v>2688</v>
      </c>
      <c r="L147" s="102"/>
      <c r="M147" s="102"/>
    </row>
    <row r="148" spans="1:14" s="71" customFormat="1" ht="15" customHeight="1">
      <c r="A148" s="428"/>
      <c r="B148" s="428"/>
      <c r="C148" s="428"/>
      <c r="D148" s="428"/>
      <c r="E148" s="428"/>
      <c r="F148" s="98"/>
      <c r="G148" s="95" t="s">
        <v>185</v>
      </c>
      <c r="H148" s="79"/>
      <c r="I148" s="96">
        <v>1.6</v>
      </c>
      <c r="J148" s="81">
        <v>490</v>
      </c>
      <c r="K148" s="81">
        <f t="shared" si="27"/>
        <v>784</v>
      </c>
      <c r="L148" s="102"/>
      <c r="M148" s="102"/>
    </row>
    <row r="149" spans="1:14" s="71" customFormat="1" ht="15" customHeight="1">
      <c r="A149" s="428"/>
      <c r="B149" s="428"/>
      <c r="C149" s="428"/>
      <c r="D149" s="428"/>
      <c r="E149" s="274" t="s">
        <v>9</v>
      </c>
      <c r="F149" s="110">
        <f>SUM(F144:F148)</f>
        <v>2693.5367999999999</v>
      </c>
      <c r="G149" s="274"/>
      <c r="H149" s="274"/>
      <c r="I149" s="125"/>
      <c r="J149" s="97"/>
      <c r="K149" s="111">
        <f>SUM(K144:K148)</f>
        <v>15143.172</v>
      </c>
      <c r="L149" s="111">
        <f>K149/F149</f>
        <v>5.622040136967871</v>
      </c>
      <c r="M149" s="102"/>
    </row>
    <row r="150" spans="1:14" s="71" customFormat="1" ht="15" customHeight="1">
      <c r="A150" s="425"/>
      <c r="B150" s="425"/>
      <c r="C150" s="425"/>
      <c r="D150" s="126" t="s">
        <v>30</v>
      </c>
      <c r="E150" s="126"/>
      <c r="F150" s="127">
        <f>F57+F63+F69+F75+F83+F89+F95+F101+F107+F113+F119+F125+F131+F137+F143+F149</f>
        <v>16522.108800000002</v>
      </c>
      <c r="G150" s="128"/>
      <c r="H150" s="128"/>
      <c r="I150" s="128"/>
      <c r="J150" s="128"/>
      <c r="K150" s="127">
        <f>K57+K63+K69+K75+K83+K89+K95+K101+K107+K113+K119+K125+K131+K137+K143+K149</f>
        <v>96951.139000000025</v>
      </c>
      <c r="L150" s="129">
        <f>K150/F150</f>
        <v>5.8679639611137295</v>
      </c>
      <c r="M150" s="131"/>
    </row>
    <row r="151" spans="1:14" s="71" customFormat="1" ht="15" customHeight="1">
      <c r="A151" s="70" t="s">
        <v>40</v>
      </c>
      <c r="B151" s="70"/>
      <c r="C151" s="70"/>
      <c r="D151" s="70"/>
      <c r="E151" s="70"/>
      <c r="I151" s="140"/>
      <c r="K151" s="70" t="s">
        <v>252</v>
      </c>
      <c r="L151" s="70"/>
      <c r="M151" s="70"/>
    </row>
    <row r="152" spans="1:14" s="71" customFormat="1" ht="15" customHeight="1">
      <c r="A152" s="274" t="s">
        <v>0</v>
      </c>
      <c r="B152" s="274" t="s">
        <v>7</v>
      </c>
      <c r="C152" s="274" t="s">
        <v>13</v>
      </c>
      <c r="D152" s="274" t="s">
        <v>14</v>
      </c>
      <c r="E152" s="274" t="s">
        <v>8</v>
      </c>
      <c r="F152" s="274" t="s">
        <v>1</v>
      </c>
      <c r="G152" s="274" t="s">
        <v>2</v>
      </c>
      <c r="H152" s="274" t="s">
        <v>15</v>
      </c>
      <c r="I152" s="141" t="s">
        <v>3</v>
      </c>
      <c r="J152" s="274" t="s">
        <v>4</v>
      </c>
      <c r="K152" s="274" t="s">
        <v>5</v>
      </c>
      <c r="L152" s="274" t="s">
        <v>12</v>
      </c>
      <c r="M152" s="274" t="s">
        <v>6</v>
      </c>
      <c r="N152" s="123"/>
    </row>
    <row r="153" spans="1:14" s="71" customFormat="1" ht="15" customHeight="1">
      <c r="A153" s="427">
        <v>8997</v>
      </c>
      <c r="B153" s="427" t="s">
        <v>896</v>
      </c>
      <c r="C153" s="427" t="s">
        <v>349</v>
      </c>
      <c r="D153" s="427" t="s">
        <v>113</v>
      </c>
      <c r="E153" s="427" t="s">
        <v>127</v>
      </c>
      <c r="F153" s="90">
        <f>2500*1.0936</f>
        <v>2733.9999999999995</v>
      </c>
      <c r="G153" s="427" t="s">
        <v>27</v>
      </c>
      <c r="H153" s="79"/>
      <c r="I153" s="80">
        <v>150</v>
      </c>
      <c r="J153" s="81">
        <v>22</v>
      </c>
      <c r="K153" s="81">
        <f t="shared" ref="K153:K155" si="28">I153*J153</f>
        <v>3300</v>
      </c>
      <c r="L153" s="428"/>
      <c r="M153" s="428"/>
      <c r="N153" s="424"/>
    </row>
    <row r="154" spans="1:14" s="71" customFormat="1" ht="15" customHeight="1">
      <c r="A154" s="428"/>
      <c r="B154" s="428"/>
      <c r="C154" s="428"/>
      <c r="D154" s="428"/>
      <c r="E154" s="428"/>
      <c r="F154" s="428"/>
      <c r="G154" s="429" t="s">
        <v>49</v>
      </c>
      <c r="H154" s="79"/>
      <c r="I154" s="80">
        <v>20</v>
      </c>
      <c r="J154" s="81">
        <v>34</v>
      </c>
      <c r="K154" s="81">
        <f t="shared" si="28"/>
        <v>680</v>
      </c>
      <c r="L154" s="428"/>
      <c r="M154" s="428"/>
      <c r="N154" s="424"/>
    </row>
    <row r="155" spans="1:14" s="71" customFormat="1" ht="15" customHeight="1">
      <c r="A155" s="428"/>
      <c r="B155" s="428"/>
      <c r="C155" s="428"/>
      <c r="D155" s="428"/>
      <c r="E155" s="428"/>
      <c r="F155" s="428"/>
      <c r="G155" s="427" t="s">
        <v>19</v>
      </c>
      <c r="H155" s="79"/>
      <c r="I155" s="80">
        <v>6</v>
      </c>
      <c r="J155" s="81">
        <v>74</v>
      </c>
      <c r="K155" s="81">
        <f t="shared" si="28"/>
        <v>444</v>
      </c>
      <c r="L155" s="428"/>
      <c r="M155" s="428"/>
      <c r="N155" s="424"/>
    </row>
    <row r="156" spans="1:14" s="71" customFormat="1" ht="15" customHeight="1">
      <c r="A156" s="428"/>
      <c r="B156" s="428"/>
      <c r="C156" s="428"/>
      <c r="D156" s="428"/>
      <c r="E156" s="274" t="s">
        <v>9</v>
      </c>
      <c r="F156" s="110">
        <f>SUM(F153:F155)</f>
        <v>2733.9999999999995</v>
      </c>
      <c r="G156" s="274"/>
      <c r="H156" s="274"/>
      <c r="I156" s="125"/>
      <c r="J156" s="97"/>
      <c r="K156" s="111">
        <f>SUM(K153:K155)</f>
        <v>4424</v>
      </c>
      <c r="L156" s="111">
        <f>K156/F156</f>
        <v>1.6181419166057063</v>
      </c>
      <c r="M156" s="102"/>
    </row>
    <row r="157" spans="1:14" s="71" customFormat="1" ht="15" customHeight="1">
      <c r="A157" s="428">
        <v>8988</v>
      </c>
      <c r="B157" s="427" t="s">
        <v>917</v>
      </c>
      <c r="C157" s="89" t="s">
        <v>918</v>
      </c>
      <c r="D157" s="89" t="s">
        <v>883</v>
      </c>
      <c r="E157" s="89" t="s">
        <v>127</v>
      </c>
      <c r="F157" s="87">
        <f>500*1.0936</f>
        <v>546.79999999999995</v>
      </c>
      <c r="G157" s="427" t="s">
        <v>27</v>
      </c>
      <c r="H157" s="79"/>
      <c r="I157" s="80">
        <v>18</v>
      </c>
      <c r="J157" s="81">
        <v>22</v>
      </c>
      <c r="K157" s="81">
        <f t="shared" ref="K157:K159" si="29">I157*J157</f>
        <v>396</v>
      </c>
      <c r="L157" s="428"/>
      <c r="M157" s="428"/>
      <c r="N157" s="424"/>
    </row>
    <row r="158" spans="1:14" s="71" customFormat="1" ht="15" customHeight="1">
      <c r="A158" s="428"/>
      <c r="B158" s="428"/>
      <c r="C158" s="428"/>
      <c r="D158" s="428"/>
      <c r="E158" s="428"/>
      <c r="F158" s="428"/>
      <c r="G158" s="429" t="s">
        <v>49</v>
      </c>
      <c r="H158" s="79"/>
      <c r="I158" s="80">
        <v>1.1000000000000001</v>
      </c>
      <c r="J158" s="81">
        <v>34</v>
      </c>
      <c r="K158" s="81">
        <f t="shared" si="29"/>
        <v>37.400000000000006</v>
      </c>
      <c r="L158" s="428"/>
      <c r="M158" s="428"/>
      <c r="N158" s="424"/>
    </row>
    <row r="159" spans="1:14" s="71" customFormat="1" ht="15" customHeight="1">
      <c r="A159" s="428"/>
      <c r="B159" s="428"/>
      <c r="C159" s="428"/>
      <c r="D159" s="428"/>
      <c r="E159" s="428"/>
      <c r="F159" s="428"/>
      <c r="G159" s="427" t="s">
        <v>19</v>
      </c>
      <c r="H159" s="79"/>
      <c r="I159" s="80">
        <v>2</v>
      </c>
      <c r="J159" s="81">
        <v>74</v>
      </c>
      <c r="K159" s="81">
        <f t="shared" si="29"/>
        <v>148</v>
      </c>
      <c r="L159" s="428"/>
      <c r="M159" s="428"/>
      <c r="N159" s="424"/>
    </row>
    <row r="160" spans="1:14" s="71" customFormat="1" ht="15" customHeight="1">
      <c r="A160" s="428"/>
      <c r="B160" s="428"/>
      <c r="C160" s="428"/>
      <c r="D160" s="428"/>
      <c r="E160" s="274" t="s">
        <v>9</v>
      </c>
      <c r="F160" s="110">
        <f>SUM(F157:F159)</f>
        <v>546.79999999999995</v>
      </c>
      <c r="G160" s="274"/>
      <c r="H160" s="274"/>
      <c r="I160" s="125"/>
      <c r="J160" s="97"/>
      <c r="K160" s="111">
        <f>SUM(K157:K159)</f>
        <v>581.4</v>
      </c>
      <c r="L160" s="111">
        <f>K160/F160</f>
        <v>1.0632772494513534</v>
      </c>
      <c r="M160" s="428"/>
      <c r="N160" s="424"/>
    </row>
    <row r="161" spans="1:14" s="71" customFormat="1" ht="15" customHeight="1">
      <c r="A161" s="428">
        <v>8988</v>
      </c>
      <c r="B161" s="428" t="s">
        <v>269</v>
      </c>
      <c r="C161" s="428"/>
      <c r="D161" s="428"/>
      <c r="E161" s="428"/>
      <c r="F161" s="87">
        <f>100*1.0936</f>
        <v>109.35999999999999</v>
      </c>
      <c r="G161" s="427" t="s">
        <v>27</v>
      </c>
      <c r="H161" s="79"/>
      <c r="I161" s="80">
        <v>25</v>
      </c>
      <c r="J161" s="81">
        <v>22</v>
      </c>
      <c r="K161" s="81">
        <f t="shared" ref="K161:K163" si="30">I161*J161</f>
        <v>550</v>
      </c>
      <c r="L161" s="428"/>
      <c r="M161" s="428"/>
      <c r="N161" s="424"/>
    </row>
    <row r="162" spans="1:14" s="71" customFormat="1" ht="15" customHeight="1">
      <c r="A162" s="428"/>
      <c r="B162" s="428"/>
      <c r="C162" s="428"/>
      <c r="D162" s="428"/>
      <c r="E162" s="428"/>
      <c r="F162" s="428"/>
      <c r="G162" s="429" t="s">
        <v>49</v>
      </c>
      <c r="H162" s="79"/>
      <c r="I162" s="80">
        <v>2</v>
      </c>
      <c r="J162" s="81">
        <v>34</v>
      </c>
      <c r="K162" s="81">
        <f t="shared" si="30"/>
        <v>68</v>
      </c>
      <c r="L162" s="428"/>
      <c r="M162" s="428"/>
      <c r="N162" s="424"/>
    </row>
    <row r="163" spans="1:14" s="71" customFormat="1" ht="15" customHeight="1">
      <c r="A163" s="428"/>
      <c r="B163" s="428"/>
      <c r="C163" s="428"/>
      <c r="D163" s="428"/>
      <c r="E163" s="428"/>
      <c r="F163" s="428"/>
      <c r="G163" s="427" t="s">
        <v>19</v>
      </c>
      <c r="H163" s="79"/>
      <c r="I163" s="80">
        <v>0.6</v>
      </c>
      <c r="J163" s="81">
        <v>74</v>
      </c>
      <c r="K163" s="81">
        <f t="shared" si="30"/>
        <v>44.4</v>
      </c>
      <c r="L163" s="428"/>
      <c r="M163" s="428"/>
      <c r="N163" s="424"/>
    </row>
    <row r="164" spans="1:14" s="71" customFormat="1" ht="15" customHeight="1">
      <c r="A164" s="428"/>
      <c r="B164" s="428"/>
      <c r="C164" s="428"/>
      <c r="D164" s="428"/>
      <c r="E164" s="274" t="s">
        <v>9</v>
      </c>
      <c r="F164" s="110">
        <f>SUM(F161:F163)</f>
        <v>109.35999999999999</v>
      </c>
      <c r="G164" s="274"/>
      <c r="H164" s="274"/>
      <c r="I164" s="125"/>
      <c r="J164" s="97"/>
      <c r="K164" s="111">
        <f>SUM(K161:K163)</f>
        <v>662.4</v>
      </c>
      <c r="L164" s="111">
        <f>K164/F164</f>
        <v>6.057059253840527</v>
      </c>
      <c r="M164" s="428"/>
      <c r="N164" s="424"/>
    </row>
    <row r="165" spans="1:14" s="71" customFormat="1" ht="15" customHeight="1">
      <c r="A165" s="428">
        <v>8997</v>
      </c>
      <c r="B165" s="427" t="s">
        <v>934</v>
      </c>
      <c r="C165" s="427" t="s">
        <v>121</v>
      </c>
      <c r="D165" s="427" t="s">
        <v>120</v>
      </c>
      <c r="E165" s="427" t="s">
        <v>129</v>
      </c>
      <c r="F165" s="160">
        <f>50*1.0936</f>
        <v>54.679999999999993</v>
      </c>
      <c r="G165" s="427" t="s">
        <v>27</v>
      </c>
      <c r="H165" s="79"/>
      <c r="I165" s="80">
        <v>6</v>
      </c>
      <c r="J165" s="81">
        <v>22</v>
      </c>
      <c r="K165" s="81">
        <f t="shared" ref="K165:K167" si="31">I165*J165</f>
        <v>132</v>
      </c>
      <c r="L165" s="428"/>
      <c r="M165" s="428"/>
      <c r="N165" s="424"/>
    </row>
    <row r="166" spans="1:14" s="71" customFormat="1" ht="15" customHeight="1">
      <c r="A166" s="428"/>
      <c r="B166" s="428"/>
      <c r="C166" s="428"/>
      <c r="D166" s="428"/>
      <c r="E166" s="428"/>
      <c r="F166" s="428"/>
      <c r="G166" s="429" t="s">
        <v>49</v>
      </c>
      <c r="H166" s="79"/>
      <c r="I166" s="80">
        <v>3</v>
      </c>
      <c r="J166" s="81">
        <v>34</v>
      </c>
      <c r="K166" s="81">
        <f t="shared" si="31"/>
        <v>102</v>
      </c>
      <c r="L166" s="428"/>
      <c r="M166" s="428"/>
      <c r="N166" s="424"/>
    </row>
    <row r="167" spans="1:14" s="71" customFormat="1" ht="15" customHeight="1">
      <c r="A167" s="428"/>
      <c r="B167" s="428"/>
      <c r="C167" s="428"/>
      <c r="D167" s="428"/>
      <c r="E167" s="428"/>
      <c r="F167" s="428"/>
      <c r="G167" s="427" t="s">
        <v>19</v>
      </c>
      <c r="H167" s="79"/>
      <c r="I167" s="80">
        <v>0.2</v>
      </c>
      <c r="J167" s="81">
        <v>74</v>
      </c>
      <c r="K167" s="81">
        <f t="shared" si="31"/>
        <v>14.8</v>
      </c>
      <c r="L167" s="428"/>
      <c r="M167" s="428"/>
      <c r="N167" s="424"/>
    </row>
    <row r="168" spans="1:14" s="71" customFormat="1" ht="15" customHeight="1">
      <c r="A168" s="428"/>
      <c r="B168" s="428"/>
      <c r="C168" s="428"/>
      <c r="D168" s="428"/>
      <c r="E168" s="274" t="s">
        <v>9</v>
      </c>
      <c r="F168" s="110">
        <f>SUM(F165:F167)</f>
        <v>54.679999999999993</v>
      </c>
      <c r="G168" s="274"/>
      <c r="H168" s="274"/>
      <c r="I168" s="125"/>
      <c r="J168" s="97"/>
      <c r="K168" s="111">
        <f>SUM(K165:K167)</f>
        <v>248.8</v>
      </c>
      <c r="L168" s="111">
        <f>K168/F168</f>
        <v>4.5501097293343093</v>
      </c>
      <c r="M168" s="428"/>
      <c r="N168" s="424"/>
    </row>
    <row r="169" spans="1:14" s="71" customFormat="1" ht="15" customHeight="1">
      <c r="A169" s="425"/>
      <c r="B169" s="425"/>
      <c r="C169" s="425"/>
      <c r="D169" s="126" t="s">
        <v>30</v>
      </c>
      <c r="E169" s="142"/>
      <c r="F169" s="127">
        <f>F156+F160+F164+F168</f>
        <v>3444.8399999999992</v>
      </c>
      <c r="G169" s="128"/>
      <c r="H169" s="128"/>
      <c r="I169" s="128"/>
      <c r="J169" s="128"/>
      <c r="K169" s="127">
        <f>K156+K160+K164+K168</f>
        <v>5916.5999999999995</v>
      </c>
      <c r="L169" s="129">
        <f>K169/F169</f>
        <v>1.717525342251019</v>
      </c>
      <c r="M169" s="131"/>
    </row>
    <row r="170" spans="1:14" s="71" customFormat="1" ht="15" customHeight="1">
      <c r="A170" s="70" t="s">
        <v>11</v>
      </c>
      <c r="B170" s="70"/>
      <c r="C170" s="70"/>
      <c r="D170" s="70"/>
      <c r="E170" s="70"/>
      <c r="K170" s="70" t="s">
        <v>252</v>
      </c>
      <c r="L170" s="70"/>
      <c r="M170" s="70"/>
    </row>
    <row r="171" spans="1:14" s="123" customFormat="1" ht="15" customHeight="1">
      <c r="A171" s="274" t="s">
        <v>0</v>
      </c>
      <c r="B171" s="274" t="s">
        <v>7</v>
      </c>
      <c r="C171" s="274" t="s">
        <v>13</v>
      </c>
      <c r="D171" s="274" t="s">
        <v>14</v>
      </c>
      <c r="E171" s="274" t="s">
        <v>8</v>
      </c>
      <c r="F171" s="274" t="s">
        <v>1</v>
      </c>
      <c r="G171" s="274" t="s">
        <v>2</v>
      </c>
      <c r="H171" s="274" t="s">
        <v>15</v>
      </c>
      <c r="I171" s="274" t="s">
        <v>3</v>
      </c>
      <c r="J171" s="274" t="s">
        <v>4</v>
      </c>
      <c r="K171" s="274" t="s">
        <v>5</v>
      </c>
      <c r="L171" s="274" t="s">
        <v>12</v>
      </c>
      <c r="M171" s="274" t="s">
        <v>6</v>
      </c>
    </row>
    <row r="172" spans="1:14" s="71" customFormat="1" ht="15" customHeight="1">
      <c r="A172" s="428">
        <v>9712</v>
      </c>
      <c r="B172" s="427" t="s">
        <v>870</v>
      </c>
      <c r="C172" s="427" t="s">
        <v>513</v>
      </c>
      <c r="D172" s="427" t="s">
        <v>74</v>
      </c>
      <c r="E172" s="427" t="s">
        <v>779</v>
      </c>
      <c r="F172" s="87">
        <f>4350*1.0936</f>
        <v>4757.16</v>
      </c>
      <c r="G172" s="173" t="s">
        <v>298</v>
      </c>
      <c r="H172" s="79"/>
      <c r="I172" s="80">
        <v>10</v>
      </c>
      <c r="J172" s="81">
        <v>435</v>
      </c>
      <c r="K172" s="94">
        <f t="shared" ref="K172:K173" si="32">I172*J172</f>
        <v>4350</v>
      </c>
      <c r="L172" s="79"/>
      <c r="M172" s="102"/>
    </row>
    <row r="173" spans="1:14" s="71" customFormat="1" ht="15" customHeight="1">
      <c r="A173" s="428"/>
      <c r="B173" s="427"/>
      <c r="C173" s="427"/>
      <c r="D173" s="427"/>
      <c r="E173" s="427"/>
      <c r="F173" s="427"/>
      <c r="G173" s="173" t="s">
        <v>799</v>
      </c>
      <c r="H173" s="79"/>
      <c r="I173" s="188">
        <v>5</v>
      </c>
      <c r="J173" s="81">
        <v>350</v>
      </c>
      <c r="K173" s="94">
        <f t="shared" si="32"/>
        <v>1750</v>
      </c>
      <c r="L173" s="79"/>
      <c r="M173" s="102"/>
    </row>
    <row r="174" spans="1:14" s="71" customFormat="1" ht="15" customHeight="1">
      <c r="A174" s="428"/>
      <c r="B174" s="427"/>
      <c r="C174" s="427"/>
      <c r="D174" s="427"/>
      <c r="E174" s="427"/>
      <c r="F174" s="427"/>
      <c r="G174" s="429" t="s">
        <v>798</v>
      </c>
      <c r="H174" s="79"/>
      <c r="I174" s="81">
        <v>5</v>
      </c>
      <c r="J174" s="81">
        <v>248</v>
      </c>
      <c r="K174" s="81">
        <f>I174*J174</f>
        <v>1240</v>
      </c>
      <c r="L174" s="79"/>
      <c r="M174" s="102"/>
    </row>
    <row r="175" spans="1:14" s="71" customFormat="1" ht="15" customHeight="1">
      <c r="A175" s="428"/>
      <c r="B175" s="427"/>
      <c r="C175" s="427"/>
      <c r="D175" s="427"/>
      <c r="E175" s="427"/>
      <c r="F175" s="427"/>
      <c r="G175" s="429" t="s">
        <v>206</v>
      </c>
      <c r="H175" s="79"/>
      <c r="I175" s="81">
        <v>3</v>
      </c>
      <c r="J175" s="81">
        <v>375</v>
      </c>
      <c r="K175" s="81">
        <f t="shared" ref="K175" si="33">I175*J175</f>
        <v>1125</v>
      </c>
      <c r="L175" s="79"/>
      <c r="M175" s="102"/>
    </row>
    <row r="176" spans="1:14" s="71" customFormat="1" ht="15" customHeight="1">
      <c r="A176" s="428"/>
      <c r="B176" s="428"/>
      <c r="C176" s="428"/>
      <c r="D176" s="428"/>
      <c r="E176" s="274" t="s">
        <v>9</v>
      </c>
      <c r="F176" s="110">
        <f>SUM(F172:F175)</f>
        <v>4757.16</v>
      </c>
      <c r="G176" s="274"/>
      <c r="H176" s="274"/>
      <c r="I176" s="97"/>
      <c r="J176" s="97"/>
      <c r="K176" s="111">
        <f>SUM(K172:K175)</f>
        <v>8465</v>
      </c>
      <c r="L176" s="111">
        <f>K176/F176</f>
        <v>1.7794230170942327</v>
      </c>
      <c r="M176" s="102"/>
    </row>
    <row r="177" spans="1:14" s="71" customFormat="1" ht="15" customHeight="1">
      <c r="A177" s="428">
        <v>9709</v>
      </c>
      <c r="B177" s="427" t="s">
        <v>269</v>
      </c>
      <c r="C177" s="427"/>
      <c r="D177" s="427"/>
      <c r="E177" s="427"/>
      <c r="F177" s="87">
        <f>250*1.0936</f>
        <v>273.39999999999998</v>
      </c>
      <c r="G177" s="427" t="s">
        <v>202</v>
      </c>
      <c r="H177" s="79"/>
      <c r="I177" s="188">
        <v>2</v>
      </c>
      <c r="J177" s="81">
        <v>386</v>
      </c>
      <c r="K177" s="81">
        <f t="shared" ref="K177:K178" si="34">I177*J177</f>
        <v>772</v>
      </c>
      <c r="L177" s="103"/>
      <c r="M177" s="102"/>
    </row>
    <row r="178" spans="1:14" s="71" customFormat="1" ht="15" customHeight="1">
      <c r="A178" s="428"/>
      <c r="B178" s="427"/>
      <c r="C178" s="427"/>
      <c r="D178" s="427"/>
      <c r="E178" s="427"/>
      <c r="F178" s="427"/>
      <c r="G178" s="95" t="s">
        <v>832</v>
      </c>
      <c r="H178" s="79"/>
      <c r="I178" s="81">
        <v>0.2</v>
      </c>
      <c r="J178" s="81">
        <v>790</v>
      </c>
      <c r="K178" s="81">
        <f t="shared" si="34"/>
        <v>158</v>
      </c>
      <c r="L178" s="79"/>
      <c r="M178" s="102"/>
    </row>
    <row r="179" spans="1:14" s="71" customFormat="1" ht="15" customHeight="1">
      <c r="A179" s="428"/>
      <c r="B179" s="428"/>
      <c r="C179" s="428"/>
      <c r="D179" s="428"/>
      <c r="E179" s="274" t="s">
        <v>9</v>
      </c>
      <c r="F179" s="110">
        <f>SUM(F177:F178)</f>
        <v>273.39999999999998</v>
      </c>
      <c r="G179" s="274"/>
      <c r="H179" s="274"/>
      <c r="I179" s="97"/>
      <c r="J179" s="97"/>
      <c r="K179" s="111">
        <f>SUM(K177:K178)</f>
        <v>930</v>
      </c>
      <c r="L179" s="111">
        <f>K179/F179</f>
        <v>3.4016093635698614</v>
      </c>
      <c r="M179" s="102"/>
    </row>
    <row r="180" spans="1:14" s="71" customFormat="1" ht="15" customHeight="1">
      <c r="D180" s="126" t="s">
        <v>30</v>
      </c>
      <c r="E180" s="126"/>
      <c r="F180" s="127">
        <f>F176+F179</f>
        <v>5030.5599999999995</v>
      </c>
      <c r="G180" s="128"/>
      <c r="H180" s="128"/>
      <c r="I180" s="128"/>
      <c r="J180" s="128"/>
      <c r="K180" s="127">
        <f>K176+K179</f>
        <v>9395</v>
      </c>
      <c r="L180" s="129">
        <f>K180/F180</f>
        <v>1.8675853185331257</v>
      </c>
    </row>
    <row r="181" spans="1:14" s="71" customFormat="1" ht="15" customHeight="1">
      <c r="A181" s="70" t="s">
        <v>42</v>
      </c>
      <c r="B181" s="70"/>
      <c r="C181" s="70"/>
      <c r="D181" s="70"/>
      <c r="E181" s="70"/>
      <c r="K181" s="70" t="s">
        <v>252</v>
      </c>
      <c r="L181" s="70"/>
      <c r="M181" s="70"/>
    </row>
    <row r="182" spans="1:14" s="71" customFormat="1" ht="15" customHeight="1">
      <c r="A182" s="274" t="s">
        <v>0</v>
      </c>
      <c r="B182" s="274" t="s">
        <v>7</v>
      </c>
      <c r="C182" s="274" t="s">
        <v>13</v>
      </c>
      <c r="D182" s="274" t="s">
        <v>14</v>
      </c>
      <c r="E182" s="274" t="s">
        <v>8</v>
      </c>
      <c r="F182" s="274" t="s">
        <v>1</v>
      </c>
      <c r="G182" s="274" t="s">
        <v>2</v>
      </c>
      <c r="H182" s="274" t="s">
        <v>15</v>
      </c>
      <c r="I182" s="274" t="s">
        <v>3</v>
      </c>
      <c r="J182" s="274" t="s">
        <v>4</v>
      </c>
      <c r="K182" s="274" t="s">
        <v>5</v>
      </c>
      <c r="L182" s="274" t="s">
        <v>12</v>
      </c>
      <c r="M182" s="274" t="s">
        <v>6</v>
      </c>
      <c r="N182" s="123"/>
    </row>
    <row r="183" spans="1:14" s="71" customFormat="1" ht="15" customHeight="1">
      <c r="A183" s="427">
        <v>7755</v>
      </c>
      <c r="B183" s="427" t="s">
        <v>218</v>
      </c>
      <c r="C183" s="427" t="s">
        <v>792</v>
      </c>
      <c r="D183" s="427" t="s">
        <v>940</v>
      </c>
      <c r="E183" s="427" t="s">
        <v>93</v>
      </c>
      <c r="F183" s="87">
        <f>90*1.0936</f>
        <v>98.423999999999992</v>
      </c>
      <c r="G183" s="91" t="s">
        <v>221</v>
      </c>
      <c r="H183" s="112"/>
      <c r="I183" s="113">
        <v>0.45</v>
      </c>
      <c r="J183" s="81">
        <v>980</v>
      </c>
      <c r="K183" s="81">
        <f t="shared" ref="K183:K184" si="35">I183*J183</f>
        <v>441</v>
      </c>
      <c r="L183" s="79"/>
      <c r="M183" s="79"/>
    </row>
    <row r="184" spans="1:14" s="71" customFormat="1" ht="15" customHeight="1">
      <c r="A184" s="427"/>
      <c r="B184" s="428"/>
      <c r="C184" s="428"/>
      <c r="D184" s="428"/>
      <c r="E184" s="274"/>
      <c r="F184" s="110"/>
      <c r="G184" s="91" t="s">
        <v>888</v>
      </c>
      <c r="H184" s="109"/>
      <c r="I184" s="80">
        <v>0.55000000000000004</v>
      </c>
      <c r="J184" s="81">
        <v>690</v>
      </c>
      <c r="K184" s="81">
        <f t="shared" si="35"/>
        <v>379.50000000000006</v>
      </c>
      <c r="L184" s="102"/>
      <c r="M184" s="79"/>
    </row>
    <row r="185" spans="1:14" s="71" customFormat="1" ht="15" customHeight="1">
      <c r="A185" s="427"/>
      <c r="B185" s="428"/>
      <c r="C185" s="428"/>
      <c r="D185" s="428"/>
      <c r="E185" s="274"/>
      <c r="F185" s="110"/>
      <c r="G185" s="429" t="s">
        <v>211</v>
      </c>
      <c r="H185" s="79"/>
      <c r="I185" s="80">
        <v>0.2</v>
      </c>
      <c r="J185" s="81">
        <v>120</v>
      </c>
      <c r="K185" s="81">
        <f>I185*J185</f>
        <v>24</v>
      </c>
      <c r="L185" s="79"/>
      <c r="M185" s="102"/>
    </row>
    <row r="186" spans="1:14" s="71" customFormat="1" ht="15" customHeight="1">
      <c r="A186" s="427"/>
      <c r="B186" s="428"/>
      <c r="C186" s="428"/>
      <c r="D186" s="428"/>
      <c r="E186" s="274"/>
      <c r="F186" s="110"/>
      <c r="G186" s="429" t="s">
        <v>214</v>
      </c>
      <c r="H186" s="79"/>
      <c r="I186" s="80">
        <v>10</v>
      </c>
      <c r="J186" s="81">
        <v>360</v>
      </c>
      <c r="K186" s="81">
        <f t="shared" ref="K186" si="36">I186*J186</f>
        <v>3600</v>
      </c>
      <c r="L186" s="102"/>
      <c r="M186" s="102"/>
    </row>
    <row r="187" spans="1:14" s="71" customFormat="1" ht="15" customHeight="1">
      <c r="A187" s="427"/>
      <c r="B187" s="427"/>
      <c r="C187" s="427"/>
      <c r="D187" s="427"/>
      <c r="E187" s="273" t="s">
        <v>9</v>
      </c>
      <c r="F187" s="108">
        <f>SUM(F183:F186)</f>
        <v>98.423999999999992</v>
      </c>
      <c r="G187" s="273"/>
      <c r="H187" s="273"/>
      <c r="I187" s="81"/>
      <c r="J187" s="81"/>
      <c r="K187" s="103">
        <f>SUM(K183:K186)</f>
        <v>4444.5</v>
      </c>
      <c r="L187" s="103">
        <f>K187/F187</f>
        <v>45.15666910509632</v>
      </c>
      <c r="M187" s="79"/>
    </row>
    <row r="188" spans="1:14" s="71" customFormat="1" ht="15" customHeight="1">
      <c r="A188" s="427">
        <v>7754</v>
      </c>
      <c r="B188" s="427" t="s">
        <v>218</v>
      </c>
      <c r="C188" s="427" t="s">
        <v>792</v>
      </c>
      <c r="D188" s="427" t="s">
        <v>941</v>
      </c>
      <c r="E188" s="427" t="s">
        <v>93</v>
      </c>
      <c r="F188" s="87">
        <f>30*1.0936</f>
        <v>32.808</v>
      </c>
      <c r="G188" s="91" t="s">
        <v>209</v>
      </c>
      <c r="H188" s="79"/>
      <c r="I188" s="80">
        <v>0.3</v>
      </c>
      <c r="J188" s="81">
        <v>350</v>
      </c>
      <c r="K188" s="81">
        <f t="shared" ref="K188:K191" si="37">I188*J188</f>
        <v>105</v>
      </c>
      <c r="L188" s="79"/>
      <c r="M188" s="102"/>
    </row>
    <row r="189" spans="1:14" s="71" customFormat="1" ht="15" customHeight="1">
      <c r="A189" s="427"/>
      <c r="B189" s="428"/>
      <c r="C189" s="428"/>
      <c r="D189" s="428"/>
      <c r="E189" s="428"/>
      <c r="F189" s="98"/>
      <c r="G189" s="91" t="s">
        <v>123</v>
      </c>
      <c r="H189" s="427"/>
      <c r="I189" s="96">
        <v>0.17</v>
      </c>
      <c r="J189" s="81">
        <v>750</v>
      </c>
      <c r="K189" s="94">
        <f t="shared" si="37"/>
        <v>127.50000000000001</v>
      </c>
      <c r="L189" s="102"/>
      <c r="M189" s="102"/>
    </row>
    <row r="190" spans="1:14" s="71" customFormat="1" ht="15" customHeight="1">
      <c r="A190" s="427"/>
      <c r="B190" s="428"/>
      <c r="C190" s="428"/>
      <c r="D190" s="428"/>
      <c r="E190" s="428"/>
      <c r="F190" s="98"/>
      <c r="G190" s="91" t="s">
        <v>221</v>
      </c>
      <c r="H190" s="112"/>
      <c r="I190" s="113">
        <v>0.35</v>
      </c>
      <c r="J190" s="81">
        <v>980</v>
      </c>
      <c r="K190" s="81">
        <f t="shared" si="37"/>
        <v>343</v>
      </c>
      <c r="L190" s="102"/>
      <c r="M190" s="102"/>
    </row>
    <row r="191" spans="1:14" s="71" customFormat="1" ht="15" customHeight="1">
      <c r="A191" s="427"/>
      <c r="B191" s="428"/>
      <c r="C191" s="428"/>
      <c r="D191" s="428"/>
      <c r="E191" s="428"/>
      <c r="F191" s="98"/>
      <c r="G191" s="91" t="s">
        <v>888</v>
      </c>
      <c r="H191" s="109"/>
      <c r="I191" s="80">
        <v>0.02</v>
      </c>
      <c r="J191" s="81">
        <v>690</v>
      </c>
      <c r="K191" s="81">
        <f t="shared" si="37"/>
        <v>13.8</v>
      </c>
      <c r="L191" s="102"/>
      <c r="M191" s="102"/>
    </row>
    <row r="192" spans="1:14" s="71" customFormat="1" ht="15" customHeight="1">
      <c r="A192" s="427"/>
      <c r="B192" s="428"/>
      <c r="C192" s="428"/>
      <c r="D192" s="428"/>
      <c r="E192" s="428"/>
      <c r="F192" s="98"/>
      <c r="G192" s="429" t="s">
        <v>211</v>
      </c>
      <c r="H192" s="79"/>
      <c r="I192" s="80">
        <v>10</v>
      </c>
      <c r="J192" s="81">
        <v>120</v>
      </c>
      <c r="K192" s="81">
        <f>I192*J192</f>
        <v>1200</v>
      </c>
      <c r="L192" s="79"/>
      <c r="M192" s="102"/>
    </row>
    <row r="193" spans="1:13" s="71" customFormat="1" ht="15" customHeight="1">
      <c r="A193" s="427"/>
      <c r="B193" s="428"/>
      <c r="C193" s="428"/>
      <c r="D193" s="428"/>
      <c r="E193" s="428"/>
      <c r="F193" s="98"/>
      <c r="G193" s="429" t="s">
        <v>212</v>
      </c>
      <c r="H193" s="79"/>
      <c r="I193" s="80">
        <v>0.9</v>
      </c>
      <c r="J193" s="81">
        <v>527</v>
      </c>
      <c r="K193" s="81">
        <f t="shared" ref="K193:K196" si="38">I193*J193</f>
        <v>474.3</v>
      </c>
      <c r="L193" s="79"/>
      <c r="M193" s="102"/>
    </row>
    <row r="194" spans="1:13" s="71" customFormat="1" ht="15" customHeight="1">
      <c r="A194" s="427"/>
      <c r="B194" s="428"/>
      <c r="C194" s="428"/>
      <c r="D194" s="428"/>
      <c r="E194" s="428"/>
      <c r="F194" s="98"/>
      <c r="G194" s="429" t="s">
        <v>213</v>
      </c>
      <c r="H194" s="79"/>
      <c r="I194" s="80">
        <v>1</v>
      </c>
      <c r="J194" s="81">
        <v>348</v>
      </c>
      <c r="K194" s="81">
        <f t="shared" si="38"/>
        <v>348</v>
      </c>
      <c r="L194" s="79"/>
      <c r="M194" s="143"/>
    </row>
    <row r="195" spans="1:13" s="71" customFormat="1" ht="15" customHeight="1">
      <c r="A195" s="427"/>
      <c r="B195" s="428"/>
      <c r="C195" s="428"/>
      <c r="D195" s="428"/>
      <c r="E195" s="428"/>
      <c r="F195" s="98"/>
      <c r="G195" s="429" t="s">
        <v>45</v>
      </c>
      <c r="H195" s="79"/>
      <c r="I195" s="80">
        <v>0.9</v>
      </c>
      <c r="J195" s="81">
        <v>45</v>
      </c>
      <c r="K195" s="81">
        <f t="shared" si="38"/>
        <v>40.5</v>
      </c>
      <c r="L195" s="79"/>
      <c r="M195" s="143"/>
    </row>
    <row r="196" spans="1:13" s="71" customFormat="1" ht="15" customHeight="1">
      <c r="A196" s="427"/>
      <c r="B196" s="428"/>
      <c r="C196" s="428"/>
      <c r="D196" s="428"/>
      <c r="E196" s="428"/>
      <c r="F196" s="98"/>
      <c r="G196" s="427" t="s">
        <v>28</v>
      </c>
      <c r="H196" s="79"/>
      <c r="I196" s="80">
        <v>1.8</v>
      </c>
      <c r="J196" s="81">
        <v>17</v>
      </c>
      <c r="K196" s="81">
        <f t="shared" si="38"/>
        <v>30.6</v>
      </c>
      <c r="L196" s="79"/>
      <c r="M196" s="143"/>
    </row>
    <row r="197" spans="1:13" s="71" customFormat="1" ht="15" customHeight="1">
      <c r="A197" s="427"/>
      <c r="B197" s="428"/>
      <c r="C197" s="428"/>
      <c r="D197" s="428"/>
      <c r="E197" s="273" t="s">
        <v>9</v>
      </c>
      <c r="F197" s="108">
        <f>SUM(F188:F196)</f>
        <v>32.808</v>
      </c>
      <c r="G197" s="273"/>
      <c r="H197" s="273"/>
      <c r="I197" s="81"/>
      <c r="J197" s="81"/>
      <c r="K197" s="103">
        <f>SUM(K188:K196)</f>
        <v>2682.7</v>
      </c>
      <c r="L197" s="103">
        <f>K197/F197</f>
        <v>81.769690319434275</v>
      </c>
      <c r="M197" s="143"/>
    </row>
    <row r="198" spans="1:13" s="71" customFormat="1" ht="15" customHeight="1">
      <c r="A198" s="427">
        <v>7753</v>
      </c>
      <c r="B198" s="427" t="s">
        <v>218</v>
      </c>
      <c r="C198" s="427" t="s">
        <v>792</v>
      </c>
      <c r="D198" s="427" t="s">
        <v>941</v>
      </c>
      <c r="E198" s="427" t="s">
        <v>93</v>
      </c>
      <c r="F198" s="87">
        <f>30*1.0936</f>
        <v>32.808</v>
      </c>
      <c r="G198" s="91" t="s">
        <v>209</v>
      </c>
      <c r="H198" s="79"/>
      <c r="I198" s="80">
        <v>0.92</v>
      </c>
      <c r="J198" s="81">
        <v>350</v>
      </c>
      <c r="K198" s="81">
        <f t="shared" ref="K198:K200" si="39">I198*J198</f>
        <v>322</v>
      </c>
      <c r="L198" s="79"/>
      <c r="M198" s="143"/>
    </row>
    <row r="199" spans="1:13" s="71" customFormat="1" ht="15" customHeight="1">
      <c r="A199" s="427"/>
      <c r="B199" s="428"/>
      <c r="C199" s="428"/>
      <c r="D199" s="428"/>
      <c r="E199" s="428"/>
      <c r="F199" s="98"/>
      <c r="G199" s="91" t="s">
        <v>123</v>
      </c>
      <c r="H199" s="427"/>
      <c r="I199" s="96">
        <v>0.67</v>
      </c>
      <c r="J199" s="81">
        <v>750</v>
      </c>
      <c r="K199" s="94">
        <f t="shared" si="39"/>
        <v>502.50000000000006</v>
      </c>
      <c r="L199" s="102"/>
      <c r="M199" s="143"/>
    </row>
    <row r="200" spans="1:13" s="71" customFormat="1" ht="15" customHeight="1">
      <c r="A200" s="427"/>
      <c r="B200" s="428"/>
      <c r="C200" s="428"/>
      <c r="D200" s="428"/>
      <c r="E200" s="428"/>
      <c r="F200" s="98"/>
      <c r="G200" s="91" t="s">
        <v>888</v>
      </c>
      <c r="H200" s="109"/>
      <c r="I200" s="80">
        <v>0.05</v>
      </c>
      <c r="J200" s="81">
        <v>690</v>
      </c>
      <c r="K200" s="81">
        <f t="shared" si="39"/>
        <v>34.5</v>
      </c>
      <c r="L200" s="102"/>
      <c r="M200" s="143"/>
    </row>
    <row r="201" spans="1:13" s="71" customFormat="1" ht="15" customHeight="1">
      <c r="A201" s="427"/>
      <c r="B201" s="428"/>
      <c r="C201" s="428"/>
      <c r="D201" s="428"/>
      <c r="E201" s="428"/>
      <c r="F201" s="98"/>
      <c r="G201" s="429" t="s">
        <v>211</v>
      </c>
      <c r="H201" s="79"/>
      <c r="I201" s="80">
        <v>10</v>
      </c>
      <c r="J201" s="81">
        <v>120</v>
      </c>
      <c r="K201" s="81">
        <f>I201*J201</f>
        <v>1200</v>
      </c>
      <c r="L201" s="79"/>
      <c r="M201" s="143"/>
    </row>
    <row r="202" spans="1:13" s="71" customFormat="1" ht="15" customHeight="1">
      <c r="A202" s="427"/>
      <c r="B202" s="428"/>
      <c r="C202" s="428"/>
      <c r="D202" s="428"/>
      <c r="E202" s="428"/>
      <c r="F202" s="98"/>
      <c r="G202" s="429" t="s">
        <v>212</v>
      </c>
      <c r="H202" s="79"/>
      <c r="I202" s="80">
        <v>0.6</v>
      </c>
      <c r="J202" s="81">
        <v>527</v>
      </c>
      <c r="K202" s="81">
        <f t="shared" ref="K202:K205" si="40">I202*J202</f>
        <v>316.2</v>
      </c>
      <c r="L202" s="79"/>
      <c r="M202" s="143"/>
    </row>
    <row r="203" spans="1:13" s="71" customFormat="1" ht="15" customHeight="1">
      <c r="A203" s="427"/>
      <c r="B203" s="428"/>
      <c r="C203" s="428"/>
      <c r="D203" s="428"/>
      <c r="E203" s="428"/>
      <c r="F203" s="98"/>
      <c r="G203" s="429" t="s">
        <v>213</v>
      </c>
      <c r="H203" s="79"/>
      <c r="I203" s="80">
        <v>1</v>
      </c>
      <c r="J203" s="81">
        <v>348</v>
      </c>
      <c r="K203" s="81">
        <f t="shared" si="40"/>
        <v>348</v>
      </c>
      <c r="L203" s="79"/>
      <c r="M203" s="143"/>
    </row>
    <row r="204" spans="1:13" s="71" customFormat="1" ht="15" customHeight="1">
      <c r="A204" s="427"/>
      <c r="B204" s="428"/>
      <c r="C204" s="428"/>
      <c r="D204" s="428"/>
      <c r="E204" s="428"/>
      <c r="F204" s="98"/>
      <c r="G204" s="429" t="s">
        <v>45</v>
      </c>
      <c r="H204" s="79"/>
      <c r="I204" s="80">
        <v>0.9</v>
      </c>
      <c r="J204" s="81">
        <v>45</v>
      </c>
      <c r="K204" s="81">
        <f t="shared" si="40"/>
        <v>40.5</v>
      </c>
      <c r="L204" s="79"/>
      <c r="M204" s="143"/>
    </row>
    <row r="205" spans="1:13" s="71" customFormat="1" ht="15" customHeight="1">
      <c r="A205" s="427"/>
      <c r="B205" s="428"/>
      <c r="C205" s="428"/>
      <c r="D205" s="428"/>
      <c r="E205" s="428"/>
      <c r="F205" s="98"/>
      <c r="G205" s="427" t="s">
        <v>28</v>
      </c>
      <c r="H205" s="79"/>
      <c r="I205" s="80">
        <v>1.8</v>
      </c>
      <c r="J205" s="81">
        <v>17</v>
      </c>
      <c r="K205" s="81">
        <f t="shared" si="40"/>
        <v>30.6</v>
      </c>
      <c r="L205" s="79"/>
      <c r="M205" s="143"/>
    </row>
    <row r="206" spans="1:13" s="71" customFormat="1" ht="15" customHeight="1">
      <c r="A206" s="427"/>
      <c r="B206" s="428"/>
      <c r="C206" s="428"/>
      <c r="D206" s="428"/>
      <c r="E206" s="274" t="s">
        <v>9</v>
      </c>
      <c r="F206" s="110">
        <f>SUM(F198:F205)</f>
        <v>32.808</v>
      </c>
      <c r="G206" s="274"/>
      <c r="H206" s="274"/>
      <c r="I206" s="97"/>
      <c r="J206" s="97"/>
      <c r="K206" s="111">
        <f>SUM(K198:K205)</f>
        <v>2794.2999999999997</v>
      </c>
      <c r="L206" s="155">
        <f>K206/F206</f>
        <v>85.171299683004136</v>
      </c>
      <c r="M206" s="102"/>
    </row>
    <row r="207" spans="1:13" s="71" customFormat="1" ht="15" customHeight="1">
      <c r="D207" s="126" t="s">
        <v>30</v>
      </c>
      <c r="E207" s="126"/>
      <c r="F207" s="127">
        <f>F187+F197+F206</f>
        <v>164.04</v>
      </c>
      <c r="G207" s="128"/>
      <c r="H207" s="128"/>
      <c r="I207" s="128"/>
      <c r="J207" s="128"/>
      <c r="K207" s="127">
        <f>K187+K197+K206</f>
        <v>9921.5</v>
      </c>
      <c r="L207" s="129">
        <f>K207/F207</f>
        <v>60.482199463545477</v>
      </c>
    </row>
    <row r="208" spans="1:13" s="71" customFormat="1" ht="15" customHeight="1"/>
    <row r="209" spans="2:13" s="71" customFormat="1" ht="15" customHeight="1"/>
    <row r="210" spans="2:13" s="71" customFormat="1" ht="15" customHeight="1">
      <c r="B210" s="107"/>
      <c r="C210" s="107"/>
      <c r="D210" s="133" t="s">
        <v>1009</v>
      </c>
      <c r="E210" s="405">
        <f>F150+F207</f>
        <v>16686.148800000003</v>
      </c>
      <c r="F210" s="133"/>
      <c r="G210" s="134">
        <f>K16+K31+K41+K48+K150+K169+K180+K207</f>
        <v>188097.73900000003</v>
      </c>
      <c r="H210" s="135"/>
      <c r="I210" s="135"/>
      <c r="J210" s="135"/>
      <c r="K210" s="135"/>
      <c r="L210" s="134">
        <f>G210/E210</f>
        <v>11.27268738008617</v>
      </c>
    </row>
    <row r="211" spans="2:13" s="71" customFormat="1" ht="15" customHeight="1">
      <c r="B211" s="107"/>
      <c r="C211" s="107"/>
      <c r="D211" s="109" t="s">
        <v>855</v>
      </c>
      <c r="E211" s="406"/>
      <c r="F211" s="109"/>
      <c r="G211" s="359">
        <f>K52+K53+K54+K58+K59+K60+K64+K65+K66+K70+K71+K72+K76+K77+K78+K79+K80+K84+K85+K86+K90+K91+K92+K96+K97+K98+K102+K103+K104+K108+K109+K110+K114+K115+K116+K120+K121+K122+K126+K127+K128+K132+K133+K134+K138+K139+K140+K144+K145+K146+K183+K184+K188+K189+K190+K191+K198+K199+K200</f>
        <v>82293.938999999998</v>
      </c>
      <c r="H211" s="370"/>
      <c r="I211" s="359">
        <f>'04'!I200+'05'!G211</f>
        <v>495148.60000000009</v>
      </c>
      <c r="J211" s="416">
        <f>G211+G214</f>
        <v>92048.766999999993</v>
      </c>
      <c r="K211" s="360"/>
      <c r="L211" s="396"/>
    </row>
    <row r="212" spans="2:13" s="71" customFormat="1" ht="15" customHeight="1">
      <c r="B212" s="107"/>
      <c r="C212" s="107"/>
      <c r="D212" s="323" t="s">
        <v>854</v>
      </c>
      <c r="E212" s="361"/>
      <c r="F212" s="323"/>
      <c r="G212" s="397">
        <f>G210-G211</f>
        <v>105803.80000000003</v>
      </c>
      <c r="H212" s="398"/>
      <c r="I212" s="359">
        <f>'04'!I201+'05'!G212</f>
        <v>948744.41200000001</v>
      </c>
      <c r="J212" s="400"/>
      <c r="K212" s="400"/>
      <c r="L212" s="401"/>
    </row>
    <row r="213" spans="2:13" s="71" customFormat="1" ht="15" customHeight="1">
      <c r="B213" s="107"/>
      <c r="C213" s="107"/>
      <c r="D213" s="109" t="s">
        <v>853</v>
      </c>
      <c r="E213" s="407"/>
      <c r="F213" s="109"/>
      <c r="G213" s="410">
        <f>SUM(G211:G212)</f>
        <v>188097.73900000003</v>
      </c>
      <c r="H213" s="402"/>
      <c r="I213" s="403">
        <f>'01'!G200+'02'!G247+'03'!G340+'04'!G250</f>
        <v>0</v>
      </c>
      <c r="J213" s="402"/>
      <c r="K213" s="402"/>
      <c r="L213" s="404">
        <f>G213/E210</f>
        <v>11.27268738008617</v>
      </c>
    </row>
    <row r="214" spans="2:13" s="71" customFormat="1" ht="15" customHeight="1">
      <c r="B214" s="107"/>
      <c r="C214" s="107"/>
      <c r="D214" s="395" t="s">
        <v>906</v>
      </c>
      <c r="E214" s="408"/>
      <c r="F214" s="109"/>
      <c r="G214" s="409">
        <f>'04'!G203+'05'!M227</f>
        <v>9754.8280000000013</v>
      </c>
      <c r="H214" s="392"/>
      <c r="I214" s="391"/>
      <c r="J214" s="391"/>
      <c r="K214" s="393"/>
    </row>
    <row r="215" spans="2:13" s="71" customFormat="1" ht="15" customHeight="1">
      <c r="B215" s="107"/>
      <c r="C215" s="107"/>
      <c r="D215" s="106"/>
      <c r="E215" s="106"/>
      <c r="F215" s="106"/>
      <c r="G215" s="106"/>
      <c r="H215" s="246"/>
      <c r="I215" s="106"/>
      <c r="J215" s="106"/>
      <c r="K215" s="106"/>
      <c r="L215" s="106"/>
    </row>
    <row r="216" spans="2:13" s="71" customFormat="1" ht="15" customHeight="1">
      <c r="B216" s="107"/>
      <c r="C216" s="107"/>
      <c r="D216" s="829" t="s">
        <v>852</v>
      </c>
      <c r="E216" s="829"/>
      <c r="F216" s="357">
        <f>G231</f>
        <v>66935</v>
      </c>
      <c r="G216" s="106"/>
      <c r="H216" s="500" t="s">
        <v>908</v>
      </c>
      <c r="I216" s="830" t="s">
        <v>279</v>
      </c>
      <c r="J216" s="831"/>
      <c r="K216" s="80">
        <f>0.375+0.108</f>
        <v>0.48299999999999998</v>
      </c>
      <c r="L216" s="81">
        <v>689</v>
      </c>
      <c r="M216" s="81">
        <f t="shared" ref="M216:M217" si="41">K216*L216</f>
        <v>332.78699999999998</v>
      </c>
    </row>
    <row r="217" spans="2:13" s="71" customFormat="1" ht="15" customHeight="1">
      <c r="B217" s="107"/>
      <c r="C217" s="107"/>
      <c r="D217" s="829" t="s">
        <v>835</v>
      </c>
      <c r="E217" s="829"/>
      <c r="F217" s="357"/>
      <c r="G217" s="106"/>
      <c r="H217" s="500" t="s">
        <v>909</v>
      </c>
      <c r="I217" s="830" t="s">
        <v>346</v>
      </c>
      <c r="J217" s="831"/>
      <c r="K217" s="80">
        <f>0.051+0.036</f>
        <v>8.6999999999999994E-2</v>
      </c>
      <c r="L217" s="81">
        <v>3837</v>
      </c>
      <c r="M217" s="81">
        <f t="shared" si="41"/>
        <v>333.81899999999996</v>
      </c>
    </row>
    <row r="218" spans="2:13" s="71" customFormat="1" ht="15" customHeight="1">
      <c r="B218" s="107"/>
      <c r="C218" s="107"/>
      <c r="D218" s="829" t="s">
        <v>836</v>
      </c>
      <c r="E218" s="829"/>
      <c r="F218" s="357">
        <f>SUM(F216:F217)</f>
        <v>66935</v>
      </c>
      <c r="G218" s="106"/>
      <c r="H218" s="500" t="s">
        <v>910</v>
      </c>
      <c r="I218" s="830" t="s">
        <v>192</v>
      </c>
      <c r="J218" s="831"/>
      <c r="K218" s="80">
        <f>0.07</f>
        <v>7.0000000000000007E-2</v>
      </c>
      <c r="L218" s="81">
        <v>1126</v>
      </c>
      <c r="M218" s="81">
        <f t="shared" ref="M218:M221" si="42">K218*L218</f>
        <v>78.820000000000007</v>
      </c>
    </row>
    <row r="219" spans="2:13" s="71" customFormat="1" ht="15" customHeight="1">
      <c r="B219" s="107"/>
      <c r="C219" s="107"/>
      <c r="D219" s="423" t="s">
        <v>847</v>
      </c>
      <c r="E219" s="423"/>
      <c r="F219" s="357">
        <f>F216-G212</f>
        <v>-38868.800000000032</v>
      </c>
      <c r="G219" s="106"/>
      <c r="H219" s="500" t="s">
        <v>908</v>
      </c>
      <c r="I219" s="832" t="s">
        <v>405</v>
      </c>
      <c r="J219" s="833"/>
      <c r="K219" s="80">
        <v>0.40799999999999997</v>
      </c>
      <c r="L219" s="81">
        <v>1708</v>
      </c>
      <c r="M219" s="81">
        <f t="shared" si="42"/>
        <v>696.86399999999992</v>
      </c>
    </row>
    <row r="220" spans="2:13" s="71" customFormat="1" ht="15" customHeight="1">
      <c r="B220" s="107"/>
      <c r="C220" s="107"/>
      <c r="D220" s="106"/>
      <c r="E220" s="106"/>
      <c r="F220" s="106"/>
      <c r="G220" s="106"/>
      <c r="H220" s="500" t="s">
        <v>912</v>
      </c>
      <c r="I220" s="834" t="s">
        <v>315</v>
      </c>
      <c r="J220" s="835"/>
      <c r="K220" s="80">
        <f>0.1+0.42</f>
        <v>0.52</v>
      </c>
      <c r="L220" s="81">
        <v>2184</v>
      </c>
      <c r="M220" s="81">
        <f t="shared" si="42"/>
        <v>1135.68</v>
      </c>
    </row>
    <row r="221" spans="2:13" s="71" customFormat="1" ht="15" customHeight="1">
      <c r="B221" s="836" t="s">
        <v>833</v>
      </c>
      <c r="C221" s="837"/>
      <c r="D221" s="273" t="s">
        <v>844</v>
      </c>
      <c r="E221" s="273" t="s">
        <v>845</v>
      </c>
      <c r="F221" s="273" t="s">
        <v>846</v>
      </c>
      <c r="G221" s="273" t="s">
        <v>5</v>
      </c>
      <c r="H221" s="500" t="s">
        <v>911</v>
      </c>
      <c r="I221" s="830" t="s">
        <v>286</v>
      </c>
      <c r="J221" s="831"/>
      <c r="K221" s="80">
        <v>3.5999999999999997E-2</v>
      </c>
      <c r="L221" s="81">
        <v>2065</v>
      </c>
      <c r="M221" s="81">
        <f t="shared" si="42"/>
        <v>74.339999999999989</v>
      </c>
    </row>
    <row r="222" spans="2:13" s="71" customFormat="1" ht="15" customHeight="1">
      <c r="B222" s="439"/>
      <c r="C222" s="439"/>
      <c r="D222" s="273"/>
      <c r="E222" s="273"/>
      <c r="F222" s="273"/>
      <c r="G222" s="273"/>
      <c r="H222" s="500" t="s">
        <v>909</v>
      </c>
      <c r="I222" s="421"/>
      <c r="J222" s="422"/>
      <c r="K222" s="80"/>
      <c r="L222" s="81"/>
      <c r="M222" s="81"/>
    </row>
    <row r="223" spans="2:13" s="71" customFormat="1" ht="15" customHeight="1">
      <c r="B223" s="439"/>
      <c r="C223" s="439"/>
      <c r="D223" s="273"/>
      <c r="E223" s="273"/>
      <c r="F223" s="273"/>
      <c r="G223" s="273"/>
      <c r="H223" s="500" t="s">
        <v>911</v>
      </c>
      <c r="I223" s="421"/>
      <c r="J223" s="422"/>
      <c r="K223" s="80"/>
      <c r="L223" s="81"/>
      <c r="M223" s="81"/>
    </row>
    <row r="224" spans="2:13" s="70" customFormat="1" ht="15" customHeight="1">
      <c r="B224" s="106"/>
      <c r="C224" s="106"/>
      <c r="D224" s="322" t="s">
        <v>843</v>
      </c>
      <c r="E224" s="317"/>
      <c r="F224" s="321">
        <f>SUM(F222:F223)</f>
        <v>0</v>
      </c>
      <c r="G224" s="320">
        <f>SUM(G222:G223)</f>
        <v>0</v>
      </c>
      <c r="H224" s="246"/>
      <c r="I224" s="442"/>
      <c r="J224" s="443"/>
      <c r="K224" s="109"/>
      <c r="L224" s="109"/>
      <c r="M224" s="317"/>
    </row>
    <row r="225" spans="1:13" s="71" customFormat="1" ht="15" customHeight="1">
      <c r="B225" s="107"/>
      <c r="C225" s="107"/>
      <c r="D225" s="273" t="s">
        <v>27</v>
      </c>
      <c r="E225" s="109">
        <v>22</v>
      </c>
      <c r="F225" s="332">
        <v>2000</v>
      </c>
      <c r="G225" s="329">
        <f>F225*E225</f>
        <v>44000</v>
      </c>
      <c r="H225" s="246"/>
      <c r="I225" s="838"/>
      <c r="J225" s="839"/>
      <c r="K225" s="102"/>
      <c r="L225" s="102"/>
      <c r="M225" s="388"/>
    </row>
    <row r="226" spans="1:13" s="71" customFormat="1" ht="15" customHeight="1">
      <c r="B226" s="107"/>
      <c r="C226" s="107"/>
      <c r="D226" s="273" t="s">
        <v>849</v>
      </c>
      <c r="E226" s="109">
        <v>34</v>
      </c>
      <c r="F226" s="332">
        <v>200</v>
      </c>
      <c r="G226" s="329">
        <f t="shared" ref="G226:G230" si="43">F226*E226</f>
        <v>6800</v>
      </c>
      <c r="H226" s="246"/>
      <c r="I226" s="847"/>
      <c r="J226" s="848"/>
      <c r="K226" s="109"/>
      <c r="L226" s="109"/>
      <c r="M226" s="102"/>
    </row>
    <row r="227" spans="1:13" s="71" customFormat="1" ht="15" customHeight="1">
      <c r="A227" s="424"/>
      <c r="B227" s="107"/>
      <c r="C227" s="107"/>
      <c r="D227" s="273" t="s">
        <v>170</v>
      </c>
      <c r="E227" s="109">
        <v>227</v>
      </c>
      <c r="F227" s="332">
        <v>5</v>
      </c>
      <c r="G227" s="329">
        <f t="shared" si="43"/>
        <v>1135</v>
      </c>
      <c r="H227" s="106"/>
      <c r="I227" s="844" t="s">
        <v>906</v>
      </c>
      <c r="J227" s="845"/>
      <c r="K227" s="490">
        <f>SUM(K216:K226)</f>
        <v>1.6039999999999999</v>
      </c>
      <c r="L227" s="104"/>
      <c r="M227" s="489">
        <f>SUM(M216:M226)</f>
        <v>2652.3100000000004</v>
      </c>
    </row>
    <row r="228" spans="1:13" s="71" customFormat="1" ht="15" customHeight="1">
      <c r="B228" s="107"/>
      <c r="C228" s="107"/>
      <c r="D228" s="390" t="s">
        <v>181</v>
      </c>
      <c r="E228" s="109">
        <v>165</v>
      </c>
      <c r="F228" s="332"/>
      <c r="G228" s="329">
        <f t="shared" si="43"/>
        <v>0</v>
      </c>
      <c r="H228" s="106"/>
      <c r="I228" s="106"/>
      <c r="J228" s="106"/>
      <c r="K228" s="106"/>
      <c r="L228" s="106"/>
      <c r="M228" s="263">
        <f>G211+M227</f>
        <v>84946.248999999996</v>
      </c>
    </row>
    <row r="229" spans="1:13" s="71" customFormat="1" ht="15" customHeight="1">
      <c r="B229" s="107"/>
      <c r="C229" s="107"/>
      <c r="D229" s="273" t="s">
        <v>907</v>
      </c>
      <c r="E229" s="389">
        <v>46</v>
      </c>
      <c r="F229" s="332"/>
      <c r="G229" s="329">
        <f t="shared" si="43"/>
        <v>0</v>
      </c>
      <c r="H229" s="106"/>
      <c r="I229" s="106"/>
      <c r="J229" s="106"/>
      <c r="K229" s="106"/>
      <c r="L229" s="106"/>
    </row>
    <row r="230" spans="1:13" s="71" customFormat="1" ht="15" customHeight="1">
      <c r="B230" s="107"/>
      <c r="C230" s="107"/>
      <c r="D230" s="390" t="s">
        <v>211</v>
      </c>
      <c r="E230" s="81">
        <v>120</v>
      </c>
      <c r="F230" s="332">
        <v>125</v>
      </c>
      <c r="G230" s="329">
        <f t="shared" si="43"/>
        <v>15000</v>
      </c>
      <c r="H230" s="106"/>
      <c r="I230" s="106"/>
      <c r="J230" s="106"/>
      <c r="K230" s="106"/>
      <c r="L230" s="106"/>
    </row>
    <row r="231" spans="1:13" s="70" customFormat="1" ht="15" customHeight="1">
      <c r="D231" s="322" t="s">
        <v>843</v>
      </c>
      <c r="E231" s="317"/>
      <c r="F231" s="321">
        <f>SUM(F225:F230)</f>
        <v>2330</v>
      </c>
      <c r="G231" s="320">
        <f>SUM(G225:G230)</f>
        <v>66935</v>
      </c>
    </row>
    <row r="232" spans="1:13" s="71" customFormat="1" ht="15" customHeight="1">
      <c r="B232" s="107"/>
      <c r="C232" s="107"/>
      <c r="D232" s="322" t="s">
        <v>969</v>
      </c>
      <c r="E232" s="317"/>
      <c r="F232" s="321">
        <f>F224+F231</f>
        <v>2330</v>
      </c>
      <c r="G232" s="320">
        <f>G224+G231</f>
        <v>66935</v>
      </c>
      <c r="H232" s="107"/>
      <c r="I232" s="107"/>
      <c r="J232" s="107"/>
      <c r="K232" s="107"/>
      <c r="L232" s="107"/>
    </row>
    <row r="233" spans="1:13" s="71" customFormat="1" ht="15" customHeight="1"/>
    <row r="234" spans="1:13" s="71" customFormat="1" ht="15" customHeight="1">
      <c r="M234" s="216"/>
    </row>
    <row r="235" spans="1:13" s="71" customFormat="1" ht="15" customHeight="1"/>
    <row r="236" spans="1:13" s="71" customFormat="1" ht="15" customHeight="1"/>
    <row r="237" spans="1:13" s="71" customFormat="1" ht="15" customHeight="1"/>
    <row r="238" spans="1:13" s="71" customFormat="1" ht="15" customHeight="1"/>
    <row r="239" spans="1:13" s="71" customFormat="1" ht="15" customHeight="1"/>
    <row r="240" spans="1:13" s="71" customFormat="1" ht="15" customHeight="1"/>
    <row r="241" spans="1:13" s="71" customFormat="1" ht="15" customHeight="1"/>
    <row r="242" spans="1:13" s="71" customFormat="1" ht="15" customHeight="1"/>
    <row r="243" spans="1:13" s="71" customFormat="1" ht="15" customHeight="1"/>
    <row r="244" spans="1:13" s="71" customFormat="1" ht="15" customHeight="1"/>
    <row r="245" spans="1:13" s="71" customFormat="1" ht="15" customHeight="1"/>
    <row r="246" spans="1:13" s="71" customFormat="1" ht="15" customHeight="1">
      <c r="A246" s="840" t="s">
        <v>240</v>
      </c>
      <c r="B246" s="840"/>
      <c r="C246" s="840" t="s">
        <v>765</v>
      </c>
      <c r="D246" s="840"/>
      <c r="E246" s="840" t="s">
        <v>764</v>
      </c>
      <c r="F246" s="840"/>
      <c r="G246" s="380" t="s">
        <v>66</v>
      </c>
      <c r="H246" s="840" t="s">
        <v>411</v>
      </c>
      <c r="I246" s="840"/>
      <c r="J246" s="840"/>
      <c r="K246" s="840" t="s">
        <v>68</v>
      </c>
      <c r="L246" s="840"/>
      <c r="M246" s="840"/>
    </row>
    <row r="247" spans="1:13" s="71" customFormat="1" ht="15" customHeight="1">
      <c r="A247" s="493"/>
      <c r="B247" s="493"/>
      <c r="C247" s="493"/>
      <c r="D247" s="493"/>
      <c r="E247" s="493"/>
      <c r="F247" s="493"/>
      <c r="G247" s="380"/>
      <c r="H247" s="493"/>
      <c r="I247" s="493"/>
      <c r="J247" s="493"/>
      <c r="K247" s="493"/>
      <c r="L247" s="493"/>
      <c r="M247" s="493"/>
    </row>
    <row r="248" spans="1:13" s="71" customFormat="1" ht="15" customHeight="1">
      <c r="A248" s="493"/>
      <c r="B248" s="493"/>
      <c r="C248" s="493"/>
      <c r="D248" s="493"/>
      <c r="E248" s="493"/>
      <c r="F248" s="493"/>
      <c r="G248" s="380"/>
      <c r="H248" s="493"/>
      <c r="I248" s="493"/>
      <c r="J248" s="493"/>
      <c r="K248" s="493"/>
      <c r="L248" s="493"/>
      <c r="M248" s="493"/>
    </row>
    <row r="249" spans="1:13" s="71" customFormat="1" ht="15" customHeight="1">
      <c r="A249" s="493"/>
      <c r="B249" s="493"/>
      <c r="C249" s="493"/>
      <c r="D249" s="493"/>
      <c r="E249" s="493"/>
      <c r="F249" s="493"/>
      <c r="G249" s="380"/>
      <c r="H249" s="493"/>
      <c r="I249" s="493"/>
      <c r="J249" s="493"/>
      <c r="K249" s="493"/>
      <c r="L249" s="493"/>
      <c r="M249" s="493"/>
    </row>
    <row r="250" spans="1:13" s="71" customFormat="1" ht="15" customHeight="1">
      <c r="A250" s="493"/>
      <c r="B250" s="493"/>
      <c r="C250" s="493"/>
      <c r="D250" s="493"/>
      <c r="E250" s="493"/>
      <c r="F250" s="493"/>
      <c r="G250" s="380"/>
      <c r="H250" s="493"/>
      <c r="I250" s="493"/>
      <c r="J250" s="493"/>
      <c r="K250" s="493"/>
      <c r="L250" s="493"/>
      <c r="M250" s="493"/>
    </row>
    <row r="251" spans="1:13" s="71" customFormat="1" ht="15" customHeight="1">
      <c r="A251" s="493"/>
      <c r="B251" s="493"/>
      <c r="C251" s="493"/>
      <c r="D251" s="493"/>
      <c r="E251" s="493"/>
      <c r="F251" s="493"/>
      <c r="G251" s="380"/>
      <c r="H251" s="493"/>
      <c r="I251" s="493"/>
      <c r="J251" s="493"/>
      <c r="K251" s="493"/>
      <c r="L251" s="493"/>
      <c r="M251" s="493"/>
    </row>
    <row r="252" spans="1:13" s="71" customFormat="1" ht="15" customHeight="1">
      <c r="A252" s="493"/>
      <c r="B252" s="493"/>
      <c r="C252" s="493"/>
      <c r="D252" s="493"/>
      <c r="E252" s="493"/>
      <c r="F252" s="493"/>
      <c r="G252" s="380"/>
      <c r="H252" s="493"/>
      <c r="I252" s="493"/>
      <c r="J252" s="493"/>
      <c r="K252" s="493"/>
      <c r="L252" s="493"/>
      <c r="M252" s="493"/>
    </row>
    <row r="253" spans="1:13" s="71" customFormat="1" ht="15" customHeight="1">
      <c r="A253" s="493"/>
      <c r="B253" s="493"/>
      <c r="C253" s="493"/>
      <c r="D253" s="493"/>
      <c r="E253" s="493"/>
      <c r="F253" s="493"/>
      <c r="G253" s="380"/>
      <c r="H253" s="493"/>
      <c r="I253" s="493"/>
      <c r="J253" s="493"/>
      <c r="K253" s="493"/>
      <c r="L253" s="493"/>
      <c r="M253" s="493"/>
    </row>
    <row r="254" spans="1:13" s="71" customFormat="1" ht="15" customHeight="1">
      <c r="A254" s="493"/>
      <c r="B254" s="493"/>
      <c r="C254" s="493"/>
      <c r="D254" s="493"/>
      <c r="E254" s="493"/>
      <c r="F254" s="493"/>
      <c r="G254" s="380"/>
      <c r="H254" s="493"/>
      <c r="I254" s="493"/>
      <c r="J254" s="493"/>
      <c r="K254" s="493"/>
      <c r="L254" s="493"/>
      <c r="M254" s="493"/>
    </row>
    <row r="255" spans="1:13" s="71" customFormat="1" ht="15" customHeight="1">
      <c r="A255" s="493"/>
      <c r="B255" s="493"/>
      <c r="C255" s="493"/>
      <c r="D255" s="493"/>
      <c r="E255" s="493"/>
      <c r="F255" s="493"/>
      <c r="G255" s="380"/>
      <c r="H255" s="493"/>
      <c r="I255" s="493"/>
      <c r="J255" s="493"/>
      <c r="K255" s="493"/>
      <c r="L255" s="493"/>
      <c r="M255" s="493"/>
    </row>
    <row r="256" spans="1:13" s="71" customFormat="1" ht="15" customHeight="1">
      <c r="A256" s="493"/>
      <c r="B256" s="493"/>
      <c r="C256" s="493"/>
      <c r="D256" s="493"/>
      <c r="E256" s="493"/>
      <c r="F256" s="493"/>
      <c r="G256" s="380"/>
      <c r="H256" s="493"/>
      <c r="I256" s="493"/>
      <c r="J256" s="493"/>
      <c r="K256" s="493"/>
      <c r="L256" s="493"/>
      <c r="M256" s="493"/>
    </row>
    <row r="257" spans="1:13" s="71" customFormat="1" ht="15" customHeight="1">
      <c r="A257" s="493"/>
      <c r="B257" s="493"/>
      <c r="C257" s="493"/>
      <c r="D257" s="493"/>
      <c r="E257" s="493"/>
      <c r="F257" s="493"/>
      <c r="G257" s="380"/>
      <c r="H257" s="493"/>
      <c r="I257" s="493"/>
      <c r="J257" s="493"/>
      <c r="K257" s="493"/>
      <c r="L257" s="493"/>
      <c r="M257" s="493"/>
    </row>
    <row r="258" spans="1:13" s="71" customFormat="1" ht="15" customHeight="1">
      <c r="A258" s="493"/>
      <c r="B258" s="493"/>
      <c r="C258" s="493"/>
      <c r="D258" s="493"/>
      <c r="E258" s="493"/>
      <c r="F258" s="493"/>
      <c r="G258" s="380"/>
      <c r="H258" s="493"/>
      <c r="I258" s="493"/>
      <c r="J258" s="493"/>
      <c r="K258" s="493"/>
      <c r="L258" s="493"/>
      <c r="M258" s="493"/>
    </row>
    <row r="259" spans="1:13" s="71" customFormat="1" ht="15" customHeight="1">
      <c r="A259" s="493"/>
      <c r="B259" s="493"/>
      <c r="C259" s="493"/>
      <c r="D259" s="493"/>
      <c r="E259" s="493"/>
      <c r="F259" s="493"/>
      <c r="G259" s="380"/>
      <c r="H259" s="493"/>
      <c r="I259" s="493"/>
      <c r="J259" s="493"/>
      <c r="K259" s="493"/>
      <c r="L259" s="493"/>
      <c r="M259" s="493"/>
    </row>
    <row r="260" spans="1:13" s="71" customFormat="1" ht="15" customHeight="1">
      <c r="A260" s="493"/>
      <c r="B260" s="493"/>
      <c r="C260" s="493"/>
      <c r="D260" s="493"/>
      <c r="E260" s="493"/>
      <c r="F260" s="493"/>
      <c r="G260" s="380"/>
      <c r="H260" s="493"/>
      <c r="I260" s="493"/>
      <c r="J260" s="493"/>
      <c r="K260" s="493"/>
      <c r="L260" s="493"/>
      <c r="M260" s="493"/>
    </row>
    <row r="261" spans="1:13" s="71" customFormat="1" ht="15" customHeight="1">
      <c r="A261" s="493"/>
      <c r="B261" s="493"/>
      <c r="C261" s="493"/>
      <c r="D261" s="493"/>
      <c r="E261" s="493"/>
      <c r="F261" s="493"/>
      <c r="G261" s="380"/>
      <c r="H261" s="493"/>
      <c r="I261" s="493"/>
      <c r="J261" s="493"/>
      <c r="K261" s="493"/>
      <c r="L261" s="493"/>
      <c r="M261" s="493"/>
    </row>
    <row r="262" spans="1:13" s="71" customFormat="1" ht="15" customHeight="1">
      <c r="A262" s="493"/>
      <c r="B262" s="493"/>
      <c r="C262" s="493"/>
      <c r="D262" s="493"/>
      <c r="E262" s="493"/>
      <c r="F262" s="493"/>
      <c r="G262" s="380"/>
      <c r="H262" s="493"/>
      <c r="I262" s="493"/>
      <c r="J262" s="493"/>
      <c r="K262" s="493"/>
      <c r="L262" s="493"/>
      <c r="M262" s="493"/>
    </row>
    <row r="263" spans="1:13" s="71" customFormat="1" ht="15" customHeight="1">
      <c r="A263" s="493"/>
      <c r="B263" s="493"/>
      <c r="C263" s="493"/>
      <c r="D263" s="493"/>
      <c r="E263" s="493"/>
      <c r="F263" s="493"/>
      <c r="G263" s="380"/>
      <c r="H263" s="493"/>
      <c r="I263" s="493"/>
      <c r="J263" s="493"/>
      <c r="K263" s="493"/>
      <c r="L263" s="493"/>
      <c r="M263" s="493"/>
    </row>
    <row r="264" spans="1:13" s="71" customFormat="1" ht="15" customHeight="1">
      <c r="A264" s="493"/>
      <c r="B264" s="493"/>
      <c r="C264" s="493"/>
      <c r="D264" s="493"/>
      <c r="E264" s="493"/>
      <c r="F264" s="493"/>
      <c r="G264" s="380"/>
      <c r="H264" s="493"/>
      <c r="I264" s="493"/>
      <c r="J264" s="493"/>
      <c r="K264" s="493"/>
      <c r="L264" s="493"/>
      <c r="M264" s="493"/>
    </row>
    <row r="265" spans="1:13" s="71" customFormat="1" ht="15" customHeight="1">
      <c r="A265" s="493"/>
      <c r="B265" s="493"/>
      <c r="C265" s="493"/>
      <c r="D265" s="493"/>
      <c r="E265" s="493"/>
      <c r="F265" s="493"/>
      <c r="G265" s="380"/>
      <c r="H265" s="493"/>
      <c r="I265" s="493"/>
      <c r="J265" s="493"/>
      <c r="K265" s="493"/>
      <c r="L265" s="493"/>
      <c r="M265" s="493"/>
    </row>
    <row r="266" spans="1:13" s="71" customFormat="1" ht="15" customHeight="1">
      <c r="A266" s="493"/>
      <c r="B266" s="493"/>
      <c r="C266" s="493"/>
      <c r="D266" s="493"/>
      <c r="E266" s="493"/>
      <c r="F266" s="493"/>
      <c r="G266" s="380"/>
      <c r="H266" s="493"/>
      <c r="I266" s="493"/>
      <c r="J266" s="493"/>
      <c r="K266" s="493"/>
      <c r="L266" s="493"/>
      <c r="M266" s="493"/>
    </row>
    <row r="267" spans="1:13" s="71" customFormat="1" ht="15" customHeight="1">
      <c r="A267" s="493"/>
      <c r="B267" s="493"/>
      <c r="C267" s="493"/>
      <c r="D267" s="493"/>
      <c r="E267" s="493"/>
      <c r="F267" s="493"/>
      <c r="G267" s="380"/>
      <c r="H267" s="493"/>
      <c r="I267" s="493"/>
      <c r="J267" s="493"/>
      <c r="K267" s="493"/>
      <c r="L267" s="493"/>
      <c r="M267" s="493"/>
    </row>
    <row r="268" spans="1:13" s="71" customFormat="1" ht="15" customHeight="1">
      <c r="A268" s="493"/>
      <c r="B268" s="493"/>
      <c r="C268" s="493"/>
      <c r="D268" s="493"/>
      <c r="E268" s="493"/>
      <c r="F268" s="493"/>
      <c r="G268" s="380"/>
      <c r="H268" s="493"/>
      <c r="I268" s="493"/>
      <c r="J268" s="493"/>
      <c r="K268" s="493"/>
      <c r="L268" s="493"/>
      <c r="M268" s="493"/>
    </row>
    <row r="269" spans="1:13" s="71" customFormat="1" ht="15" customHeight="1">
      <c r="A269" s="493"/>
      <c r="B269" s="493"/>
      <c r="C269" s="493"/>
      <c r="D269" s="493"/>
      <c r="E269" s="493"/>
      <c r="F269" s="493"/>
      <c r="G269" s="380"/>
      <c r="H269" s="493"/>
      <c r="I269" s="493"/>
      <c r="J269" s="493"/>
      <c r="K269" s="493"/>
      <c r="L269" s="493"/>
      <c r="M269" s="493"/>
    </row>
    <row r="270" spans="1:13" s="71" customFormat="1" ht="15" customHeight="1">
      <c r="A270" s="493"/>
      <c r="B270" s="493"/>
      <c r="C270" s="493"/>
      <c r="D270" s="493"/>
      <c r="E270" s="493"/>
      <c r="F270" s="493"/>
      <c r="G270" s="380"/>
      <c r="H270" s="493"/>
      <c r="I270" s="493"/>
      <c r="J270" s="493"/>
      <c r="K270" s="493"/>
      <c r="L270" s="493"/>
      <c r="M270" s="493"/>
    </row>
    <row r="271" spans="1:13" s="71" customFormat="1" ht="15" customHeight="1">
      <c r="A271" s="493"/>
      <c r="B271" s="493"/>
      <c r="C271" s="493"/>
      <c r="D271" s="493"/>
      <c r="E271" s="493"/>
      <c r="F271" s="493"/>
      <c r="G271" s="380"/>
      <c r="H271" s="493"/>
      <c r="I271" s="493"/>
      <c r="J271" s="493"/>
      <c r="K271" s="493"/>
      <c r="L271" s="493"/>
      <c r="M271" s="493"/>
    </row>
    <row r="272" spans="1:13" s="71" customFormat="1" ht="15" customHeight="1">
      <c r="A272" s="493"/>
      <c r="B272" s="493"/>
      <c r="C272" s="493"/>
      <c r="D272" s="493"/>
      <c r="E272" s="493"/>
      <c r="F272" s="493"/>
      <c r="G272" s="380"/>
      <c r="H272" s="493"/>
      <c r="I272" s="493"/>
      <c r="J272" s="493"/>
      <c r="K272" s="493"/>
      <c r="L272" s="493"/>
      <c r="M272" s="493"/>
    </row>
    <row r="273" spans="1:14" s="71" customFormat="1" ht="15" customHeight="1">
      <c r="A273" s="493"/>
      <c r="B273" s="493"/>
      <c r="C273" s="493"/>
      <c r="D273" s="493"/>
      <c r="E273" s="493"/>
      <c r="F273" s="493"/>
      <c r="G273" s="380"/>
      <c r="H273" s="493"/>
      <c r="I273" s="493"/>
      <c r="J273" s="493"/>
      <c r="K273" s="493"/>
      <c r="L273" s="493"/>
      <c r="M273" s="493"/>
    </row>
    <row r="274" spans="1:14" s="71" customFormat="1" ht="15" customHeight="1">
      <c r="A274" s="493"/>
      <c r="B274" s="493"/>
      <c r="C274" s="493"/>
      <c r="D274" s="493"/>
      <c r="E274" s="493"/>
      <c r="F274" s="493"/>
      <c r="G274" s="380"/>
      <c r="H274" s="493"/>
      <c r="I274" s="493"/>
      <c r="J274" s="493"/>
      <c r="K274" s="493"/>
      <c r="L274" s="493"/>
      <c r="M274" s="493"/>
    </row>
    <row r="275" spans="1:14" s="71" customFormat="1" ht="15" customHeight="1"/>
    <row r="276" spans="1:14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</row>
    <row r="277" spans="1:14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</row>
    <row r="278" spans="1:14">
      <c r="A278" s="71"/>
      <c r="B278" s="71"/>
      <c r="C278" s="71"/>
      <c r="D278" s="71"/>
      <c r="E278" s="71"/>
      <c r="F278" s="71"/>
      <c r="G278" s="85" t="s">
        <v>19</v>
      </c>
      <c r="H278" s="102"/>
      <c r="I278" s="144" t="e">
        <f>I21+I27+#REF!+I35+#REF!+I48+#REF!+#REF!+#REF!+#REF!+I155+#REF!</f>
        <v>#REF!</v>
      </c>
      <c r="J278" s="102"/>
      <c r="K278" s="71"/>
      <c r="L278" s="71"/>
      <c r="M278" s="71"/>
      <c r="N278" s="71"/>
    </row>
    <row r="279" spans="1:14">
      <c r="A279" s="71"/>
      <c r="B279" s="71"/>
      <c r="C279" s="71"/>
      <c r="D279" s="71"/>
      <c r="E279" s="71"/>
      <c r="F279" s="71"/>
      <c r="G279" s="85" t="s">
        <v>18</v>
      </c>
      <c r="H279" s="102"/>
      <c r="I279" s="145" t="e">
        <f>I22+I28+#REF!+#REF!+#REF!</f>
        <v>#REF!</v>
      </c>
      <c r="J279" s="102"/>
      <c r="K279" s="71"/>
      <c r="L279" s="71"/>
      <c r="M279" s="71"/>
      <c r="N279" s="71"/>
    </row>
    <row r="280" spans="1:14">
      <c r="A280" s="71"/>
      <c r="B280" s="71"/>
      <c r="C280" s="71"/>
      <c r="D280" s="71"/>
      <c r="E280" s="71"/>
      <c r="F280" s="71"/>
      <c r="G280" s="85" t="s">
        <v>10</v>
      </c>
      <c r="H280" s="102"/>
      <c r="I280" s="144" t="e">
        <f>I60+I68+#REF!+#REF!+#REF!+#REF!+#REF!+I178+#REF!+#REF!</f>
        <v>#REF!</v>
      </c>
      <c r="J280" s="102"/>
      <c r="K280" s="71"/>
      <c r="L280" s="71"/>
      <c r="M280" s="71"/>
      <c r="N280" s="71"/>
    </row>
    <row r="281" spans="1:14">
      <c r="A281" s="71"/>
      <c r="B281" s="71"/>
      <c r="C281" s="71"/>
      <c r="D281" s="71"/>
      <c r="E281" s="71"/>
      <c r="F281" s="71"/>
      <c r="G281" s="146" t="s">
        <v>103</v>
      </c>
      <c r="H281" s="102"/>
      <c r="I281" s="147">
        <f>I36</f>
        <v>0</v>
      </c>
      <c r="J281" s="102"/>
      <c r="K281" s="71"/>
      <c r="L281" s="71"/>
      <c r="M281" s="71"/>
      <c r="N281" s="71"/>
    </row>
    <row r="282" spans="1:14">
      <c r="A282" s="71"/>
      <c r="B282" s="71"/>
      <c r="C282" s="71"/>
      <c r="D282" s="71"/>
      <c r="E282" s="71"/>
      <c r="F282" s="71"/>
      <c r="G282" s="85" t="s">
        <v>76</v>
      </c>
      <c r="H282" s="102"/>
      <c r="I282" s="145" t="e">
        <f>#REF!+#REF!+#REF!+#REF!+#REF!</f>
        <v>#REF!</v>
      </c>
      <c r="J282" s="102"/>
      <c r="K282" s="71"/>
      <c r="L282" s="71"/>
      <c r="M282" s="71"/>
      <c r="N282" s="71"/>
    </row>
    <row r="283" spans="1:14">
      <c r="A283" s="71"/>
      <c r="B283" s="71"/>
      <c r="C283" s="71"/>
      <c r="D283" s="71"/>
      <c r="E283" s="71"/>
      <c r="F283" s="71"/>
      <c r="G283" s="85" t="s">
        <v>17</v>
      </c>
      <c r="H283" s="102"/>
      <c r="I283" s="145" t="e">
        <f>#REF!+#REF!+#REF!+I46+#REF!+#REF!+I156+#REF!</f>
        <v>#REF!</v>
      </c>
      <c r="J283" s="102"/>
      <c r="K283" s="71"/>
      <c r="L283" s="71"/>
      <c r="M283" s="71"/>
      <c r="N283" s="71"/>
    </row>
    <row r="284" spans="1:14">
      <c r="A284" s="71"/>
      <c r="B284" s="71"/>
      <c r="C284" s="71"/>
      <c r="D284" s="71"/>
      <c r="E284" s="71"/>
      <c r="F284" s="71"/>
      <c r="G284" s="148" t="s">
        <v>104</v>
      </c>
      <c r="H284" s="102"/>
      <c r="I284" s="102"/>
      <c r="J284" s="102"/>
      <c r="K284" s="71"/>
      <c r="L284" s="71"/>
      <c r="M284" s="71"/>
      <c r="N284" s="71"/>
    </row>
    <row r="285" spans="1:14">
      <c r="A285" s="71"/>
      <c r="B285" s="71"/>
      <c r="C285" s="71"/>
      <c r="D285" s="71"/>
      <c r="E285" s="71"/>
      <c r="F285" s="71"/>
      <c r="G285" s="85" t="s">
        <v>25</v>
      </c>
      <c r="H285" s="102"/>
      <c r="I285" s="144" t="e">
        <f>#REF!+#REF!</f>
        <v>#REF!</v>
      </c>
      <c r="J285" s="102"/>
      <c r="K285" s="71"/>
      <c r="L285" s="71"/>
      <c r="M285" s="71"/>
      <c r="N285" s="71"/>
    </row>
    <row r="286" spans="1:14">
      <c r="A286" s="71"/>
      <c r="B286" s="71"/>
      <c r="C286" s="71"/>
      <c r="D286" s="71"/>
      <c r="E286" s="71"/>
      <c r="F286" s="71"/>
      <c r="G286" s="85" t="s">
        <v>29</v>
      </c>
      <c r="H286" s="102"/>
      <c r="I286" s="145" t="e">
        <f>I186+#REF!+I216+I244</f>
        <v>#REF!</v>
      </c>
      <c r="J286" s="102"/>
      <c r="K286" s="71"/>
      <c r="L286" s="71"/>
      <c r="M286" s="71"/>
      <c r="N286" s="71"/>
    </row>
    <row r="287" spans="1:14">
      <c r="A287" s="71"/>
      <c r="B287" s="71"/>
      <c r="C287" s="71"/>
      <c r="D287" s="71"/>
      <c r="E287" s="71"/>
      <c r="F287" s="71"/>
      <c r="G287" s="120" t="s">
        <v>28</v>
      </c>
      <c r="H287" s="102"/>
      <c r="I287" s="144" t="e">
        <f>#REF!+#REF!+I153+I189+#REF!+I235+#REF!</f>
        <v>#REF!</v>
      </c>
      <c r="J287" s="102"/>
      <c r="K287" s="71"/>
      <c r="L287" s="71"/>
      <c r="M287" s="71"/>
      <c r="N287" s="71"/>
    </row>
    <row r="288" spans="1:14">
      <c r="A288" s="71"/>
      <c r="B288" s="71"/>
      <c r="C288" s="71"/>
      <c r="D288" s="71"/>
      <c r="E288" s="71"/>
      <c r="F288" s="71"/>
      <c r="G288" s="120" t="s">
        <v>26</v>
      </c>
      <c r="H288" s="102"/>
      <c r="I288" s="144" t="e">
        <f>I172+#REF!+#REF!+#REF!</f>
        <v>#REF!</v>
      </c>
      <c r="J288" s="102"/>
      <c r="K288" s="71"/>
      <c r="L288" s="71"/>
      <c r="M288" s="71"/>
      <c r="N288" s="71"/>
    </row>
    <row r="289" spans="1:14">
      <c r="A289" s="71"/>
      <c r="B289" s="71"/>
      <c r="C289" s="71"/>
      <c r="D289" s="71"/>
      <c r="E289" s="71"/>
      <c r="F289" s="71"/>
      <c r="G289" s="120" t="s">
        <v>75</v>
      </c>
      <c r="H289" s="102"/>
      <c r="I289" s="144" t="e">
        <f>#REF!+#REF!</f>
        <v>#REF!</v>
      </c>
      <c r="J289" s="102"/>
      <c r="K289" s="71"/>
      <c r="L289" s="71"/>
      <c r="M289" s="71"/>
      <c r="N289" s="71"/>
    </row>
    <row r="290" spans="1:14">
      <c r="A290" s="71"/>
      <c r="B290" s="71"/>
      <c r="C290" s="71"/>
      <c r="D290" s="71"/>
      <c r="E290" s="71"/>
      <c r="F290" s="71"/>
      <c r="G290" s="120" t="s">
        <v>105</v>
      </c>
      <c r="H290" s="102"/>
      <c r="I290" s="147" t="e">
        <f>#REF!</f>
        <v>#REF!</v>
      </c>
      <c r="J290" s="102"/>
      <c r="K290" s="71"/>
      <c r="L290" s="71"/>
      <c r="M290" s="71"/>
      <c r="N290" s="71"/>
    </row>
    <row r="291" spans="1:14">
      <c r="A291" s="71"/>
      <c r="B291" s="71"/>
      <c r="C291" s="71"/>
      <c r="D291" s="71"/>
      <c r="E291" s="71"/>
      <c r="F291" s="71"/>
      <c r="G291" s="120" t="s">
        <v>62</v>
      </c>
      <c r="H291" s="102"/>
      <c r="I291" s="145" t="e">
        <f>I37+#REF!+#REF!+#REF!+#REF!</f>
        <v>#REF!</v>
      </c>
      <c r="J291" s="102"/>
      <c r="K291" s="71"/>
      <c r="L291" s="71"/>
      <c r="M291" s="71"/>
      <c r="N291" s="71"/>
    </row>
    <row r="292" spans="1:14">
      <c r="G292" s="25" t="s">
        <v>111</v>
      </c>
      <c r="H292" s="2"/>
      <c r="I292" s="2"/>
      <c r="J292" s="2"/>
    </row>
    <row r="293" spans="1:14">
      <c r="G293" s="62" t="s">
        <v>112</v>
      </c>
      <c r="H293" s="2"/>
      <c r="I293" s="2"/>
      <c r="J293" s="2"/>
    </row>
    <row r="294" spans="1:14">
      <c r="G294" s="62" t="s">
        <v>106</v>
      </c>
      <c r="H294" s="2"/>
      <c r="I294" s="2"/>
      <c r="J294" s="2"/>
    </row>
    <row r="295" spans="1:14">
      <c r="G295" s="62" t="s">
        <v>107</v>
      </c>
      <c r="H295" s="2"/>
      <c r="I295" s="2"/>
      <c r="J295" s="2"/>
    </row>
    <row r="296" spans="1:14">
      <c r="G296" s="62" t="s">
        <v>108</v>
      </c>
      <c r="H296" s="2"/>
      <c r="I296" s="2"/>
      <c r="J296" s="2"/>
    </row>
    <row r="297" spans="1:14">
      <c r="G297" s="62" t="s">
        <v>109</v>
      </c>
      <c r="H297" s="2"/>
      <c r="I297" s="2"/>
      <c r="J297" s="2"/>
    </row>
    <row r="298" spans="1:14">
      <c r="G298" s="62" t="s">
        <v>110</v>
      </c>
      <c r="H298" s="2"/>
      <c r="I298" s="2"/>
      <c r="J298" s="2"/>
    </row>
  </sheetData>
  <mergeCells count="21">
    <mergeCell ref="A246:B246"/>
    <mergeCell ref="C246:D246"/>
    <mergeCell ref="E246:F246"/>
    <mergeCell ref="H246:J246"/>
    <mergeCell ref="K246:M246"/>
    <mergeCell ref="I225:J225"/>
    <mergeCell ref="I226:J226"/>
    <mergeCell ref="I227:J227"/>
    <mergeCell ref="B221:C221"/>
    <mergeCell ref="I221:J221"/>
    <mergeCell ref="I219:J219"/>
    <mergeCell ref="I220:J220"/>
    <mergeCell ref="A1:M1"/>
    <mergeCell ref="A2:M2"/>
    <mergeCell ref="A3:M3"/>
    <mergeCell ref="I216:J216"/>
    <mergeCell ref="I217:J217"/>
    <mergeCell ref="D216:E216"/>
    <mergeCell ref="D217:E217"/>
    <mergeCell ref="D218:E218"/>
    <mergeCell ref="I218:J218"/>
  </mergeCells>
  <pageMargins left="0.45" right="0.2" top="0.25" bottom="0.25" header="0.3" footer="0.3"/>
  <pageSetup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235"/>
  <sheetViews>
    <sheetView topLeftCell="A184" workbookViewId="0">
      <selection activeCell="J19" sqref="J19:J21"/>
    </sheetView>
  </sheetViews>
  <sheetFormatPr defaultRowHeight="15"/>
  <cols>
    <col min="2" max="2" width="13.42578125" customWidth="1"/>
    <col min="3" max="3" width="12.5703125" customWidth="1"/>
    <col min="4" max="4" width="19.28515625" customWidth="1"/>
    <col min="5" max="5" width="14" bestFit="1" customWidth="1"/>
    <col min="6" max="6" width="11.140625" bestFit="1" customWidth="1"/>
    <col min="7" max="7" width="24.42578125" bestFit="1" customWidth="1"/>
    <col min="8" max="8" width="6.5703125" bestFit="1" customWidth="1"/>
    <col min="9" max="10" width="11.42578125" customWidth="1"/>
    <col min="11" max="11" width="12" customWidth="1"/>
    <col min="12" max="12" width="9.5703125" bestFit="1" customWidth="1"/>
    <col min="13" max="13" width="12.28515625" customWidth="1"/>
    <col min="14" max="14" width="12.42578125" customWidth="1"/>
  </cols>
  <sheetData>
    <row r="1" spans="1:14" ht="23.25">
      <c r="A1" s="846" t="s">
        <v>146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383"/>
    </row>
    <row r="2" spans="1:14" s="71" customFormat="1" ht="15" customHeight="1">
      <c r="A2" s="827" t="s">
        <v>147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384"/>
    </row>
    <row r="3" spans="1:14" s="441" customFormat="1" ht="15" customHeight="1">
      <c r="A3" s="828" t="s">
        <v>148</v>
      </c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  <c r="M3" s="828"/>
      <c r="N3" s="385"/>
    </row>
    <row r="4" spans="1:14" s="71" customFormat="1" ht="15" customHeight="1">
      <c r="A4" s="70" t="s">
        <v>21</v>
      </c>
      <c r="B4" s="70"/>
      <c r="C4" s="70"/>
      <c r="D4" s="70"/>
      <c r="E4" s="70"/>
      <c r="K4" s="824" t="s">
        <v>890</v>
      </c>
      <c r="L4" s="824"/>
      <c r="M4" s="824"/>
    </row>
    <row r="5" spans="1:14" s="71" customFormat="1" ht="15" customHeight="1">
      <c r="A5" s="274" t="s">
        <v>0</v>
      </c>
      <c r="B5" s="274" t="s">
        <v>7</v>
      </c>
      <c r="C5" s="274" t="s">
        <v>13</v>
      </c>
      <c r="D5" s="274" t="s">
        <v>14</v>
      </c>
      <c r="E5" s="274" t="s">
        <v>8</v>
      </c>
      <c r="F5" s="274" t="s">
        <v>1</v>
      </c>
      <c r="G5" s="274" t="s">
        <v>2</v>
      </c>
      <c r="H5" s="274" t="s">
        <v>15</v>
      </c>
      <c r="I5" s="274" t="s">
        <v>3</v>
      </c>
      <c r="J5" s="274" t="s">
        <v>4</v>
      </c>
      <c r="K5" s="274" t="s">
        <v>5</v>
      </c>
      <c r="L5" s="274" t="s">
        <v>12</v>
      </c>
      <c r="M5" s="274" t="s">
        <v>6</v>
      </c>
    </row>
    <row r="6" spans="1:14" s="107" customFormat="1" ht="15" customHeight="1">
      <c r="A6" s="427">
        <v>1</v>
      </c>
      <c r="B6" s="427" t="s">
        <v>456</v>
      </c>
      <c r="C6" s="427" t="s">
        <v>386</v>
      </c>
      <c r="D6" s="427" t="s">
        <v>452</v>
      </c>
      <c r="E6" s="427"/>
      <c r="F6" s="99"/>
      <c r="G6" s="517" t="s">
        <v>1070</v>
      </c>
      <c r="H6" s="79"/>
      <c r="I6" s="80"/>
      <c r="J6" s="81">
        <v>227</v>
      </c>
      <c r="K6" s="81">
        <f t="shared" ref="K6:K7" si="0">I6*J6</f>
        <v>0</v>
      </c>
      <c r="L6" s="79"/>
      <c r="M6" s="156">
        <f>I6+I10</f>
        <v>0</v>
      </c>
      <c r="N6" s="427" t="s">
        <v>173</v>
      </c>
    </row>
    <row r="7" spans="1:14" s="107" customFormat="1" ht="15" customHeight="1">
      <c r="A7" s="428"/>
      <c r="B7" s="428"/>
      <c r="C7" s="428"/>
      <c r="D7" s="428"/>
      <c r="E7" s="428"/>
      <c r="F7" s="98"/>
      <c r="G7" s="517" t="s">
        <v>1067</v>
      </c>
      <c r="H7" s="79"/>
      <c r="I7" s="80"/>
      <c r="J7" s="81">
        <v>416</v>
      </c>
      <c r="K7" s="81">
        <f t="shared" si="0"/>
        <v>0</v>
      </c>
      <c r="L7" s="102"/>
      <c r="M7" s="156" t="e">
        <f>I7+I11+#REF!+I19</f>
        <v>#REF!</v>
      </c>
      <c r="N7" s="427" t="s">
        <v>174</v>
      </c>
    </row>
    <row r="8" spans="1:14" s="107" customFormat="1" ht="15" customHeight="1">
      <c r="A8" s="428"/>
      <c r="B8" s="428"/>
      <c r="C8" s="428"/>
      <c r="D8" s="428"/>
      <c r="E8" s="428"/>
      <c r="F8" s="98"/>
      <c r="G8" s="517" t="s">
        <v>1065</v>
      </c>
      <c r="H8" s="79"/>
      <c r="I8" s="80"/>
      <c r="J8" s="81">
        <v>165</v>
      </c>
      <c r="K8" s="81">
        <f>I8*J8</f>
        <v>0</v>
      </c>
      <c r="L8" s="102"/>
      <c r="M8" s="156" t="e">
        <f>I8+I12+#REF!+I20</f>
        <v>#REF!</v>
      </c>
      <c r="N8" s="427" t="s">
        <v>172</v>
      </c>
    </row>
    <row r="9" spans="1:14" s="107" customFormat="1" ht="15" customHeight="1">
      <c r="A9" s="428"/>
      <c r="B9" s="428"/>
      <c r="C9" s="428"/>
      <c r="D9" s="428"/>
      <c r="E9" s="274" t="s">
        <v>9</v>
      </c>
      <c r="F9" s="110">
        <f>SUM(F6:F8)</f>
        <v>0</v>
      </c>
      <c r="G9" s="274"/>
      <c r="H9" s="274"/>
      <c r="I9" s="125"/>
      <c r="J9" s="97"/>
      <c r="K9" s="111">
        <f>SUM(K6:K8)</f>
        <v>0</v>
      </c>
      <c r="L9" s="111" t="e">
        <f>K9/F9</f>
        <v>#DIV/0!</v>
      </c>
      <c r="M9" s="156" t="e">
        <f>#REF!+I17+I32+I35+I38</f>
        <v>#REF!</v>
      </c>
      <c r="N9" s="427" t="s">
        <v>24</v>
      </c>
    </row>
    <row r="10" spans="1:14" s="107" customFormat="1" ht="15" customHeight="1">
      <c r="A10" s="427">
        <v>2</v>
      </c>
      <c r="B10" s="427" t="s">
        <v>582</v>
      </c>
      <c r="C10" s="427" t="s">
        <v>457</v>
      </c>
      <c r="D10" s="427" t="s">
        <v>415</v>
      </c>
      <c r="E10" s="427"/>
      <c r="F10" s="87"/>
      <c r="G10" s="517" t="s">
        <v>1070</v>
      </c>
      <c r="H10" s="79"/>
      <c r="I10" s="80"/>
      <c r="J10" s="81">
        <v>227</v>
      </c>
      <c r="K10" s="81">
        <f t="shared" ref="K10:K11" si="1">I10*J10</f>
        <v>0</v>
      </c>
      <c r="L10" s="102"/>
      <c r="M10" s="156" t="e">
        <f>#REF!+I18</f>
        <v>#REF!</v>
      </c>
      <c r="N10" s="427" t="s">
        <v>175</v>
      </c>
    </row>
    <row r="11" spans="1:14" s="107" customFormat="1" ht="15" customHeight="1">
      <c r="A11" s="428"/>
      <c r="B11" s="428"/>
      <c r="C11" s="428"/>
      <c r="D11" s="428"/>
      <c r="E11" s="428"/>
      <c r="F11" s="98"/>
      <c r="G11" s="517" t="s">
        <v>1067</v>
      </c>
      <c r="H11" s="79"/>
      <c r="I11" s="80"/>
      <c r="J11" s="81">
        <v>416</v>
      </c>
      <c r="K11" s="81">
        <f t="shared" si="1"/>
        <v>0</v>
      </c>
      <c r="L11" s="102"/>
      <c r="M11" s="156" t="e">
        <f>#REF!+I21</f>
        <v>#REF!</v>
      </c>
      <c r="N11" s="429" t="s">
        <v>176</v>
      </c>
    </row>
    <row r="12" spans="1:14" s="107" customFormat="1" ht="15" customHeight="1">
      <c r="A12" s="428"/>
      <c r="B12" s="428"/>
      <c r="C12" s="428"/>
      <c r="D12" s="428"/>
      <c r="E12" s="428"/>
      <c r="F12" s="98"/>
      <c r="G12" s="517" t="s">
        <v>1065</v>
      </c>
      <c r="H12" s="79"/>
      <c r="I12" s="80"/>
      <c r="J12" s="81">
        <v>165</v>
      </c>
      <c r="K12" s="81">
        <f>I12*J12</f>
        <v>0</v>
      </c>
      <c r="L12" s="102"/>
      <c r="M12" s="156">
        <f>I33+I36+I39</f>
        <v>25</v>
      </c>
      <c r="N12" s="430" t="s">
        <v>10</v>
      </c>
    </row>
    <row r="13" spans="1:14" s="107" customFormat="1" ht="15" customHeight="1">
      <c r="A13" s="428"/>
      <c r="B13" s="428"/>
      <c r="C13" s="428"/>
      <c r="D13" s="428"/>
      <c r="E13" s="274" t="s">
        <v>9</v>
      </c>
      <c r="F13" s="110">
        <f>SUM(F10:F12)</f>
        <v>0</v>
      </c>
      <c r="G13" s="274"/>
      <c r="H13" s="274"/>
      <c r="I13" s="125"/>
      <c r="J13" s="97"/>
      <c r="K13" s="111">
        <f>SUM(K10:K12)</f>
        <v>0</v>
      </c>
      <c r="L13" s="111" t="e">
        <f>K13/F13</f>
        <v>#DIV/0!</v>
      </c>
      <c r="M13" s="82"/>
      <c r="N13" s="427"/>
    </row>
    <row r="14" spans="1:14" s="107" customFormat="1" ht="15" customHeight="1">
      <c r="A14" s="71"/>
      <c r="B14" s="71"/>
      <c r="C14" s="71"/>
      <c r="D14" s="133" t="s">
        <v>30</v>
      </c>
      <c r="E14" s="133"/>
      <c r="F14" s="134">
        <f>F13</f>
        <v>0</v>
      </c>
      <c r="G14" s="135"/>
      <c r="H14" s="135"/>
      <c r="I14" s="135"/>
      <c r="J14" s="135"/>
      <c r="K14" s="134">
        <f>K13</f>
        <v>0</v>
      </c>
      <c r="L14" s="151" t="e">
        <f>K14/F14</f>
        <v>#DIV/0!</v>
      </c>
      <c r="M14" s="82"/>
      <c r="N14" s="430"/>
    </row>
    <row r="15" spans="1:14" s="71" customFormat="1" ht="15" customHeight="1">
      <c r="A15" s="70" t="s">
        <v>23</v>
      </c>
      <c r="B15" s="70"/>
      <c r="C15" s="70"/>
      <c r="D15" s="70"/>
      <c r="E15" s="70"/>
      <c r="K15" s="824" t="s">
        <v>890</v>
      </c>
      <c r="L15" s="824"/>
      <c r="M15" s="824"/>
    </row>
    <row r="16" spans="1:14" s="71" customFormat="1" ht="15" customHeight="1">
      <c r="A16" s="274" t="s">
        <v>0</v>
      </c>
      <c r="B16" s="274" t="s">
        <v>7</v>
      </c>
      <c r="C16" s="274" t="s">
        <v>13</v>
      </c>
      <c r="D16" s="274" t="s">
        <v>14</v>
      </c>
      <c r="E16" s="274" t="s">
        <v>8</v>
      </c>
      <c r="F16" s="274" t="s">
        <v>1</v>
      </c>
      <c r="G16" s="274" t="s">
        <v>2</v>
      </c>
      <c r="H16" s="274" t="s">
        <v>15</v>
      </c>
      <c r="I16" s="274" t="s">
        <v>3</v>
      </c>
      <c r="J16" s="274" t="s">
        <v>4</v>
      </c>
      <c r="K16" s="274" t="s">
        <v>5</v>
      </c>
      <c r="L16" s="274" t="s">
        <v>12</v>
      </c>
      <c r="M16" s="274" t="s">
        <v>6</v>
      </c>
    </row>
    <row r="17" spans="1:14" s="107" customFormat="1" ht="15" customHeight="1">
      <c r="A17" s="428">
        <v>1</v>
      </c>
      <c r="B17" s="427" t="s">
        <v>865</v>
      </c>
      <c r="C17" s="427" t="s">
        <v>700</v>
      </c>
      <c r="D17" s="427" t="s">
        <v>297</v>
      </c>
      <c r="E17" s="428"/>
      <c r="F17" s="99">
        <f>23830*1.0936</f>
        <v>26060.487999999998</v>
      </c>
      <c r="G17" s="517" t="s">
        <v>24</v>
      </c>
      <c r="H17" s="79"/>
      <c r="I17" s="80">
        <f>184+32</f>
        <v>216</v>
      </c>
      <c r="J17" s="81">
        <v>74</v>
      </c>
      <c r="K17" s="81">
        <f t="shared" ref="K17:K19" si="2">I17*J17</f>
        <v>15984</v>
      </c>
      <c r="L17" s="102"/>
      <c r="M17" s="124"/>
      <c r="N17" s="71"/>
    </row>
    <row r="18" spans="1:14" s="107" customFormat="1" ht="15" customHeight="1">
      <c r="A18" s="428"/>
      <c r="B18" s="427"/>
      <c r="C18" s="427"/>
      <c r="D18" s="427"/>
      <c r="E18" s="428"/>
      <c r="F18" s="98"/>
      <c r="G18" s="88" t="s">
        <v>18</v>
      </c>
      <c r="H18" s="79"/>
      <c r="I18" s="80">
        <f>85</f>
        <v>85</v>
      </c>
      <c r="J18" s="81">
        <v>46</v>
      </c>
      <c r="K18" s="81">
        <f t="shared" si="2"/>
        <v>3910</v>
      </c>
      <c r="L18" s="102"/>
      <c r="M18" s="102"/>
      <c r="N18" s="71"/>
    </row>
    <row r="19" spans="1:14" s="107" customFormat="1" ht="15" customHeight="1">
      <c r="A19" s="428"/>
      <c r="B19" s="427"/>
      <c r="C19" s="427"/>
      <c r="D19" s="427"/>
      <c r="E19" s="428"/>
      <c r="F19" s="98"/>
      <c r="G19" s="517" t="s">
        <v>1067</v>
      </c>
      <c r="H19" s="79"/>
      <c r="I19" s="80">
        <f>47+28</f>
        <v>75</v>
      </c>
      <c r="J19" s="81">
        <v>416</v>
      </c>
      <c r="K19" s="81">
        <f t="shared" si="2"/>
        <v>31200</v>
      </c>
      <c r="L19" s="102"/>
      <c r="M19" s="102"/>
      <c r="N19" s="71"/>
    </row>
    <row r="20" spans="1:14" s="107" customFormat="1" ht="15" customHeight="1">
      <c r="A20" s="428"/>
      <c r="B20" s="428"/>
      <c r="C20" s="428"/>
      <c r="D20" s="428"/>
      <c r="E20" s="428"/>
      <c r="F20" s="98"/>
      <c r="G20" s="517" t="s">
        <v>1065</v>
      </c>
      <c r="H20" s="79"/>
      <c r="I20" s="80">
        <f>45+37</f>
        <v>82</v>
      </c>
      <c r="J20" s="81">
        <v>165</v>
      </c>
      <c r="K20" s="81">
        <f>I20*J20</f>
        <v>13530</v>
      </c>
      <c r="L20" s="102"/>
      <c r="M20" s="102"/>
      <c r="N20" s="71"/>
    </row>
    <row r="21" spans="1:14" s="107" customFormat="1" ht="15" customHeight="1">
      <c r="A21" s="428"/>
      <c r="B21" s="428"/>
      <c r="C21" s="428"/>
      <c r="D21" s="428"/>
      <c r="E21" s="428"/>
      <c r="F21" s="98"/>
      <c r="G21" s="518" t="s">
        <v>1066</v>
      </c>
      <c r="H21" s="79"/>
      <c r="I21" s="80">
        <v>46</v>
      </c>
      <c r="J21" s="81">
        <v>165</v>
      </c>
      <c r="K21" s="81">
        <f t="shared" ref="K21" si="3">I21*J21</f>
        <v>7590</v>
      </c>
      <c r="L21" s="102"/>
      <c r="M21" s="102"/>
      <c r="N21" s="71"/>
    </row>
    <row r="22" spans="1:14" s="107" customFormat="1" ht="15" customHeight="1">
      <c r="A22" s="428"/>
      <c r="B22" s="428"/>
      <c r="C22" s="428"/>
      <c r="D22" s="428"/>
      <c r="E22" s="273" t="s">
        <v>9</v>
      </c>
      <c r="F22" s="108">
        <f>SUM(F17:F21)</f>
        <v>26060.487999999998</v>
      </c>
      <c r="G22" s="273"/>
      <c r="H22" s="273"/>
      <c r="I22" s="80"/>
      <c r="J22" s="81"/>
      <c r="K22" s="103">
        <f>SUM(K17:K21)</f>
        <v>72214</v>
      </c>
      <c r="L22" s="103">
        <f>K22/F22</f>
        <v>2.7710148789232192</v>
      </c>
      <c r="M22" s="82"/>
      <c r="N22" s="429"/>
    </row>
    <row r="23" spans="1:14" s="107" customFormat="1" ht="15" customHeight="1">
      <c r="A23" s="428">
        <v>2</v>
      </c>
      <c r="B23" s="427" t="s">
        <v>866</v>
      </c>
      <c r="C23" s="427" t="s">
        <v>792</v>
      </c>
      <c r="D23" s="427" t="s">
        <v>867</v>
      </c>
      <c r="E23" s="428"/>
      <c r="F23" s="160">
        <f>6500*1.0936</f>
        <v>7108.4</v>
      </c>
      <c r="G23" s="517" t="s">
        <v>24</v>
      </c>
      <c r="H23" s="79"/>
      <c r="I23" s="80">
        <v>55</v>
      </c>
      <c r="J23" s="81">
        <v>74</v>
      </c>
      <c r="K23" s="81">
        <f t="shared" ref="K23:K25" si="4">I23*J23</f>
        <v>4070</v>
      </c>
      <c r="L23" s="102"/>
      <c r="M23" s="102"/>
      <c r="N23" s="71"/>
    </row>
    <row r="24" spans="1:14" s="107" customFormat="1" ht="15" customHeight="1">
      <c r="A24" s="428"/>
      <c r="B24" s="427" t="s">
        <v>269</v>
      </c>
      <c r="C24" s="427"/>
      <c r="D24" s="427"/>
      <c r="E24" s="428"/>
      <c r="F24" s="160">
        <f>400*1.0936</f>
        <v>437.43999999999994</v>
      </c>
      <c r="G24" s="88" t="s">
        <v>18</v>
      </c>
      <c r="H24" s="79"/>
      <c r="I24" s="80">
        <v>45</v>
      </c>
      <c r="J24" s="81">
        <v>46</v>
      </c>
      <c r="K24" s="81">
        <f t="shared" si="4"/>
        <v>2070</v>
      </c>
      <c r="L24" s="102"/>
      <c r="M24" s="102"/>
      <c r="N24" s="71"/>
    </row>
    <row r="25" spans="1:14" s="107" customFormat="1" ht="15" customHeight="1">
      <c r="A25" s="428"/>
      <c r="B25" s="428"/>
      <c r="C25" s="428"/>
      <c r="D25" s="428"/>
      <c r="E25" s="428"/>
      <c r="F25" s="98"/>
      <c r="G25" s="517" t="s">
        <v>1067</v>
      </c>
      <c r="H25" s="79"/>
      <c r="I25" s="80">
        <v>22</v>
      </c>
      <c r="J25" s="81">
        <v>416</v>
      </c>
      <c r="K25" s="81">
        <f t="shared" si="4"/>
        <v>9152</v>
      </c>
      <c r="L25" s="102"/>
      <c r="M25" s="102"/>
      <c r="N25" s="71"/>
    </row>
    <row r="26" spans="1:14" s="107" customFormat="1" ht="15" customHeight="1">
      <c r="A26" s="428"/>
      <c r="B26" s="428"/>
      <c r="C26" s="428"/>
      <c r="D26" s="428"/>
      <c r="E26" s="428"/>
      <c r="F26" s="98"/>
      <c r="G26" s="517" t="s">
        <v>1065</v>
      </c>
      <c r="H26" s="79"/>
      <c r="I26" s="80">
        <v>21</v>
      </c>
      <c r="J26" s="81">
        <v>165</v>
      </c>
      <c r="K26" s="81">
        <f>I26*J26</f>
        <v>3465</v>
      </c>
      <c r="L26" s="102"/>
      <c r="M26" s="102"/>
      <c r="N26" s="71"/>
    </row>
    <row r="27" spans="1:14" s="107" customFormat="1" ht="15" customHeight="1">
      <c r="A27" s="428"/>
      <c r="B27" s="428"/>
      <c r="C27" s="428"/>
      <c r="D27" s="428"/>
      <c r="E27" s="428"/>
      <c r="F27" s="98"/>
      <c r="G27" s="518" t="s">
        <v>1066</v>
      </c>
      <c r="H27" s="79"/>
      <c r="I27" s="80">
        <v>19</v>
      </c>
      <c r="J27" s="81">
        <v>165</v>
      </c>
      <c r="K27" s="81">
        <f t="shared" ref="K27" si="5">I27*J27</f>
        <v>3135</v>
      </c>
      <c r="L27" s="102"/>
      <c r="M27" s="102"/>
      <c r="N27" s="71"/>
    </row>
    <row r="28" spans="1:14" s="107" customFormat="1" ht="15" customHeight="1">
      <c r="A28" s="427"/>
      <c r="B28" s="427"/>
      <c r="C28" s="427"/>
      <c r="D28" s="427"/>
      <c r="E28" s="273" t="s">
        <v>9</v>
      </c>
      <c r="F28" s="108">
        <f>SUM(F23:F27)</f>
        <v>7545.8399999999992</v>
      </c>
      <c r="G28" s="273"/>
      <c r="H28" s="273"/>
      <c r="I28" s="80"/>
      <c r="J28" s="81"/>
      <c r="K28" s="103">
        <f>SUM(K23:K27)</f>
        <v>21892</v>
      </c>
      <c r="L28" s="103">
        <f>K28/F28</f>
        <v>2.9012011916499691</v>
      </c>
      <c r="M28" s="79"/>
    </row>
    <row r="29" spans="1:14" s="107" customFormat="1" ht="15" customHeight="1">
      <c r="A29" s="137"/>
      <c r="B29" s="137"/>
      <c r="C29" s="137"/>
      <c r="D29" s="273" t="s">
        <v>30</v>
      </c>
      <c r="E29" s="273"/>
      <c r="F29" s="134">
        <f>F22+F28</f>
        <v>33606.327999999994</v>
      </c>
      <c r="G29" s="195"/>
      <c r="H29" s="195"/>
      <c r="I29" s="195"/>
      <c r="J29" s="195"/>
      <c r="K29" s="134">
        <f>K22+K28</f>
        <v>94106</v>
      </c>
      <c r="L29" s="151">
        <f>K29/F29</f>
        <v>2.8002464297795351</v>
      </c>
      <c r="M29" s="79"/>
    </row>
    <row r="30" spans="1:14" s="71" customFormat="1" ht="15" customHeight="1">
      <c r="A30" s="70" t="s">
        <v>22</v>
      </c>
      <c r="B30" s="70"/>
      <c r="C30" s="70"/>
      <c r="D30" s="70"/>
      <c r="E30" s="70"/>
      <c r="K30" s="824" t="s">
        <v>890</v>
      </c>
      <c r="L30" s="824"/>
      <c r="M30" s="824"/>
    </row>
    <row r="31" spans="1:14" s="71" customFormat="1" ht="15" customHeight="1">
      <c r="A31" s="274" t="s">
        <v>0</v>
      </c>
      <c r="B31" s="274" t="s">
        <v>7</v>
      </c>
      <c r="C31" s="274" t="s">
        <v>13</v>
      </c>
      <c r="D31" s="274" t="s">
        <v>14</v>
      </c>
      <c r="E31" s="274" t="s">
        <v>8</v>
      </c>
      <c r="F31" s="274" t="s">
        <v>1</v>
      </c>
      <c r="G31" s="274" t="s">
        <v>2</v>
      </c>
      <c r="H31" s="274" t="s">
        <v>15</v>
      </c>
      <c r="I31" s="274" t="s">
        <v>3</v>
      </c>
      <c r="J31" s="274" t="s">
        <v>4</v>
      </c>
      <c r="K31" s="274" t="s">
        <v>5</v>
      </c>
      <c r="L31" s="274" t="s">
        <v>12</v>
      </c>
      <c r="M31" s="274" t="s">
        <v>6</v>
      </c>
    </row>
    <row r="32" spans="1:14" s="107" customFormat="1" ht="15" customHeight="1">
      <c r="A32" s="427">
        <v>1</v>
      </c>
      <c r="B32" s="427" t="s">
        <v>769</v>
      </c>
      <c r="C32" s="427" t="s">
        <v>770</v>
      </c>
      <c r="D32" s="427" t="s">
        <v>113</v>
      </c>
      <c r="E32" s="427"/>
      <c r="F32" s="90">
        <f>2270*1.0936</f>
        <v>2482.4719999999998</v>
      </c>
      <c r="G32" s="427" t="s">
        <v>24</v>
      </c>
      <c r="H32" s="79"/>
      <c r="I32" s="80">
        <v>41</v>
      </c>
      <c r="J32" s="81">
        <v>74</v>
      </c>
      <c r="K32" s="81">
        <f t="shared" ref="K32:K33" si="6">I32*J32</f>
        <v>3034</v>
      </c>
      <c r="L32" s="79"/>
      <c r="M32" s="162"/>
    </row>
    <row r="33" spans="1:13" s="107" customFormat="1" ht="15" customHeight="1">
      <c r="A33" s="427"/>
      <c r="B33" s="427"/>
      <c r="C33" s="427"/>
      <c r="D33" s="427"/>
      <c r="E33" s="427"/>
      <c r="F33" s="87"/>
      <c r="G33" s="430" t="s">
        <v>10</v>
      </c>
      <c r="H33" s="79"/>
      <c r="I33" s="80">
        <v>10</v>
      </c>
      <c r="J33" s="81">
        <v>120</v>
      </c>
      <c r="K33" s="81">
        <f t="shared" si="6"/>
        <v>1200</v>
      </c>
      <c r="L33" s="79"/>
      <c r="M33" s="79"/>
    </row>
    <row r="34" spans="1:13" s="107" customFormat="1" ht="15" customHeight="1">
      <c r="A34" s="427"/>
      <c r="B34" s="427"/>
      <c r="C34" s="427"/>
      <c r="D34" s="427"/>
      <c r="E34" s="273" t="s">
        <v>9</v>
      </c>
      <c r="F34" s="108">
        <f>SUM(F32:F33)</f>
        <v>2482.4719999999998</v>
      </c>
      <c r="G34" s="273"/>
      <c r="H34" s="273"/>
      <c r="I34" s="80"/>
      <c r="J34" s="81"/>
      <c r="K34" s="103">
        <f>SUM(K32:K33)</f>
        <v>4234</v>
      </c>
      <c r="L34" s="103">
        <f>K34/F34</f>
        <v>1.7055580083078481</v>
      </c>
      <c r="M34" s="79"/>
    </row>
    <row r="35" spans="1:13" s="107" customFormat="1" ht="15" customHeight="1">
      <c r="A35" s="427">
        <v>2</v>
      </c>
      <c r="B35" s="427" t="s">
        <v>768</v>
      </c>
      <c r="C35" s="427" t="s">
        <v>217</v>
      </c>
      <c r="D35" s="427" t="s">
        <v>113</v>
      </c>
      <c r="E35" s="427"/>
      <c r="F35" s="90">
        <f>2680*1.0936</f>
        <v>2930.848</v>
      </c>
      <c r="G35" s="427" t="s">
        <v>24</v>
      </c>
      <c r="H35" s="79"/>
      <c r="I35" s="80">
        <v>100</v>
      </c>
      <c r="J35" s="81">
        <v>74</v>
      </c>
      <c r="K35" s="81">
        <f t="shared" ref="K35:K36" si="7">I35*J35</f>
        <v>7400</v>
      </c>
      <c r="L35" s="79"/>
      <c r="M35" s="79"/>
    </row>
    <row r="36" spans="1:13" s="107" customFormat="1" ht="15" customHeight="1">
      <c r="A36" s="427"/>
      <c r="B36" s="89"/>
      <c r="C36" s="427"/>
      <c r="D36" s="427"/>
      <c r="E36" s="427"/>
      <c r="F36" s="226"/>
      <c r="G36" s="430" t="s">
        <v>10</v>
      </c>
      <c r="H36" s="79"/>
      <c r="I36" s="80"/>
      <c r="J36" s="81">
        <v>120</v>
      </c>
      <c r="K36" s="81">
        <f t="shared" si="7"/>
        <v>0</v>
      </c>
      <c r="L36" s="79"/>
      <c r="M36" s="79"/>
    </row>
    <row r="37" spans="1:13" s="107" customFormat="1" ht="15" customHeight="1">
      <c r="A37" s="427"/>
      <c r="B37" s="114"/>
      <c r="C37" s="89"/>
      <c r="D37" s="89"/>
      <c r="E37" s="273" t="s">
        <v>9</v>
      </c>
      <c r="F37" s="108">
        <f>SUM(F35:F36)</f>
        <v>2930.848</v>
      </c>
      <c r="G37" s="273"/>
      <c r="H37" s="273"/>
      <c r="I37" s="80"/>
      <c r="J37" s="81"/>
      <c r="K37" s="103">
        <f>SUM(K35:K36)</f>
        <v>7400</v>
      </c>
      <c r="L37" s="103">
        <f>K37/F37</f>
        <v>2.5248665232724452</v>
      </c>
      <c r="M37" s="79"/>
    </row>
    <row r="38" spans="1:13" s="107" customFormat="1" ht="15" customHeight="1">
      <c r="A38" s="427">
        <v>3</v>
      </c>
      <c r="B38" s="427" t="s">
        <v>863</v>
      </c>
      <c r="C38" s="427" t="s">
        <v>115</v>
      </c>
      <c r="D38" s="427" t="s">
        <v>113</v>
      </c>
      <c r="E38" s="428"/>
      <c r="F38" s="160">
        <f>5270*1.0936</f>
        <v>5763.2719999999999</v>
      </c>
      <c r="G38" s="427" t="s">
        <v>24</v>
      </c>
      <c r="H38" s="79"/>
      <c r="I38" s="80">
        <v>83</v>
      </c>
      <c r="J38" s="81">
        <v>74</v>
      </c>
      <c r="K38" s="81">
        <f t="shared" ref="K38:K39" si="8">I38*J38</f>
        <v>6142</v>
      </c>
      <c r="L38" s="79"/>
      <c r="M38" s="79"/>
    </row>
    <row r="39" spans="1:13" s="107" customFormat="1" ht="15" customHeight="1">
      <c r="A39" s="427"/>
      <c r="B39" s="427"/>
      <c r="C39" s="427"/>
      <c r="D39" s="427"/>
      <c r="E39" s="427"/>
      <c r="F39" s="99"/>
      <c r="G39" s="430" t="s">
        <v>10</v>
      </c>
      <c r="H39" s="79"/>
      <c r="I39" s="80">
        <v>15</v>
      </c>
      <c r="J39" s="81">
        <v>120</v>
      </c>
      <c r="K39" s="81">
        <f t="shared" si="8"/>
        <v>1800</v>
      </c>
      <c r="L39" s="79"/>
      <c r="M39" s="79"/>
    </row>
    <row r="40" spans="1:13" s="107" customFormat="1" ht="15" customHeight="1">
      <c r="A40" s="427"/>
      <c r="B40" s="427"/>
      <c r="C40" s="427"/>
      <c r="D40" s="427"/>
      <c r="E40" s="273" t="s">
        <v>9</v>
      </c>
      <c r="F40" s="108">
        <f>SUM(F38:F39)</f>
        <v>5763.2719999999999</v>
      </c>
      <c r="G40" s="273"/>
      <c r="H40" s="273"/>
      <c r="I40" s="80"/>
      <c r="J40" s="81"/>
      <c r="K40" s="103">
        <f>SUM(K38:K39)</f>
        <v>7942</v>
      </c>
      <c r="L40" s="103">
        <f>K40/F40</f>
        <v>1.3780366430735873</v>
      </c>
      <c r="M40" s="79"/>
    </row>
    <row r="41" spans="1:13" s="107" customFormat="1" ht="15" customHeight="1">
      <c r="A41" s="427">
        <v>4</v>
      </c>
      <c r="B41" s="427" t="s">
        <v>277</v>
      </c>
      <c r="C41" s="427" t="s">
        <v>121</v>
      </c>
      <c r="D41" s="427" t="s">
        <v>864</v>
      </c>
      <c r="E41" s="428"/>
      <c r="F41" s="99">
        <f>2870*1.0936</f>
        <v>3138.6319999999996</v>
      </c>
      <c r="G41" s="427" t="s">
        <v>24</v>
      </c>
      <c r="H41" s="79"/>
      <c r="I41" s="80">
        <v>36</v>
      </c>
      <c r="J41" s="81">
        <v>74</v>
      </c>
      <c r="K41" s="81">
        <f t="shared" ref="K41:K42" si="9">I41*J41</f>
        <v>2664</v>
      </c>
      <c r="L41" s="79"/>
      <c r="M41" s="79"/>
    </row>
    <row r="42" spans="1:13" s="107" customFormat="1" ht="15" customHeight="1">
      <c r="A42" s="427"/>
      <c r="B42" s="427"/>
      <c r="C42" s="427"/>
      <c r="D42" s="427"/>
      <c r="E42" s="427"/>
      <c r="F42" s="99"/>
      <c r="G42" s="430" t="s">
        <v>10</v>
      </c>
      <c r="H42" s="79"/>
      <c r="I42" s="80">
        <v>10</v>
      </c>
      <c r="J42" s="81">
        <v>120</v>
      </c>
      <c r="K42" s="81">
        <f t="shared" si="9"/>
        <v>1200</v>
      </c>
      <c r="L42" s="79"/>
      <c r="M42" s="79"/>
    </row>
    <row r="43" spans="1:13" s="107" customFormat="1" ht="15" customHeight="1">
      <c r="A43" s="427"/>
      <c r="B43" s="427"/>
      <c r="C43" s="427"/>
      <c r="D43" s="427"/>
      <c r="E43" s="273" t="s">
        <v>9</v>
      </c>
      <c r="F43" s="108">
        <f>SUM(F41:F42)</f>
        <v>3138.6319999999996</v>
      </c>
      <c r="G43" s="273"/>
      <c r="H43" s="273"/>
      <c r="I43" s="80"/>
      <c r="J43" s="81"/>
      <c r="K43" s="103">
        <f>SUM(K41:K42)</f>
        <v>3864</v>
      </c>
      <c r="L43" s="103">
        <f>K43/F43</f>
        <v>1.2311096044391316</v>
      </c>
      <c r="M43" s="79"/>
    </row>
    <row r="44" spans="1:13" s="107" customFormat="1" ht="15" customHeight="1">
      <c r="A44" s="427">
        <v>5</v>
      </c>
      <c r="B44" s="427" t="s">
        <v>269</v>
      </c>
      <c r="C44" s="427"/>
      <c r="D44" s="427"/>
      <c r="E44" s="428"/>
      <c r="F44" s="160">
        <f>1410*1.0936</f>
        <v>1541.9759999999999</v>
      </c>
      <c r="G44" s="427" t="s">
        <v>24</v>
      </c>
      <c r="H44" s="79"/>
      <c r="I44" s="80">
        <v>25</v>
      </c>
      <c r="J44" s="81">
        <v>74</v>
      </c>
      <c r="K44" s="81">
        <f t="shared" ref="K44:K45" si="10">I44*J44</f>
        <v>1850</v>
      </c>
      <c r="L44" s="79"/>
      <c r="M44" s="79"/>
    </row>
    <row r="45" spans="1:13" s="107" customFormat="1" ht="15" customHeight="1">
      <c r="A45" s="427"/>
      <c r="B45" s="427"/>
      <c r="C45" s="427"/>
      <c r="D45" s="427"/>
      <c r="E45" s="427"/>
      <c r="F45" s="99"/>
      <c r="G45" s="430" t="s">
        <v>10</v>
      </c>
      <c r="H45" s="79"/>
      <c r="I45" s="80">
        <v>2</v>
      </c>
      <c r="J45" s="81">
        <v>120</v>
      </c>
      <c r="K45" s="81">
        <f t="shared" si="10"/>
        <v>240</v>
      </c>
      <c r="L45" s="79"/>
      <c r="M45" s="79"/>
    </row>
    <row r="46" spans="1:13" s="107" customFormat="1" ht="15" customHeight="1">
      <c r="A46" s="427"/>
      <c r="B46" s="427"/>
      <c r="C46" s="427"/>
      <c r="D46" s="427"/>
      <c r="E46" s="273" t="s">
        <v>9</v>
      </c>
      <c r="F46" s="108">
        <f>SUM(F44:F45)</f>
        <v>1541.9759999999999</v>
      </c>
      <c r="G46" s="273"/>
      <c r="H46" s="273"/>
      <c r="I46" s="80"/>
      <c r="J46" s="81"/>
      <c r="K46" s="103">
        <f>SUM(K44:K45)</f>
        <v>2090</v>
      </c>
      <c r="L46" s="103">
        <f>K46/F46</f>
        <v>1.3554037157517369</v>
      </c>
      <c r="M46" s="79"/>
    </row>
    <row r="47" spans="1:13" s="107" customFormat="1" ht="15" customHeight="1">
      <c r="A47" s="427">
        <v>6</v>
      </c>
      <c r="B47" s="427" t="s">
        <v>767</v>
      </c>
      <c r="C47" s="427" t="s">
        <v>766</v>
      </c>
      <c r="D47" s="427" t="s">
        <v>857</v>
      </c>
      <c r="E47" s="428"/>
      <c r="F47" s="99">
        <f>2660*1.0936</f>
        <v>2908.9759999999997</v>
      </c>
      <c r="G47" s="427" t="s">
        <v>24</v>
      </c>
      <c r="H47" s="79"/>
      <c r="I47" s="80">
        <v>42</v>
      </c>
      <c r="J47" s="81">
        <v>74</v>
      </c>
      <c r="K47" s="81">
        <f t="shared" ref="K47:K48" si="11">I47*J47</f>
        <v>3108</v>
      </c>
      <c r="L47" s="79"/>
      <c r="M47" s="79"/>
    </row>
    <row r="48" spans="1:13" s="107" customFormat="1" ht="15" customHeight="1">
      <c r="A48" s="427"/>
      <c r="B48" s="427"/>
      <c r="C48" s="427"/>
      <c r="D48" s="427"/>
      <c r="E48" s="427"/>
      <c r="F48" s="99"/>
      <c r="G48" s="430" t="s">
        <v>10</v>
      </c>
      <c r="H48" s="79"/>
      <c r="I48" s="80">
        <v>5</v>
      </c>
      <c r="J48" s="81">
        <v>120</v>
      </c>
      <c r="K48" s="81">
        <f t="shared" si="11"/>
        <v>600</v>
      </c>
      <c r="L48" s="79"/>
      <c r="M48" s="79"/>
    </row>
    <row r="49" spans="1:14" s="107" customFormat="1" ht="15" customHeight="1">
      <c r="A49" s="427"/>
      <c r="B49" s="427"/>
      <c r="C49" s="427"/>
      <c r="D49" s="427"/>
      <c r="E49" s="273" t="s">
        <v>9</v>
      </c>
      <c r="F49" s="108">
        <f>SUM(F47:F48)</f>
        <v>2908.9759999999997</v>
      </c>
      <c r="G49" s="273"/>
      <c r="H49" s="273"/>
      <c r="I49" s="80"/>
      <c r="J49" s="81"/>
      <c r="K49" s="103">
        <f>SUM(K47:K48)</f>
        <v>3708</v>
      </c>
      <c r="L49" s="103">
        <f>K49/F49</f>
        <v>1.2746753496763124</v>
      </c>
      <c r="M49" s="79"/>
    </row>
    <row r="50" spans="1:14" s="107" customFormat="1" ht="15" customHeight="1">
      <c r="A50" s="427">
        <v>7</v>
      </c>
      <c r="B50" s="427" t="s">
        <v>904</v>
      </c>
      <c r="C50" s="427" t="s">
        <v>233</v>
      </c>
      <c r="D50" s="427" t="s">
        <v>869</v>
      </c>
      <c r="E50" s="427"/>
      <c r="F50" s="87">
        <f>7250*1.0936</f>
        <v>7928.5999999999995</v>
      </c>
      <c r="G50" s="427" t="s">
        <v>24</v>
      </c>
      <c r="H50" s="79"/>
      <c r="I50" s="80">
        <v>20</v>
      </c>
      <c r="J50" s="81">
        <v>74</v>
      </c>
      <c r="K50" s="81">
        <f t="shared" ref="K50:K51" si="12">I50*J50</f>
        <v>1480</v>
      </c>
      <c r="L50" s="79"/>
      <c r="M50" s="79"/>
    </row>
    <row r="51" spans="1:14" s="107" customFormat="1" ht="15" customHeight="1">
      <c r="A51" s="427"/>
      <c r="B51" s="427"/>
      <c r="C51" s="427"/>
      <c r="D51" s="427"/>
      <c r="E51" s="427"/>
      <c r="F51" s="99"/>
      <c r="G51" s="430" t="s">
        <v>10</v>
      </c>
      <c r="H51" s="79"/>
      <c r="I51" s="80">
        <v>15</v>
      </c>
      <c r="J51" s="81">
        <v>120</v>
      </c>
      <c r="K51" s="81">
        <f t="shared" si="12"/>
        <v>1800</v>
      </c>
      <c r="L51" s="79"/>
      <c r="M51" s="79"/>
    </row>
    <row r="52" spans="1:14" s="107" customFormat="1" ht="15" customHeight="1">
      <c r="A52" s="427"/>
      <c r="B52" s="114"/>
      <c r="C52" s="89"/>
      <c r="D52" s="89"/>
      <c r="E52" s="273" t="s">
        <v>9</v>
      </c>
      <c r="F52" s="108">
        <f>SUM(F50:F51)</f>
        <v>7928.5999999999995</v>
      </c>
      <c r="G52" s="273"/>
      <c r="H52" s="273"/>
      <c r="I52" s="80"/>
      <c r="J52" s="81"/>
      <c r="K52" s="103">
        <f>SUM(K50:K51)</f>
        <v>3280</v>
      </c>
      <c r="L52" s="103">
        <f>K52/F52</f>
        <v>0.41369220291098052</v>
      </c>
      <c r="M52" s="178" t="s">
        <v>829</v>
      </c>
    </row>
    <row r="53" spans="1:14" s="107" customFormat="1" ht="15" customHeight="1">
      <c r="D53" s="133" t="s">
        <v>30</v>
      </c>
      <c r="E53" s="133"/>
      <c r="F53" s="134">
        <f>F34+F37+F40+F43+F46+F49</f>
        <v>18766.175999999999</v>
      </c>
      <c r="G53" s="135"/>
      <c r="H53" s="135"/>
      <c r="I53" s="135"/>
      <c r="J53" s="135"/>
      <c r="K53" s="134">
        <f>K34+K37+K40+K43+K46+K49+K52</f>
        <v>32518</v>
      </c>
      <c r="L53" s="151">
        <f>K53/F53</f>
        <v>1.7327984134860508</v>
      </c>
    </row>
    <row r="54" spans="1:14" s="107" customFormat="1" ht="15" customHeight="1">
      <c r="A54" s="70" t="s">
        <v>16</v>
      </c>
      <c r="B54" s="70"/>
      <c r="C54" s="70"/>
      <c r="D54" s="70"/>
      <c r="E54" s="70"/>
      <c r="F54" s="71"/>
      <c r="G54" s="71"/>
      <c r="H54" s="71"/>
      <c r="I54" s="71"/>
      <c r="J54" s="71"/>
      <c r="K54" s="824" t="s">
        <v>890</v>
      </c>
      <c r="L54" s="824"/>
      <c r="M54" s="824"/>
      <c r="N54" s="71"/>
    </row>
    <row r="55" spans="1:14" s="107" customFormat="1" ht="15" customHeight="1">
      <c r="A55" s="274" t="s">
        <v>0</v>
      </c>
      <c r="B55" s="274" t="s">
        <v>7</v>
      </c>
      <c r="C55" s="274" t="s">
        <v>13</v>
      </c>
      <c r="D55" s="274" t="s">
        <v>14</v>
      </c>
      <c r="E55" s="274" t="s">
        <v>8</v>
      </c>
      <c r="F55" s="274" t="s">
        <v>1</v>
      </c>
      <c r="G55" s="274" t="s">
        <v>2</v>
      </c>
      <c r="H55" s="274" t="s">
        <v>15</v>
      </c>
      <c r="I55" s="274" t="s">
        <v>3</v>
      </c>
      <c r="J55" s="274" t="s">
        <v>4</v>
      </c>
      <c r="K55" s="274" t="s">
        <v>5</v>
      </c>
      <c r="L55" s="274" t="s">
        <v>12</v>
      </c>
      <c r="M55" s="274" t="s">
        <v>6</v>
      </c>
      <c r="N55" s="71"/>
    </row>
    <row r="56" spans="1:14" s="107" customFormat="1" ht="15" customHeight="1">
      <c r="A56" s="428"/>
      <c r="B56" s="427"/>
      <c r="C56" s="427"/>
      <c r="D56" s="427"/>
      <c r="E56" s="428"/>
      <c r="F56" s="98"/>
      <c r="G56" s="427" t="s">
        <v>75</v>
      </c>
      <c r="H56" s="427"/>
      <c r="I56" s="96"/>
      <c r="J56" s="94">
        <v>367</v>
      </c>
      <c r="K56" s="94">
        <f t="shared" ref="K56" si="13">I56*J56</f>
        <v>0</v>
      </c>
      <c r="L56" s="102"/>
      <c r="M56" s="139"/>
      <c r="N56" s="71"/>
    </row>
    <row r="57" spans="1:14" s="107" customFormat="1" ht="15" customHeight="1">
      <c r="A57" s="428"/>
      <c r="B57" s="428"/>
      <c r="C57" s="428"/>
      <c r="D57" s="428"/>
      <c r="E57" s="274" t="s">
        <v>9</v>
      </c>
      <c r="F57" s="110">
        <f>SUM(F56:F56)</f>
        <v>0</v>
      </c>
      <c r="G57" s="274"/>
      <c r="H57" s="274"/>
      <c r="I57" s="125"/>
      <c r="J57" s="97"/>
      <c r="K57" s="111">
        <f>SUM(K56:K56)</f>
        <v>0</v>
      </c>
      <c r="L57" s="111" t="e">
        <f>K57/F57</f>
        <v>#DIV/0!</v>
      </c>
      <c r="M57" s="102"/>
      <c r="N57" s="71"/>
    </row>
    <row r="58" spans="1:14" s="107" customFormat="1" ht="15" customHeight="1">
      <c r="A58" s="425"/>
      <c r="B58" s="425"/>
      <c r="C58" s="425"/>
      <c r="D58" s="126" t="s">
        <v>30</v>
      </c>
      <c r="E58" s="126"/>
      <c r="F58" s="127">
        <f>F59</f>
        <v>0</v>
      </c>
      <c r="G58" s="128"/>
      <c r="H58" s="128"/>
      <c r="I58" s="128"/>
      <c r="J58" s="128"/>
      <c r="K58" s="127">
        <f>M58</f>
        <v>0</v>
      </c>
      <c r="L58" s="129" t="e">
        <f>K58/F58</f>
        <v>#DIV/0!</v>
      </c>
      <c r="M58" s="131"/>
      <c r="N58" s="71"/>
    </row>
    <row r="59" spans="1:14" s="107" customFormat="1" ht="15" customHeight="1">
      <c r="A59" s="70" t="s">
        <v>72</v>
      </c>
      <c r="B59" s="70"/>
      <c r="C59" s="70"/>
      <c r="D59" s="70"/>
      <c r="E59" s="70"/>
      <c r="F59" s="71"/>
      <c r="G59" s="71"/>
      <c r="H59" s="71"/>
      <c r="I59" s="140"/>
      <c r="J59" s="71"/>
      <c r="K59" s="824" t="s">
        <v>890</v>
      </c>
      <c r="L59" s="824"/>
      <c r="M59" s="824"/>
      <c r="N59" s="71"/>
    </row>
    <row r="60" spans="1:14" s="107" customFormat="1" ht="15" customHeight="1">
      <c r="A60" s="274" t="s">
        <v>0</v>
      </c>
      <c r="B60" s="274" t="s">
        <v>7</v>
      </c>
      <c r="C60" s="274" t="s">
        <v>13</v>
      </c>
      <c r="D60" s="274" t="s">
        <v>14</v>
      </c>
      <c r="E60" s="274" t="s">
        <v>8</v>
      </c>
      <c r="F60" s="274" t="s">
        <v>1</v>
      </c>
      <c r="G60" s="274" t="s">
        <v>2</v>
      </c>
      <c r="H60" s="274" t="s">
        <v>15</v>
      </c>
      <c r="I60" s="141" t="s">
        <v>3</v>
      </c>
      <c r="J60" s="274" t="s">
        <v>4</v>
      </c>
      <c r="K60" s="274" t="s">
        <v>5</v>
      </c>
      <c r="L60" s="274" t="s">
        <v>12</v>
      </c>
      <c r="M60" s="274" t="s">
        <v>6</v>
      </c>
      <c r="N60" s="123"/>
    </row>
    <row r="61" spans="1:14" s="107" customFormat="1" ht="15" customHeight="1">
      <c r="A61" s="427">
        <v>9854</v>
      </c>
      <c r="B61" s="427" t="s">
        <v>897</v>
      </c>
      <c r="C61" s="427" t="s">
        <v>882</v>
      </c>
      <c r="D61" s="427" t="s">
        <v>883</v>
      </c>
      <c r="E61" s="427" t="s">
        <v>114</v>
      </c>
      <c r="F61" s="87">
        <f>3000*1.0936</f>
        <v>3280.7999999999997</v>
      </c>
      <c r="G61" s="429" t="s">
        <v>405</v>
      </c>
      <c r="H61" s="79"/>
      <c r="I61" s="80">
        <f>5.9+0.15+0.12</f>
        <v>6.1700000000000008</v>
      </c>
      <c r="J61" s="81">
        <v>1708</v>
      </c>
      <c r="K61" s="81">
        <f t="shared" ref="K61:K65" si="14">I61*J61</f>
        <v>10538.36</v>
      </c>
      <c r="L61" s="102"/>
      <c r="M61" s="102"/>
      <c r="N61" s="71"/>
    </row>
    <row r="62" spans="1:14" s="107" customFormat="1" ht="15" customHeight="1">
      <c r="A62" s="428"/>
      <c r="B62" s="428"/>
      <c r="C62" s="428"/>
      <c r="D62" s="428"/>
      <c r="E62" s="428"/>
      <c r="F62" s="98"/>
      <c r="G62" s="429" t="s">
        <v>183</v>
      </c>
      <c r="H62" s="79"/>
      <c r="I62" s="80">
        <v>1.63</v>
      </c>
      <c r="J62" s="81">
        <v>1600</v>
      </c>
      <c r="K62" s="81">
        <f t="shared" si="14"/>
        <v>2608</v>
      </c>
      <c r="L62" s="102"/>
      <c r="M62" s="102"/>
      <c r="N62" s="71"/>
    </row>
    <row r="63" spans="1:14" s="107" customFormat="1" ht="15" customHeight="1">
      <c r="A63" s="428"/>
      <c r="B63" s="428"/>
      <c r="C63" s="428"/>
      <c r="D63" s="428"/>
      <c r="E63" s="428"/>
      <c r="F63" s="98"/>
      <c r="G63" s="93" t="s">
        <v>315</v>
      </c>
      <c r="H63" s="79"/>
      <c r="I63" s="80">
        <v>6.95</v>
      </c>
      <c r="J63" s="81">
        <v>2184</v>
      </c>
      <c r="K63" s="81">
        <f t="shared" si="14"/>
        <v>15178.800000000001</v>
      </c>
      <c r="L63" s="102"/>
      <c r="M63" s="102"/>
      <c r="N63" s="71"/>
    </row>
    <row r="64" spans="1:14" s="107" customFormat="1" ht="15" customHeight="1">
      <c r="A64" s="428"/>
      <c r="B64" s="428"/>
      <c r="C64" s="428"/>
      <c r="D64" s="428"/>
      <c r="E64" s="428"/>
      <c r="F64" s="98"/>
      <c r="G64" s="427" t="s">
        <v>184</v>
      </c>
      <c r="H64" s="427"/>
      <c r="I64" s="80">
        <v>5</v>
      </c>
      <c r="J64" s="81">
        <v>336</v>
      </c>
      <c r="K64" s="94">
        <f t="shared" si="14"/>
        <v>1680</v>
      </c>
      <c r="L64" s="102"/>
      <c r="M64" s="102"/>
      <c r="N64" s="71"/>
    </row>
    <row r="65" spans="1:14" s="107" customFormat="1" ht="15" customHeight="1">
      <c r="A65" s="428"/>
      <c r="B65" s="428"/>
      <c r="C65" s="428"/>
      <c r="D65" s="428"/>
      <c r="E65" s="428"/>
      <c r="F65" s="98"/>
      <c r="G65" s="95" t="s">
        <v>185</v>
      </c>
      <c r="H65" s="79"/>
      <c r="I65" s="96">
        <v>1</v>
      </c>
      <c r="J65" s="81">
        <v>490</v>
      </c>
      <c r="K65" s="81">
        <f t="shared" si="14"/>
        <v>490</v>
      </c>
      <c r="L65" s="102"/>
      <c r="M65" s="102"/>
      <c r="N65" s="71"/>
    </row>
    <row r="66" spans="1:14" s="107" customFormat="1" ht="15" customHeight="1">
      <c r="A66" s="428"/>
      <c r="B66" s="428"/>
      <c r="C66" s="428"/>
      <c r="D66" s="428"/>
      <c r="E66" s="274" t="s">
        <v>9</v>
      </c>
      <c r="F66" s="110">
        <f>SUM(F61:F65)</f>
        <v>3280.7999999999997</v>
      </c>
      <c r="G66" s="274"/>
      <c r="H66" s="274"/>
      <c r="I66" s="125"/>
      <c r="J66" s="97"/>
      <c r="K66" s="111">
        <f>SUM(K61:K65)</f>
        <v>30495.160000000003</v>
      </c>
      <c r="L66" s="111">
        <f>K66/F66</f>
        <v>9.2950377956595975</v>
      </c>
      <c r="M66" s="102"/>
      <c r="N66" s="71"/>
    </row>
    <row r="67" spans="1:14" s="107" customFormat="1" ht="15" customHeight="1">
      <c r="A67" s="427">
        <v>9853</v>
      </c>
      <c r="B67" s="427" t="s">
        <v>896</v>
      </c>
      <c r="C67" s="427" t="s">
        <v>349</v>
      </c>
      <c r="D67" s="427" t="s">
        <v>113</v>
      </c>
      <c r="E67" s="427" t="s">
        <v>127</v>
      </c>
      <c r="F67" s="90">
        <f>2500*1.0936</f>
        <v>2733.9999999999995</v>
      </c>
      <c r="G67" s="91" t="s">
        <v>196</v>
      </c>
      <c r="H67" s="79"/>
      <c r="I67" s="80">
        <f>0.765+1.5</f>
        <v>2.2650000000000001</v>
      </c>
      <c r="J67" s="81">
        <v>888</v>
      </c>
      <c r="K67" s="81">
        <f t="shared" ref="K67:K68" si="15">I67*J67</f>
        <v>2011.3200000000002</v>
      </c>
      <c r="L67" s="102"/>
      <c r="M67" s="102"/>
      <c r="N67" s="71"/>
    </row>
    <row r="68" spans="1:14" s="107" customFormat="1" ht="15" customHeight="1">
      <c r="A68" s="428"/>
      <c r="B68" s="427"/>
      <c r="C68" s="427"/>
      <c r="D68" s="427"/>
      <c r="E68" s="427"/>
      <c r="F68" s="427"/>
      <c r="G68" s="91" t="s">
        <v>195</v>
      </c>
      <c r="H68" s="79"/>
      <c r="I68" s="80">
        <f>0.29+0.18</f>
        <v>0.47</v>
      </c>
      <c r="J68" s="81">
        <v>645</v>
      </c>
      <c r="K68" s="81">
        <f t="shared" si="15"/>
        <v>303.14999999999998</v>
      </c>
      <c r="L68" s="102"/>
      <c r="M68" s="102"/>
      <c r="N68" s="71"/>
    </row>
    <row r="69" spans="1:14" s="107" customFormat="1" ht="15" customHeight="1">
      <c r="A69" s="428"/>
      <c r="B69" s="428"/>
      <c r="C69" s="428"/>
      <c r="D69" s="428"/>
      <c r="E69" s="428"/>
      <c r="F69" s="98"/>
      <c r="G69" s="91" t="s">
        <v>191</v>
      </c>
      <c r="H69" s="79"/>
      <c r="I69" s="80">
        <f>0.8+0.45</f>
        <v>1.25</v>
      </c>
      <c r="J69" s="81">
        <v>1628</v>
      </c>
      <c r="K69" s="81">
        <f t="shared" ref="K69:K71" si="16">I69*J69</f>
        <v>2035</v>
      </c>
      <c r="L69" s="102"/>
      <c r="M69" s="102"/>
      <c r="N69" s="71"/>
    </row>
    <row r="70" spans="1:14" s="107" customFormat="1" ht="15" customHeight="1">
      <c r="A70" s="428"/>
      <c r="B70" s="428"/>
      <c r="C70" s="428"/>
      <c r="D70" s="428"/>
      <c r="E70" s="428"/>
      <c r="F70" s="98"/>
      <c r="G70" s="427" t="s">
        <v>184</v>
      </c>
      <c r="H70" s="427"/>
      <c r="I70" s="80">
        <f>5+3</f>
        <v>8</v>
      </c>
      <c r="J70" s="81">
        <v>336</v>
      </c>
      <c r="K70" s="94">
        <f t="shared" si="16"/>
        <v>2688</v>
      </c>
      <c r="L70" s="102"/>
      <c r="M70" s="102"/>
      <c r="N70" s="71"/>
    </row>
    <row r="71" spans="1:14" s="107" customFormat="1" ht="15" customHeight="1">
      <c r="A71" s="428"/>
      <c r="B71" s="428"/>
      <c r="C71" s="428"/>
      <c r="D71" s="428"/>
      <c r="E71" s="428"/>
      <c r="F71" s="98"/>
      <c r="G71" s="95" t="s">
        <v>185</v>
      </c>
      <c r="H71" s="79"/>
      <c r="I71" s="96">
        <f>1+0.55</f>
        <v>1.55</v>
      </c>
      <c r="J71" s="81">
        <v>490</v>
      </c>
      <c r="K71" s="81">
        <f t="shared" si="16"/>
        <v>759.5</v>
      </c>
      <c r="L71" s="102"/>
      <c r="M71" s="102"/>
      <c r="N71" s="71"/>
    </row>
    <row r="72" spans="1:14" s="107" customFormat="1" ht="15" customHeight="1">
      <c r="A72" s="428"/>
      <c r="B72" s="428"/>
      <c r="C72" s="428"/>
      <c r="D72" s="428"/>
      <c r="E72" s="274" t="s">
        <v>9</v>
      </c>
      <c r="F72" s="110">
        <f>SUM(F67:F71)</f>
        <v>2733.9999999999995</v>
      </c>
      <c r="G72" s="274"/>
      <c r="H72" s="274"/>
      <c r="I72" s="125"/>
      <c r="J72" s="97"/>
      <c r="K72" s="111">
        <f>SUM(K67:K71)</f>
        <v>7796.97</v>
      </c>
      <c r="L72" s="111">
        <f>K72/F72</f>
        <v>2.8518544257498175</v>
      </c>
      <c r="M72" s="102"/>
      <c r="N72" s="71"/>
    </row>
    <row r="73" spans="1:14" s="107" customFormat="1" ht="15" customHeight="1">
      <c r="A73" s="427">
        <v>9851</v>
      </c>
      <c r="B73" s="427" t="s">
        <v>277</v>
      </c>
      <c r="C73" s="427" t="s">
        <v>898</v>
      </c>
      <c r="D73" s="428" t="s">
        <v>74</v>
      </c>
      <c r="E73" s="427" t="s">
        <v>507</v>
      </c>
      <c r="F73" s="87">
        <f>25*1.0936</f>
        <v>27.339999999999996</v>
      </c>
      <c r="G73" s="93" t="s">
        <v>190</v>
      </c>
      <c r="H73" s="79"/>
      <c r="I73" s="80">
        <v>0.34799999999999998</v>
      </c>
      <c r="J73" s="81">
        <v>644</v>
      </c>
      <c r="K73" s="81">
        <f t="shared" ref="K73:K77" si="17">I73*J73</f>
        <v>224.11199999999999</v>
      </c>
      <c r="L73" s="79"/>
      <c r="M73" s="102"/>
      <c r="N73" s="71"/>
    </row>
    <row r="74" spans="1:14" s="107" customFormat="1" ht="15" customHeight="1">
      <c r="A74" s="428"/>
      <c r="B74" s="428"/>
      <c r="C74" s="428"/>
      <c r="D74" s="428"/>
      <c r="E74" s="428"/>
      <c r="F74" s="98"/>
      <c r="G74" s="91" t="s">
        <v>192</v>
      </c>
      <c r="H74" s="79"/>
      <c r="I74" s="80">
        <v>0.17199999999999999</v>
      </c>
      <c r="J74" s="81">
        <v>1126</v>
      </c>
      <c r="K74" s="81">
        <f t="shared" si="17"/>
        <v>193.672</v>
      </c>
      <c r="L74" s="79"/>
      <c r="M74" s="102"/>
      <c r="N74" s="71"/>
    </row>
    <row r="75" spans="1:14" s="107" customFormat="1" ht="15" customHeight="1">
      <c r="A75" s="428"/>
      <c r="B75" s="428"/>
      <c r="C75" s="428"/>
      <c r="D75" s="428"/>
      <c r="E75" s="428"/>
      <c r="F75" s="98"/>
      <c r="G75" s="91" t="s">
        <v>194</v>
      </c>
      <c r="H75" s="79"/>
      <c r="I75" s="80">
        <v>1</v>
      </c>
      <c r="J75" s="81">
        <v>879</v>
      </c>
      <c r="K75" s="81">
        <f t="shared" si="17"/>
        <v>879</v>
      </c>
      <c r="L75" s="79"/>
      <c r="M75" s="102"/>
      <c r="N75" s="71"/>
    </row>
    <row r="76" spans="1:14" s="107" customFormat="1" ht="15" customHeight="1">
      <c r="A76" s="428"/>
      <c r="B76" s="428"/>
      <c r="C76" s="428"/>
      <c r="D76" s="428"/>
      <c r="E76" s="428"/>
      <c r="F76" s="98"/>
      <c r="G76" s="427" t="s">
        <v>184</v>
      </c>
      <c r="H76" s="427"/>
      <c r="I76" s="80">
        <v>0.4</v>
      </c>
      <c r="J76" s="81">
        <v>336</v>
      </c>
      <c r="K76" s="94">
        <f t="shared" si="17"/>
        <v>134.4</v>
      </c>
      <c r="L76" s="79"/>
      <c r="M76" s="102"/>
      <c r="N76" s="71"/>
    </row>
    <row r="77" spans="1:14" s="107" customFormat="1" ht="15" customHeight="1">
      <c r="A77" s="428"/>
      <c r="B77" s="428"/>
      <c r="C77" s="428"/>
      <c r="D77" s="428"/>
      <c r="E77" s="428"/>
      <c r="F77" s="98"/>
      <c r="G77" s="95" t="s">
        <v>185</v>
      </c>
      <c r="H77" s="79"/>
      <c r="I77" s="96">
        <v>0.08</v>
      </c>
      <c r="J77" s="81">
        <v>490</v>
      </c>
      <c r="K77" s="81">
        <f t="shared" si="17"/>
        <v>39.200000000000003</v>
      </c>
      <c r="L77" s="79"/>
      <c r="M77" s="102"/>
      <c r="N77" s="71"/>
    </row>
    <row r="78" spans="1:14" s="107" customFormat="1" ht="15" customHeight="1">
      <c r="A78" s="428"/>
      <c r="B78" s="428"/>
      <c r="C78" s="428"/>
      <c r="D78" s="428"/>
      <c r="E78" s="274" t="s">
        <v>9</v>
      </c>
      <c r="F78" s="110">
        <f>SUM(F73:F77)</f>
        <v>27.339999999999996</v>
      </c>
      <c r="G78" s="274"/>
      <c r="H78" s="274"/>
      <c r="I78" s="125"/>
      <c r="J78" s="97"/>
      <c r="K78" s="111">
        <f>SUM(K73:K77)</f>
        <v>1470.3840000000002</v>
      </c>
      <c r="L78" s="111">
        <f>K78/F78</f>
        <v>53.781419166057077</v>
      </c>
      <c r="M78" s="102"/>
      <c r="N78" s="71"/>
    </row>
    <row r="79" spans="1:14" s="107" customFormat="1" ht="15" customHeight="1">
      <c r="A79" s="427">
        <v>9852</v>
      </c>
      <c r="B79" s="427" t="s">
        <v>277</v>
      </c>
      <c r="C79" s="427" t="s">
        <v>898</v>
      </c>
      <c r="D79" s="428" t="s">
        <v>900</v>
      </c>
      <c r="E79" s="427" t="s">
        <v>102</v>
      </c>
      <c r="F79" s="87">
        <f>30*1.0936</f>
        <v>32.808</v>
      </c>
      <c r="G79" s="93" t="s">
        <v>190</v>
      </c>
      <c r="H79" s="79"/>
      <c r="I79" s="80">
        <v>0.22800000000000001</v>
      </c>
      <c r="J79" s="81">
        <v>644</v>
      </c>
      <c r="K79" s="81">
        <f t="shared" ref="K79:K83" si="18">I79*J79</f>
        <v>146.83199999999999</v>
      </c>
      <c r="L79" s="79"/>
      <c r="M79" s="102"/>
      <c r="N79" s="71"/>
    </row>
    <row r="80" spans="1:14" s="107" customFormat="1" ht="15" customHeight="1">
      <c r="A80" s="428"/>
      <c r="B80" s="428"/>
      <c r="C80" s="428"/>
      <c r="D80" s="428"/>
      <c r="E80" s="427"/>
      <c r="F80" s="98"/>
      <c r="G80" s="91" t="s">
        <v>192</v>
      </c>
      <c r="H80" s="79"/>
      <c r="I80" s="80">
        <v>8.7999999999999995E-2</v>
      </c>
      <c r="J80" s="81">
        <v>1126</v>
      </c>
      <c r="K80" s="81">
        <f t="shared" si="18"/>
        <v>99.087999999999994</v>
      </c>
      <c r="L80" s="79"/>
      <c r="M80" s="102"/>
      <c r="N80" s="71"/>
    </row>
    <row r="81" spans="1:14" s="107" customFormat="1" ht="15" customHeight="1">
      <c r="A81" s="428"/>
      <c r="B81" s="428"/>
      <c r="C81" s="428"/>
      <c r="D81" s="428"/>
      <c r="E81" s="274"/>
      <c r="F81" s="110"/>
      <c r="G81" s="91" t="s">
        <v>193</v>
      </c>
      <c r="H81" s="79"/>
      <c r="I81" s="80">
        <v>1.3440000000000001</v>
      </c>
      <c r="J81" s="81">
        <v>1150</v>
      </c>
      <c r="K81" s="81">
        <f t="shared" si="18"/>
        <v>1545.6000000000001</v>
      </c>
      <c r="L81" s="79"/>
      <c r="M81" s="102"/>
      <c r="N81" s="71"/>
    </row>
    <row r="82" spans="1:14" s="107" customFormat="1" ht="15" customHeight="1">
      <c r="A82" s="428"/>
      <c r="B82" s="428"/>
      <c r="C82" s="428"/>
      <c r="D82" s="428"/>
      <c r="E82" s="274"/>
      <c r="F82" s="110"/>
      <c r="G82" s="427" t="s">
        <v>184</v>
      </c>
      <c r="H82" s="427"/>
      <c r="I82" s="80">
        <v>0.4</v>
      </c>
      <c r="J82" s="81">
        <v>336</v>
      </c>
      <c r="K82" s="94">
        <f t="shared" si="18"/>
        <v>134.4</v>
      </c>
      <c r="L82" s="79"/>
      <c r="M82" s="102"/>
      <c r="N82" s="71"/>
    </row>
    <row r="83" spans="1:14" s="107" customFormat="1" ht="15" customHeight="1">
      <c r="A83" s="428"/>
      <c r="B83" s="428"/>
      <c r="C83" s="428"/>
      <c r="D83" s="428"/>
      <c r="E83" s="274"/>
      <c r="F83" s="110"/>
      <c r="G83" s="95" t="s">
        <v>185</v>
      </c>
      <c r="H83" s="79"/>
      <c r="I83" s="96">
        <v>0.08</v>
      </c>
      <c r="J83" s="81">
        <v>490</v>
      </c>
      <c r="K83" s="81">
        <f t="shared" si="18"/>
        <v>39.200000000000003</v>
      </c>
      <c r="L83" s="79"/>
      <c r="M83" s="102"/>
      <c r="N83" s="71"/>
    </row>
    <row r="84" spans="1:14" s="107" customFormat="1" ht="15" customHeight="1">
      <c r="A84" s="428"/>
      <c r="B84" s="428"/>
      <c r="C84" s="428"/>
      <c r="D84" s="428"/>
      <c r="E84" s="274" t="s">
        <v>9</v>
      </c>
      <c r="F84" s="110">
        <f>SUM(F79:F83)</f>
        <v>32.808</v>
      </c>
      <c r="G84" s="274"/>
      <c r="H84" s="274"/>
      <c r="I84" s="125"/>
      <c r="J84" s="97"/>
      <c r="K84" s="111">
        <f>SUM(K79:K83)</f>
        <v>1965.1200000000003</v>
      </c>
      <c r="L84" s="111">
        <f>K84/F84</f>
        <v>59.897585954645223</v>
      </c>
      <c r="M84" s="102"/>
      <c r="N84" s="71"/>
    </row>
    <row r="85" spans="1:14" s="107" customFormat="1" ht="15" customHeight="1">
      <c r="A85" s="427">
        <v>9499</v>
      </c>
      <c r="B85" s="427" t="s">
        <v>860</v>
      </c>
      <c r="C85" s="427" t="s">
        <v>898</v>
      </c>
      <c r="D85" s="428" t="s">
        <v>901</v>
      </c>
      <c r="E85" s="427" t="s">
        <v>127</v>
      </c>
      <c r="F85" s="87">
        <f>300*1.0936</f>
        <v>328.08</v>
      </c>
      <c r="G85" s="93" t="s">
        <v>258</v>
      </c>
      <c r="H85" s="79"/>
      <c r="I85" s="80">
        <v>0.373</v>
      </c>
      <c r="J85" s="81">
        <v>2801</v>
      </c>
      <c r="K85" s="81">
        <f t="shared" ref="K85:K91" si="19">I85*J85</f>
        <v>1044.7729999999999</v>
      </c>
      <c r="L85" s="102"/>
      <c r="M85" s="153"/>
      <c r="N85" s="71"/>
    </row>
    <row r="86" spans="1:14" s="107" customFormat="1" ht="15" customHeight="1">
      <c r="A86" s="428"/>
      <c r="B86" s="428"/>
      <c r="C86" s="428"/>
      <c r="D86" s="428"/>
      <c r="E86" s="428"/>
      <c r="F86" s="98"/>
      <c r="G86" s="93" t="s">
        <v>259</v>
      </c>
      <c r="H86" s="79"/>
      <c r="I86" s="80">
        <v>0.13100000000000001</v>
      </c>
      <c r="J86" s="81">
        <v>2704</v>
      </c>
      <c r="K86" s="81">
        <f t="shared" si="19"/>
        <v>354.22399999999999</v>
      </c>
      <c r="L86" s="102"/>
      <c r="M86" s="102"/>
      <c r="N86" s="71"/>
    </row>
    <row r="87" spans="1:14" s="107" customFormat="1" ht="15" customHeight="1">
      <c r="A87" s="428"/>
      <c r="B87" s="428"/>
      <c r="C87" s="428"/>
      <c r="D87" s="427"/>
      <c r="E87" s="229"/>
      <c r="F87" s="427"/>
      <c r="G87" s="91" t="s">
        <v>260</v>
      </c>
      <c r="H87" s="79"/>
      <c r="I87" s="80">
        <v>0.35</v>
      </c>
      <c r="J87" s="81">
        <v>4545</v>
      </c>
      <c r="K87" s="81">
        <f t="shared" si="19"/>
        <v>1590.75</v>
      </c>
      <c r="L87" s="102"/>
      <c r="M87" s="102"/>
      <c r="N87" s="71"/>
    </row>
    <row r="88" spans="1:14" s="107" customFormat="1" ht="15" customHeight="1">
      <c r="A88" s="428"/>
      <c r="B88" s="428"/>
      <c r="C88" s="428"/>
      <c r="D88" s="428"/>
      <c r="E88" s="428"/>
      <c r="F88" s="98"/>
      <c r="G88" s="427" t="s">
        <v>184</v>
      </c>
      <c r="H88" s="79"/>
      <c r="I88" s="80">
        <v>1.2</v>
      </c>
      <c r="J88" s="81">
        <v>336</v>
      </c>
      <c r="K88" s="81">
        <f t="shared" si="19"/>
        <v>403.2</v>
      </c>
      <c r="L88" s="102"/>
      <c r="M88" s="102"/>
      <c r="N88" s="71"/>
    </row>
    <row r="89" spans="1:14" s="107" customFormat="1" ht="15" customHeight="1">
      <c r="A89" s="428"/>
      <c r="B89" s="428"/>
      <c r="C89" s="428"/>
      <c r="D89" s="428"/>
      <c r="E89" s="428"/>
      <c r="F89" s="98"/>
      <c r="G89" s="95" t="s">
        <v>185</v>
      </c>
      <c r="H89" s="79"/>
      <c r="I89" s="96">
        <v>0.34</v>
      </c>
      <c r="J89" s="81">
        <v>490</v>
      </c>
      <c r="K89" s="81">
        <f t="shared" si="19"/>
        <v>166.60000000000002</v>
      </c>
      <c r="L89" s="102"/>
      <c r="M89" s="102"/>
      <c r="N89" s="71"/>
    </row>
    <row r="90" spans="1:14" s="107" customFormat="1" ht="15" customHeight="1">
      <c r="A90" s="428"/>
      <c r="B90" s="428"/>
      <c r="C90" s="428"/>
      <c r="D90" s="428"/>
      <c r="E90" s="428"/>
      <c r="F90" s="98"/>
      <c r="G90" s="427" t="s">
        <v>28</v>
      </c>
      <c r="H90" s="79"/>
      <c r="I90" s="80">
        <v>3.6</v>
      </c>
      <c r="J90" s="81">
        <v>17</v>
      </c>
      <c r="K90" s="81">
        <f t="shared" si="19"/>
        <v>61.2</v>
      </c>
      <c r="L90" s="102"/>
      <c r="M90" s="102"/>
      <c r="N90" s="71"/>
    </row>
    <row r="91" spans="1:14" s="107" customFormat="1" ht="15" customHeight="1">
      <c r="A91" s="428"/>
      <c r="B91" s="428"/>
      <c r="C91" s="428"/>
      <c r="D91" s="428"/>
      <c r="E91" s="428"/>
      <c r="F91" s="98"/>
      <c r="G91" s="95" t="s">
        <v>899</v>
      </c>
      <c r="H91" s="79"/>
      <c r="I91" s="80">
        <v>2.5</v>
      </c>
      <c r="J91" s="81">
        <v>65</v>
      </c>
      <c r="K91" s="81">
        <f t="shared" si="19"/>
        <v>162.5</v>
      </c>
      <c r="L91" s="102"/>
      <c r="M91" s="102"/>
      <c r="N91" s="71"/>
    </row>
    <row r="92" spans="1:14" s="107" customFormat="1" ht="15" customHeight="1">
      <c r="A92" s="428"/>
      <c r="B92" s="428"/>
      <c r="C92" s="428"/>
      <c r="D92" s="428"/>
      <c r="E92" s="274" t="s">
        <v>9</v>
      </c>
      <c r="F92" s="110">
        <f>SUM(F85:F91)</f>
        <v>328.08</v>
      </c>
      <c r="G92" s="274"/>
      <c r="H92" s="274"/>
      <c r="I92" s="125"/>
      <c r="J92" s="97"/>
      <c r="K92" s="111">
        <f>SUM(K85:K91)</f>
        <v>3783.2469999999994</v>
      </c>
      <c r="L92" s="111">
        <f>K92/F92</f>
        <v>11.531477078761277</v>
      </c>
      <c r="M92" s="102"/>
      <c r="N92" s="71"/>
    </row>
    <row r="93" spans="1:14" s="107" customFormat="1" ht="15" customHeight="1">
      <c r="A93" s="427">
        <v>9498</v>
      </c>
      <c r="B93" s="427" t="s">
        <v>277</v>
      </c>
      <c r="C93" s="427" t="s">
        <v>788</v>
      </c>
      <c r="D93" s="427" t="s">
        <v>503</v>
      </c>
      <c r="E93" s="427" t="s">
        <v>902</v>
      </c>
      <c r="F93" s="222">
        <f>45*1.0936</f>
        <v>49.211999999999996</v>
      </c>
      <c r="G93" s="429" t="s">
        <v>405</v>
      </c>
      <c r="H93" s="79"/>
      <c r="I93" s="80">
        <v>0.252</v>
      </c>
      <c r="J93" s="81">
        <v>1708</v>
      </c>
      <c r="K93" s="81">
        <f t="shared" ref="K93:K97" si="20">I93*J93</f>
        <v>430.416</v>
      </c>
      <c r="L93" s="102"/>
      <c r="M93" s="102"/>
      <c r="N93" s="71"/>
    </row>
    <row r="94" spans="1:14" s="107" customFormat="1" ht="15" customHeight="1">
      <c r="A94" s="427"/>
      <c r="B94" s="428"/>
      <c r="C94" s="428"/>
      <c r="D94" s="428"/>
      <c r="E94" s="428"/>
      <c r="F94" s="98"/>
      <c r="G94" s="429" t="s">
        <v>183</v>
      </c>
      <c r="H94" s="79"/>
      <c r="I94" s="80">
        <v>5.2999999999999999E-2</v>
      </c>
      <c r="J94" s="81">
        <v>1600</v>
      </c>
      <c r="K94" s="81">
        <f t="shared" si="20"/>
        <v>84.8</v>
      </c>
      <c r="L94" s="102"/>
      <c r="M94" s="102"/>
      <c r="N94" s="71"/>
    </row>
    <row r="95" spans="1:14" s="107" customFormat="1" ht="15" customHeight="1">
      <c r="A95" s="427"/>
      <c r="B95" s="428"/>
      <c r="C95" s="428"/>
      <c r="D95" s="428"/>
      <c r="E95" s="428"/>
      <c r="F95" s="98"/>
      <c r="G95" s="93" t="s">
        <v>315</v>
      </c>
      <c r="H95" s="79"/>
      <c r="I95" s="80">
        <v>0.26400000000000001</v>
      </c>
      <c r="J95" s="81">
        <v>2184</v>
      </c>
      <c r="K95" s="81">
        <f t="shared" si="20"/>
        <v>576.57600000000002</v>
      </c>
      <c r="L95" s="102"/>
      <c r="M95" s="102"/>
      <c r="N95" s="71"/>
    </row>
    <row r="96" spans="1:14" s="107" customFormat="1" ht="15" customHeight="1">
      <c r="A96" s="427"/>
      <c r="B96" s="428"/>
      <c r="C96" s="428"/>
      <c r="D96" s="428"/>
      <c r="E96" s="428"/>
      <c r="F96" s="98"/>
      <c r="G96" s="427" t="s">
        <v>184</v>
      </c>
      <c r="H96" s="427"/>
      <c r="I96" s="80">
        <v>0.6</v>
      </c>
      <c r="J96" s="81">
        <v>336</v>
      </c>
      <c r="K96" s="94">
        <f t="shared" si="20"/>
        <v>201.6</v>
      </c>
      <c r="L96" s="102"/>
      <c r="M96" s="102"/>
      <c r="N96" s="71"/>
    </row>
    <row r="97" spans="1:14" s="107" customFormat="1" ht="15" customHeight="1">
      <c r="A97" s="427"/>
      <c r="B97" s="428"/>
      <c r="C97" s="428"/>
      <c r="D97" s="428"/>
      <c r="E97" s="428"/>
      <c r="F97" s="98"/>
      <c r="G97" s="95" t="s">
        <v>185</v>
      </c>
      <c r="H97" s="79"/>
      <c r="I97" s="96">
        <v>0.12</v>
      </c>
      <c r="J97" s="81">
        <v>490</v>
      </c>
      <c r="K97" s="81">
        <f t="shared" si="20"/>
        <v>58.8</v>
      </c>
      <c r="L97" s="102"/>
      <c r="M97" s="102"/>
      <c r="N97" s="71"/>
    </row>
    <row r="98" spans="1:14" s="107" customFormat="1" ht="15" customHeight="1">
      <c r="A98" s="427"/>
      <c r="B98" s="428"/>
      <c r="C98" s="428"/>
      <c r="D98" s="428"/>
      <c r="E98" s="274" t="s">
        <v>9</v>
      </c>
      <c r="F98" s="110">
        <f>SUM(F93:F97)</f>
        <v>49.211999999999996</v>
      </c>
      <c r="G98" s="274"/>
      <c r="H98" s="274"/>
      <c r="I98" s="125"/>
      <c r="J98" s="97"/>
      <c r="K98" s="111">
        <f>SUM(K93:K97)</f>
        <v>1352.1919999999998</v>
      </c>
      <c r="L98" s="111">
        <f>K98/F98</f>
        <v>27.476875558806793</v>
      </c>
      <c r="M98" s="102"/>
      <c r="N98" s="71"/>
    </row>
    <row r="99" spans="1:14" s="107" customFormat="1" ht="15" customHeight="1">
      <c r="A99" s="427">
        <v>9497</v>
      </c>
      <c r="B99" s="427" t="s">
        <v>894</v>
      </c>
      <c r="C99" s="427" t="s">
        <v>121</v>
      </c>
      <c r="D99" s="89" t="s">
        <v>903</v>
      </c>
      <c r="E99" s="89" t="s">
        <v>822</v>
      </c>
      <c r="F99" s="87">
        <f>300*1.0936</f>
        <v>328.08</v>
      </c>
      <c r="G99" s="429" t="s">
        <v>405</v>
      </c>
      <c r="H99" s="79"/>
      <c r="I99" s="80">
        <v>0.42</v>
      </c>
      <c r="J99" s="81">
        <v>1708</v>
      </c>
      <c r="K99" s="81">
        <f t="shared" ref="K99:K103" si="21">I99*J99</f>
        <v>717.36</v>
      </c>
      <c r="L99" s="102"/>
      <c r="M99" s="102"/>
      <c r="N99" s="71"/>
    </row>
    <row r="100" spans="1:14" s="107" customFormat="1" ht="15" customHeight="1">
      <c r="A100" s="427"/>
      <c r="B100" s="428"/>
      <c r="C100" s="428"/>
      <c r="D100" s="428"/>
      <c r="E100" s="428"/>
      <c r="F100" s="98"/>
      <c r="G100" s="91" t="s">
        <v>195</v>
      </c>
      <c r="H100" s="79"/>
      <c r="I100" s="80">
        <v>0.1</v>
      </c>
      <c r="J100" s="81">
        <v>645</v>
      </c>
      <c r="K100" s="81">
        <f t="shared" si="21"/>
        <v>64.5</v>
      </c>
      <c r="L100" s="102"/>
      <c r="M100" s="102"/>
      <c r="N100" s="71"/>
    </row>
    <row r="101" spans="1:14" s="107" customFormat="1" ht="15" customHeight="1">
      <c r="A101" s="427"/>
      <c r="B101" s="428"/>
      <c r="C101" s="428"/>
      <c r="D101" s="428"/>
      <c r="E101" s="428"/>
      <c r="F101" s="98"/>
      <c r="G101" s="91" t="s">
        <v>191</v>
      </c>
      <c r="H101" s="79"/>
      <c r="I101" s="80">
        <v>0.246</v>
      </c>
      <c r="J101" s="81">
        <v>1628</v>
      </c>
      <c r="K101" s="81">
        <f t="shared" si="21"/>
        <v>400.488</v>
      </c>
      <c r="L101" s="102"/>
      <c r="M101" s="102"/>
      <c r="N101" s="71"/>
    </row>
    <row r="102" spans="1:14" s="107" customFormat="1" ht="15" customHeight="1">
      <c r="A102" s="427"/>
      <c r="B102" s="428"/>
      <c r="C102" s="428"/>
      <c r="D102" s="428"/>
      <c r="E102" s="428"/>
      <c r="F102" s="98"/>
      <c r="G102" s="427" t="s">
        <v>184</v>
      </c>
      <c r="H102" s="427"/>
      <c r="I102" s="80">
        <v>1</v>
      </c>
      <c r="J102" s="81">
        <v>336</v>
      </c>
      <c r="K102" s="94">
        <f t="shared" si="21"/>
        <v>336</v>
      </c>
      <c r="L102" s="102"/>
      <c r="M102" s="102"/>
      <c r="N102" s="71"/>
    </row>
    <row r="103" spans="1:14" s="107" customFormat="1" ht="15" customHeight="1">
      <c r="A103" s="427"/>
      <c r="B103" s="428"/>
      <c r="C103" s="428"/>
      <c r="D103" s="428"/>
      <c r="E103" s="428"/>
      <c r="F103" s="98"/>
      <c r="G103" s="95" t="s">
        <v>185</v>
      </c>
      <c r="H103" s="79"/>
      <c r="I103" s="96">
        <v>0.2</v>
      </c>
      <c r="J103" s="81">
        <v>490</v>
      </c>
      <c r="K103" s="81">
        <f t="shared" si="21"/>
        <v>98</v>
      </c>
      <c r="L103" s="102"/>
      <c r="M103" s="102"/>
      <c r="N103" s="71"/>
    </row>
    <row r="104" spans="1:14" s="107" customFormat="1" ht="15" customHeight="1">
      <c r="A104" s="427"/>
      <c r="B104" s="428"/>
      <c r="C104" s="428"/>
      <c r="D104" s="428"/>
      <c r="E104" s="274" t="s">
        <v>9</v>
      </c>
      <c r="F104" s="110">
        <f>SUM(F99:F103)</f>
        <v>328.08</v>
      </c>
      <c r="G104" s="274"/>
      <c r="H104" s="274"/>
      <c r="I104" s="125"/>
      <c r="J104" s="97"/>
      <c r="K104" s="111">
        <f>SUM(K99:K103)</f>
        <v>1616.348</v>
      </c>
      <c r="L104" s="111">
        <f>K104/F104</f>
        <v>4.9266886125335283</v>
      </c>
      <c r="M104" s="102"/>
      <c r="N104" s="71"/>
    </row>
    <row r="105" spans="1:14" s="107" customFormat="1" ht="15" customHeight="1">
      <c r="A105" s="427">
        <v>9496</v>
      </c>
      <c r="B105" s="427" t="s">
        <v>904</v>
      </c>
      <c r="C105" s="427" t="s">
        <v>233</v>
      </c>
      <c r="D105" s="89" t="s">
        <v>905</v>
      </c>
      <c r="E105" s="89" t="s">
        <v>822</v>
      </c>
      <c r="F105" s="87">
        <f>5280*1.0936</f>
        <v>5774.2079999999996</v>
      </c>
      <c r="G105" s="429" t="s">
        <v>405</v>
      </c>
      <c r="H105" s="79"/>
      <c r="I105" s="80">
        <f>1.925+0.062+0.5+0.203+1.08</f>
        <v>3.77</v>
      </c>
      <c r="J105" s="81">
        <v>1708</v>
      </c>
      <c r="K105" s="81">
        <f t="shared" ref="K105:K109" si="22">I105*J105</f>
        <v>6439.16</v>
      </c>
      <c r="L105" s="102"/>
      <c r="M105" s="102"/>
      <c r="N105" s="71"/>
    </row>
    <row r="106" spans="1:14" s="107" customFormat="1" ht="15" customHeight="1">
      <c r="A106" s="427"/>
      <c r="B106" s="428"/>
      <c r="C106" s="428"/>
      <c r="D106" s="428"/>
      <c r="E106" s="428"/>
      <c r="F106" s="98"/>
      <c r="G106" s="91" t="s">
        <v>192</v>
      </c>
      <c r="H106" s="79"/>
      <c r="I106" s="80">
        <f>1.785+0.051+0.428+0.154+1.1</f>
        <v>3.5179999999999998</v>
      </c>
      <c r="J106" s="81">
        <v>1126</v>
      </c>
      <c r="K106" s="81">
        <f t="shared" si="22"/>
        <v>3961.2679999999996</v>
      </c>
      <c r="L106" s="79"/>
      <c r="M106" s="102"/>
      <c r="N106" s="71"/>
    </row>
    <row r="107" spans="1:14" s="107" customFormat="1" ht="15" customHeight="1">
      <c r="A107" s="427"/>
      <c r="B107" s="428"/>
      <c r="C107" s="428"/>
      <c r="D107" s="428"/>
      <c r="E107" s="428"/>
      <c r="F107" s="98"/>
      <c r="G107" s="91" t="s">
        <v>193</v>
      </c>
      <c r="H107" s="79"/>
      <c r="I107" s="80">
        <f>15.967+0.115+3.92+1.408+10.2</f>
        <v>31.610000000000003</v>
      </c>
      <c r="J107" s="81">
        <v>1150</v>
      </c>
      <c r="K107" s="81">
        <f t="shared" si="22"/>
        <v>36351.5</v>
      </c>
      <c r="L107" s="79"/>
      <c r="M107" s="102"/>
      <c r="N107" s="71"/>
    </row>
    <row r="108" spans="1:14" s="107" customFormat="1" ht="15" customHeight="1">
      <c r="A108" s="428"/>
      <c r="B108" s="428"/>
      <c r="C108" s="428"/>
      <c r="D108" s="428"/>
      <c r="E108" s="428"/>
      <c r="F108" s="98"/>
      <c r="G108" s="427" t="s">
        <v>184</v>
      </c>
      <c r="H108" s="427"/>
      <c r="I108" s="80">
        <f>7+1.5+5</f>
        <v>13.5</v>
      </c>
      <c r="J108" s="81">
        <v>336</v>
      </c>
      <c r="K108" s="94">
        <f t="shared" si="22"/>
        <v>4536</v>
      </c>
      <c r="L108" s="79"/>
      <c r="M108" s="102"/>
      <c r="N108" s="71"/>
    </row>
    <row r="109" spans="1:14" s="107" customFormat="1" ht="15" customHeight="1">
      <c r="A109" s="428"/>
      <c r="B109" s="428"/>
      <c r="C109" s="428"/>
      <c r="D109" s="428"/>
      <c r="E109" s="428"/>
      <c r="F109" s="98"/>
      <c r="G109" s="95" t="s">
        <v>185</v>
      </c>
      <c r="H109" s="79"/>
      <c r="I109" s="96">
        <f>1.4+0.3+1</f>
        <v>2.7</v>
      </c>
      <c r="J109" s="81">
        <v>490</v>
      </c>
      <c r="K109" s="81">
        <f t="shared" si="22"/>
        <v>1323</v>
      </c>
      <c r="L109" s="79"/>
      <c r="M109" s="102"/>
      <c r="N109" s="71"/>
    </row>
    <row r="110" spans="1:14" s="107" customFormat="1" ht="15" customHeight="1">
      <c r="A110" s="428"/>
      <c r="B110" s="428"/>
      <c r="C110" s="428"/>
      <c r="D110" s="428"/>
      <c r="E110" s="274" t="s">
        <v>9</v>
      </c>
      <c r="F110" s="110">
        <f>SUM(F105:F109)</f>
        <v>5774.2079999999996</v>
      </c>
      <c r="G110" s="274"/>
      <c r="H110" s="274"/>
      <c r="I110" s="125"/>
      <c r="J110" s="97"/>
      <c r="K110" s="111">
        <f>SUM(K105:K109)</f>
        <v>52610.928</v>
      </c>
      <c r="L110" s="111">
        <f>K110/F110</f>
        <v>9.1113669614949799</v>
      </c>
      <c r="M110" s="102"/>
      <c r="N110" s="71"/>
    </row>
    <row r="111" spans="1:14" s="107" customFormat="1" ht="15" customHeight="1">
      <c r="A111" s="427">
        <v>9490</v>
      </c>
      <c r="B111" s="427" t="s">
        <v>875</v>
      </c>
      <c r="C111" s="427" t="s">
        <v>233</v>
      </c>
      <c r="D111" s="89" t="s">
        <v>905</v>
      </c>
      <c r="E111" s="427" t="s">
        <v>876</v>
      </c>
      <c r="F111" s="87">
        <f>5540*1.0936</f>
        <v>6058.5439999999999</v>
      </c>
      <c r="G111" s="429" t="s">
        <v>405</v>
      </c>
      <c r="H111" s="79"/>
      <c r="I111" s="80">
        <f>2.57+0.795+0.3</f>
        <v>3.6649999999999996</v>
      </c>
      <c r="J111" s="81">
        <v>1708</v>
      </c>
      <c r="K111" s="81">
        <f t="shared" ref="K111:K120" si="23">I111*J111</f>
        <v>6259.82</v>
      </c>
      <c r="L111" s="102"/>
      <c r="M111" s="102"/>
      <c r="N111" s="71"/>
    </row>
    <row r="112" spans="1:14" s="107" customFormat="1" ht="15" customHeight="1">
      <c r="A112" s="428"/>
      <c r="B112" s="428"/>
      <c r="C112" s="428"/>
      <c r="D112" s="428"/>
      <c r="E112" s="427"/>
      <c r="F112" s="98"/>
      <c r="G112" s="429" t="s">
        <v>183</v>
      </c>
      <c r="H112" s="79"/>
      <c r="I112" s="80">
        <f>1.24+0.38</f>
        <v>1.62</v>
      </c>
      <c r="J112" s="81">
        <v>1600</v>
      </c>
      <c r="K112" s="81">
        <f t="shared" si="23"/>
        <v>2592</v>
      </c>
      <c r="L112" s="102"/>
      <c r="M112" s="102"/>
      <c r="N112" s="71"/>
    </row>
    <row r="113" spans="1:14" s="107" customFormat="1" ht="15" customHeight="1">
      <c r="A113" s="433"/>
      <c r="B113" s="433"/>
      <c r="C113" s="433"/>
      <c r="D113" s="433"/>
      <c r="E113" s="434"/>
      <c r="F113" s="98"/>
      <c r="G113" s="91" t="s">
        <v>192</v>
      </c>
      <c r="H113" s="79"/>
      <c r="I113" s="80">
        <v>0.375</v>
      </c>
      <c r="J113" s="81">
        <v>1126</v>
      </c>
      <c r="K113" s="81">
        <f t="shared" si="23"/>
        <v>422.25</v>
      </c>
      <c r="L113" s="102"/>
      <c r="M113" s="102"/>
      <c r="N113" s="71"/>
    </row>
    <row r="114" spans="1:14" s="107" customFormat="1" ht="15" customHeight="1">
      <c r="A114" s="433"/>
      <c r="B114" s="433"/>
      <c r="C114" s="433"/>
      <c r="D114" s="433"/>
      <c r="E114" s="434"/>
      <c r="F114" s="98"/>
      <c r="G114" s="91" t="s">
        <v>193</v>
      </c>
      <c r="H114" s="79"/>
      <c r="I114" s="80">
        <v>0.97499999999999998</v>
      </c>
      <c r="J114" s="81">
        <v>1150</v>
      </c>
      <c r="K114" s="81">
        <f t="shared" si="23"/>
        <v>1121.25</v>
      </c>
      <c r="L114" s="102"/>
      <c r="M114" s="102"/>
      <c r="N114" s="71"/>
    </row>
    <row r="115" spans="1:14" s="107" customFormat="1" ht="15" customHeight="1">
      <c r="A115" s="428"/>
      <c r="B115" s="428"/>
      <c r="C115" s="428"/>
      <c r="D115" s="428"/>
      <c r="E115" s="428"/>
      <c r="F115" s="98"/>
      <c r="G115" s="93" t="s">
        <v>315</v>
      </c>
      <c r="H115" s="79"/>
      <c r="I115" s="80">
        <f>5.75+1.695+0.04</f>
        <v>7.4850000000000003</v>
      </c>
      <c r="J115" s="81">
        <v>2184</v>
      </c>
      <c r="K115" s="81">
        <f t="shared" si="23"/>
        <v>16347.240000000002</v>
      </c>
      <c r="L115" s="102"/>
      <c r="M115" s="102"/>
      <c r="N115" s="71"/>
    </row>
    <row r="116" spans="1:14" s="107" customFormat="1" ht="15" customHeight="1">
      <c r="A116" s="428"/>
      <c r="B116" s="428"/>
      <c r="C116" s="428"/>
      <c r="D116" s="428"/>
      <c r="E116" s="428"/>
      <c r="F116" s="98"/>
      <c r="G116" s="91" t="s">
        <v>346</v>
      </c>
      <c r="H116" s="79"/>
      <c r="I116" s="80">
        <f>0.033+0.04+0.056</f>
        <v>0.129</v>
      </c>
      <c r="J116" s="81">
        <v>3837</v>
      </c>
      <c r="K116" s="81">
        <f t="shared" si="23"/>
        <v>494.97300000000001</v>
      </c>
      <c r="L116" s="102"/>
      <c r="M116" s="102"/>
      <c r="N116" s="71"/>
    </row>
    <row r="117" spans="1:14" s="107" customFormat="1" ht="15" customHeight="1">
      <c r="A117" s="428"/>
      <c r="B117" s="428"/>
      <c r="C117" s="428"/>
      <c r="D117" s="428"/>
      <c r="E117" s="428"/>
      <c r="F117" s="98"/>
      <c r="G117" s="91" t="s">
        <v>279</v>
      </c>
      <c r="H117" s="79"/>
      <c r="I117" s="80">
        <f>0.07+0.06</f>
        <v>0.13</v>
      </c>
      <c r="J117" s="81">
        <v>689</v>
      </c>
      <c r="K117" s="81">
        <f t="shared" si="23"/>
        <v>89.570000000000007</v>
      </c>
      <c r="L117" s="102"/>
      <c r="M117" s="102"/>
      <c r="N117" s="71"/>
    </row>
    <row r="118" spans="1:14" s="107" customFormat="1" ht="15" customHeight="1">
      <c r="A118" s="428"/>
      <c r="B118" s="428"/>
      <c r="C118" s="428"/>
      <c r="D118" s="428"/>
      <c r="E118" s="428"/>
      <c r="F118" s="98"/>
      <c r="G118" s="91" t="s">
        <v>195</v>
      </c>
      <c r="H118" s="79"/>
      <c r="I118" s="80">
        <v>0.06</v>
      </c>
      <c r="J118" s="81">
        <v>645</v>
      </c>
      <c r="K118" s="81">
        <f t="shared" si="23"/>
        <v>38.699999999999996</v>
      </c>
      <c r="L118" s="102"/>
      <c r="M118" s="102"/>
      <c r="N118" s="71"/>
    </row>
    <row r="119" spans="1:14" s="107" customFormat="1" ht="15" customHeight="1">
      <c r="A119" s="428"/>
      <c r="B119" s="428"/>
      <c r="C119" s="428"/>
      <c r="D119" s="428"/>
      <c r="E119" s="428"/>
      <c r="F119" s="98"/>
      <c r="G119" s="427" t="s">
        <v>184</v>
      </c>
      <c r="H119" s="427"/>
      <c r="I119" s="80">
        <f>5+3</f>
        <v>8</v>
      </c>
      <c r="J119" s="81">
        <v>336</v>
      </c>
      <c r="K119" s="94">
        <f t="shared" si="23"/>
        <v>2688</v>
      </c>
      <c r="L119" s="102"/>
      <c r="M119" s="102"/>
      <c r="N119" s="71"/>
    </row>
    <row r="120" spans="1:14" s="107" customFormat="1" ht="15" customHeight="1">
      <c r="A120" s="428"/>
      <c r="B120" s="428"/>
      <c r="C120" s="428"/>
      <c r="D120" s="428"/>
      <c r="E120" s="428"/>
      <c r="F120" s="98"/>
      <c r="G120" s="95" t="s">
        <v>185</v>
      </c>
      <c r="H120" s="79"/>
      <c r="I120" s="96">
        <f>1+0.6</f>
        <v>1.6</v>
      </c>
      <c r="J120" s="81">
        <v>490</v>
      </c>
      <c r="K120" s="81">
        <f t="shared" si="23"/>
        <v>784</v>
      </c>
      <c r="L120" s="102"/>
      <c r="M120" s="102"/>
      <c r="N120" s="71"/>
    </row>
    <row r="121" spans="1:14" s="107" customFormat="1" ht="15" customHeight="1">
      <c r="A121" s="428"/>
      <c r="B121" s="428"/>
      <c r="C121" s="428"/>
      <c r="D121" s="428"/>
      <c r="E121" s="274" t="s">
        <v>9</v>
      </c>
      <c r="F121" s="110">
        <f>SUM(F111:F120)</f>
        <v>6058.5439999999999</v>
      </c>
      <c r="G121" s="274"/>
      <c r="H121" s="274"/>
      <c r="I121" s="125"/>
      <c r="J121" s="97"/>
      <c r="K121" s="111">
        <f>SUM(K111:K120)</f>
        <v>30837.803000000004</v>
      </c>
      <c r="L121" s="111">
        <f>K121/F121</f>
        <v>5.0899693061567275</v>
      </c>
      <c r="M121" s="102"/>
      <c r="N121" s="71"/>
    </row>
    <row r="122" spans="1:14" s="107" customFormat="1" ht="15" customHeight="1">
      <c r="A122" s="425"/>
      <c r="B122" s="425"/>
      <c r="C122" s="425"/>
      <c r="D122" s="126" t="s">
        <v>30</v>
      </c>
      <c r="E122" s="126"/>
      <c r="F122" s="127">
        <f>F66+F72+F78+F84+F92+F98+F104+F110+F121</f>
        <v>18613.072</v>
      </c>
      <c r="G122" s="128"/>
      <c r="H122" s="128"/>
      <c r="I122" s="128"/>
      <c r="J122" s="128"/>
      <c r="K122" s="127">
        <f>K66+K72+K78+K84+K92+K98+K104+K110+K121</f>
        <v>131928.15200000003</v>
      </c>
      <c r="L122" s="129">
        <f>K122/F122</f>
        <v>7.0879300311093205</v>
      </c>
      <c r="M122" s="131"/>
      <c r="N122" s="71"/>
    </row>
    <row r="123" spans="1:14" s="107" customFormat="1" ht="15" customHeight="1">
      <c r="A123" s="70" t="s">
        <v>40</v>
      </c>
      <c r="B123" s="70"/>
      <c r="C123" s="70"/>
      <c r="D123" s="70"/>
      <c r="E123" s="70"/>
      <c r="F123" s="71"/>
      <c r="G123" s="71"/>
      <c r="H123" s="71"/>
      <c r="I123" s="140"/>
      <c r="J123" s="71"/>
      <c r="K123" s="824" t="s">
        <v>890</v>
      </c>
      <c r="L123" s="824"/>
      <c r="M123" s="824"/>
      <c r="N123" s="71"/>
    </row>
    <row r="124" spans="1:14" s="107" customFormat="1" ht="15" customHeight="1">
      <c r="A124" s="274" t="s">
        <v>0</v>
      </c>
      <c r="B124" s="274" t="s">
        <v>7</v>
      </c>
      <c r="C124" s="274" t="s">
        <v>13</v>
      </c>
      <c r="D124" s="274" t="s">
        <v>14</v>
      </c>
      <c r="E124" s="274" t="s">
        <v>8</v>
      </c>
      <c r="F124" s="274" t="s">
        <v>1</v>
      </c>
      <c r="G124" s="274" t="s">
        <v>2</v>
      </c>
      <c r="H124" s="274" t="s">
        <v>15</v>
      </c>
      <c r="I124" s="141" t="s">
        <v>3</v>
      </c>
      <c r="J124" s="274" t="s">
        <v>4</v>
      </c>
      <c r="K124" s="274" t="s">
        <v>5</v>
      </c>
      <c r="L124" s="274" t="s">
        <v>12</v>
      </c>
      <c r="M124" s="274" t="s">
        <v>6</v>
      </c>
      <c r="N124" s="123"/>
    </row>
    <row r="125" spans="1:14" s="107" customFormat="1" ht="15" customHeight="1">
      <c r="A125" s="427">
        <v>8998</v>
      </c>
      <c r="B125" s="427" t="s">
        <v>894</v>
      </c>
      <c r="C125" s="427" t="s">
        <v>121</v>
      </c>
      <c r="D125" s="89" t="s">
        <v>903</v>
      </c>
      <c r="E125" s="89" t="s">
        <v>822</v>
      </c>
      <c r="F125" s="87">
        <f>300*1.0936</f>
        <v>328.08</v>
      </c>
      <c r="G125" s="427" t="s">
        <v>27</v>
      </c>
      <c r="H125" s="79"/>
      <c r="I125" s="80">
        <v>25</v>
      </c>
      <c r="J125" s="81">
        <v>22</v>
      </c>
      <c r="K125" s="81">
        <f t="shared" ref="K125:K127" si="24">I125*J125</f>
        <v>550</v>
      </c>
      <c r="L125" s="428"/>
      <c r="M125" s="428"/>
      <c r="N125" s="424"/>
    </row>
    <row r="126" spans="1:14" s="107" customFormat="1" ht="15" customHeight="1">
      <c r="A126" s="428"/>
      <c r="B126" s="428"/>
      <c r="C126" s="428"/>
      <c r="D126" s="428"/>
      <c r="E126" s="427"/>
      <c r="F126" s="98"/>
      <c r="G126" s="429" t="s">
        <v>49</v>
      </c>
      <c r="H126" s="79"/>
      <c r="I126" s="80">
        <v>2</v>
      </c>
      <c r="J126" s="81">
        <v>34</v>
      </c>
      <c r="K126" s="81">
        <f t="shared" si="24"/>
        <v>68</v>
      </c>
      <c r="L126" s="428"/>
      <c r="M126" s="428"/>
      <c r="N126" s="424"/>
    </row>
    <row r="127" spans="1:14" s="107" customFormat="1" ht="15" customHeight="1">
      <c r="A127" s="428"/>
      <c r="B127" s="428"/>
      <c r="C127" s="428"/>
      <c r="D127" s="428"/>
      <c r="E127" s="428"/>
      <c r="F127" s="428"/>
      <c r="G127" s="427" t="s">
        <v>19</v>
      </c>
      <c r="H127" s="79"/>
      <c r="I127" s="80">
        <v>0.6</v>
      </c>
      <c r="J127" s="81">
        <v>74</v>
      </c>
      <c r="K127" s="81">
        <f t="shared" si="24"/>
        <v>44.4</v>
      </c>
      <c r="L127" s="428"/>
      <c r="M127" s="428"/>
      <c r="N127" s="424"/>
    </row>
    <row r="128" spans="1:14" s="107" customFormat="1" ht="15" customHeight="1">
      <c r="A128" s="428"/>
      <c r="B128" s="428"/>
      <c r="C128" s="428"/>
      <c r="D128" s="428"/>
      <c r="E128" s="274" t="s">
        <v>9</v>
      </c>
      <c r="F128" s="110">
        <f>SUM(F125:F127)</f>
        <v>328.08</v>
      </c>
      <c r="G128" s="274"/>
      <c r="H128" s="274"/>
      <c r="I128" s="125"/>
      <c r="J128" s="97"/>
      <c r="K128" s="111">
        <f>SUM(K125:K127)</f>
        <v>662.4</v>
      </c>
      <c r="L128" s="111">
        <f>K128/F128</f>
        <v>2.0190197512801755</v>
      </c>
      <c r="M128" s="102"/>
      <c r="N128" s="71"/>
    </row>
    <row r="129" spans="1:14" s="107" customFormat="1" ht="15" customHeight="1">
      <c r="A129" s="427">
        <v>8977</v>
      </c>
      <c r="B129" s="427" t="s">
        <v>767</v>
      </c>
      <c r="C129" s="89" t="s">
        <v>766</v>
      </c>
      <c r="D129" s="89" t="s">
        <v>465</v>
      </c>
      <c r="E129" s="427" t="s">
        <v>102</v>
      </c>
      <c r="F129" s="98">
        <f>6600*1.0936</f>
        <v>7217.7599999999993</v>
      </c>
      <c r="G129" s="427" t="s">
        <v>27</v>
      </c>
      <c r="H129" s="79"/>
      <c r="I129" s="80">
        <f>125+20</f>
        <v>145</v>
      </c>
      <c r="J129" s="81">
        <v>22</v>
      </c>
      <c r="K129" s="81">
        <f t="shared" ref="K129:K131" si="25">I129*J129</f>
        <v>3190</v>
      </c>
      <c r="L129" s="428"/>
      <c r="M129" s="428"/>
      <c r="N129" s="424"/>
    </row>
    <row r="130" spans="1:14" s="107" customFormat="1" ht="15" customHeight="1">
      <c r="A130" s="428"/>
      <c r="B130" s="428"/>
      <c r="C130" s="428"/>
      <c r="D130" s="428"/>
      <c r="E130" s="427"/>
      <c r="F130" s="98"/>
      <c r="G130" s="429" t="s">
        <v>49</v>
      </c>
      <c r="H130" s="79"/>
      <c r="I130" s="80">
        <f>15</f>
        <v>15</v>
      </c>
      <c r="J130" s="81">
        <v>34</v>
      </c>
      <c r="K130" s="81">
        <f t="shared" si="25"/>
        <v>510</v>
      </c>
      <c r="L130" s="428"/>
      <c r="M130" s="428"/>
      <c r="N130" s="424"/>
    </row>
    <row r="131" spans="1:14" s="107" customFormat="1" ht="15" customHeight="1">
      <c r="A131" s="428"/>
      <c r="B131" s="428"/>
      <c r="C131" s="428"/>
      <c r="D131" s="428"/>
      <c r="E131" s="428"/>
      <c r="F131" s="428"/>
      <c r="G131" s="427" t="s">
        <v>19</v>
      </c>
      <c r="H131" s="79"/>
      <c r="I131" s="80">
        <v>10</v>
      </c>
      <c r="J131" s="81">
        <v>74</v>
      </c>
      <c r="K131" s="81">
        <f t="shared" si="25"/>
        <v>740</v>
      </c>
      <c r="L131" s="428"/>
      <c r="M131" s="428"/>
      <c r="N131" s="424"/>
    </row>
    <row r="132" spans="1:14" s="107" customFormat="1" ht="15" customHeight="1">
      <c r="A132" s="428"/>
      <c r="B132" s="428"/>
      <c r="C132" s="428"/>
      <c r="D132" s="428"/>
      <c r="E132" s="274" t="s">
        <v>9</v>
      </c>
      <c r="F132" s="110">
        <f>SUM(F129:F131)</f>
        <v>7217.7599999999993</v>
      </c>
      <c r="G132" s="274"/>
      <c r="H132" s="274"/>
      <c r="I132" s="125"/>
      <c r="J132" s="97"/>
      <c r="K132" s="111">
        <f>SUM(K129:K131)</f>
        <v>4440</v>
      </c>
      <c r="L132" s="111">
        <f>K132/F132</f>
        <v>0.61514929839728671</v>
      </c>
      <c r="M132" s="102"/>
      <c r="N132" s="71"/>
    </row>
    <row r="133" spans="1:14" s="107" customFormat="1" ht="15" customHeight="1">
      <c r="A133" s="427">
        <v>8974</v>
      </c>
      <c r="B133" s="427" t="s">
        <v>870</v>
      </c>
      <c r="C133" s="427" t="s">
        <v>513</v>
      </c>
      <c r="D133" s="427" t="s">
        <v>74</v>
      </c>
      <c r="E133" s="427" t="s">
        <v>779</v>
      </c>
      <c r="F133" s="87">
        <f>4350*1.0936</f>
        <v>4757.16</v>
      </c>
      <c r="G133" s="427" t="s">
        <v>27</v>
      </c>
      <c r="H133" s="79"/>
      <c r="I133" s="80">
        <f>105+90</f>
        <v>195</v>
      </c>
      <c r="J133" s="81">
        <v>22</v>
      </c>
      <c r="K133" s="81">
        <f t="shared" ref="K133:K135" si="26">I133*J133</f>
        <v>4290</v>
      </c>
      <c r="L133" s="428"/>
      <c r="M133" s="428"/>
      <c r="N133" s="424"/>
    </row>
    <row r="134" spans="1:14" s="107" customFormat="1" ht="15" customHeight="1">
      <c r="A134" s="428"/>
      <c r="B134" s="428"/>
      <c r="C134" s="428"/>
      <c r="D134" s="428"/>
      <c r="E134" s="428"/>
      <c r="F134" s="428"/>
      <c r="G134" s="429" t="s">
        <v>49</v>
      </c>
      <c r="H134" s="79"/>
      <c r="I134" s="80">
        <f>14+12</f>
        <v>26</v>
      </c>
      <c r="J134" s="81">
        <v>34</v>
      </c>
      <c r="K134" s="81">
        <f t="shared" si="26"/>
        <v>884</v>
      </c>
      <c r="L134" s="428"/>
      <c r="M134" s="428"/>
      <c r="N134" s="424"/>
    </row>
    <row r="135" spans="1:14" s="107" customFormat="1" ht="15" customHeight="1">
      <c r="A135" s="428"/>
      <c r="B135" s="428"/>
      <c r="C135" s="428"/>
      <c r="D135" s="428"/>
      <c r="E135" s="428"/>
      <c r="F135" s="428"/>
      <c r="G135" s="427" t="s">
        <v>19</v>
      </c>
      <c r="H135" s="79"/>
      <c r="I135" s="80">
        <f>4.2+3.6</f>
        <v>7.8000000000000007</v>
      </c>
      <c r="J135" s="81">
        <v>74</v>
      </c>
      <c r="K135" s="81">
        <f t="shared" si="26"/>
        <v>577.20000000000005</v>
      </c>
      <c r="L135" s="428"/>
      <c r="M135" s="428"/>
      <c r="N135" s="424"/>
    </row>
    <row r="136" spans="1:14" s="107" customFormat="1" ht="15" customHeight="1">
      <c r="A136" s="428"/>
      <c r="B136" s="428"/>
      <c r="C136" s="428"/>
      <c r="D136" s="428"/>
      <c r="E136" s="274" t="s">
        <v>9</v>
      </c>
      <c r="F136" s="110">
        <f>SUM(F133:F135)</f>
        <v>4757.16</v>
      </c>
      <c r="G136" s="274"/>
      <c r="H136" s="274"/>
      <c r="I136" s="125"/>
      <c r="J136" s="97"/>
      <c r="K136" s="111">
        <f>SUM(K133:K135)</f>
        <v>5751.2</v>
      </c>
      <c r="L136" s="111">
        <f>K136/F136</f>
        <v>1.2089566043605848</v>
      </c>
      <c r="M136" s="428"/>
      <c r="N136" s="424"/>
    </row>
    <row r="137" spans="1:14" s="107" customFormat="1" ht="15" customHeight="1">
      <c r="A137" s="428">
        <v>8977</v>
      </c>
      <c r="B137" s="427" t="s">
        <v>896</v>
      </c>
      <c r="C137" s="427" t="s">
        <v>349</v>
      </c>
      <c r="D137" s="427" t="s">
        <v>113</v>
      </c>
      <c r="E137" s="427" t="s">
        <v>127</v>
      </c>
      <c r="F137" s="90">
        <f>230*1.0936</f>
        <v>251.52799999999999</v>
      </c>
      <c r="G137" s="427" t="s">
        <v>27</v>
      </c>
      <c r="H137" s="79"/>
      <c r="I137" s="80">
        <v>22.5</v>
      </c>
      <c r="J137" s="81">
        <v>22</v>
      </c>
      <c r="K137" s="81">
        <f t="shared" ref="K137:K139" si="27">I137*J137</f>
        <v>495</v>
      </c>
      <c r="L137" s="428"/>
      <c r="M137" s="428"/>
      <c r="N137" s="424"/>
    </row>
    <row r="138" spans="1:14" s="107" customFormat="1" ht="15" customHeight="1">
      <c r="A138" s="428"/>
      <c r="B138" s="427"/>
      <c r="C138" s="427"/>
      <c r="D138" s="427"/>
      <c r="E138" s="427"/>
      <c r="F138" s="427"/>
      <c r="G138" s="429" t="s">
        <v>49</v>
      </c>
      <c r="H138" s="79"/>
      <c r="I138" s="80">
        <v>0.3</v>
      </c>
      <c r="J138" s="81">
        <v>34</v>
      </c>
      <c r="K138" s="81">
        <f t="shared" si="27"/>
        <v>10.199999999999999</v>
      </c>
      <c r="L138" s="428"/>
      <c r="M138" s="428"/>
      <c r="N138" s="424"/>
    </row>
    <row r="139" spans="1:14" s="107" customFormat="1" ht="15" customHeight="1">
      <c r="A139" s="428"/>
      <c r="B139" s="427"/>
      <c r="C139" s="427"/>
      <c r="D139" s="427"/>
      <c r="E139" s="427"/>
      <c r="F139" s="427"/>
      <c r="G139" s="427" t="s">
        <v>19</v>
      </c>
      <c r="H139" s="79"/>
      <c r="I139" s="80">
        <v>0.9</v>
      </c>
      <c r="J139" s="81">
        <v>74</v>
      </c>
      <c r="K139" s="81">
        <f t="shared" si="27"/>
        <v>66.600000000000009</v>
      </c>
      <c r="L139" s="428"/>
      <c r="M139" s="428"/>
      <c r="N139" s="424"/>
    </row>
    <row r="140" spans="1:14" s="107" customFormat="1" ht="15" customHeight="1">
      <c r="A140" s="428"/>
      <c r="B140" s="428"/>
      <c r="C140" s="428"/>
      <c r="D140" s="428"/>
      <c r="E140" s="274" t="s">
        <v>9</v>
      </c>
      <c r="F140" s="110">
        <f>SUM(F137:F139)</f>
        <v>251.52799999999999</v>
      </c>
      <c r="G140" s="274"/>
      <c r="H140" s="274"/>
      <c r="I140" s="125"/>
      <c r="J140" s="97"/>
      <c r="K140" s="111">
        <f>SUM(K137:K139)</f>
        <v>571.79999999999995</v>
      </c>
      <c r="L140" s="111">
        <f>K140/F140</f>
        <v>2.2733055564390443</v>
      </c>
      <c r="M140" s="428"/>
      <c r="N140" s="424"/>
    </row>
    <row r="141" spans="1:14" s="107" customFormat="1" ht="15" customHeight="1">
      <c r="A141" s="425"/>
      <c r="B141" s="425"/>
      <c r="C141" s="425"/>
      <c r="D141" s="126" t="s">
        <v>30</v>
      </c>
      <c r="E141" s="142"/>
      <c r="F141" s="127">
        <f>F128+F132+F136+F140</f>
        <v>12554.528</v>
      </c>
      <c r="G141" s="128"/>
      <c r="H141" s="128"/>
      <c r="I141" s="128"/>
      <c r="J141" s="128"/>
      <c r="K141" s="127">
        <f>K128+K132+K136+K140</f>
        <v>11425.399999999998</v>
      </c>
      <c r="L141" s="129">
        <f>K141/F141</f>
        <v>0.91006209074526723</v>
      </c>
      <c r="M141" s="131"/>
      <c r="N141" s="71"/>
    </row>
    <row r="142" spans="1:14" s="71" customFormat="1" ht="15" customHeight="1">
      <c r="A142" s="106" t="s">
        <v>11</v>
      </c>
      <c r="B142" s="106"/>
      <c r="C142" s="106"/>
      <c r="D142" s="106"/>
      <c r="E142" s="106"/>
      <c r="F142" s="107"/>
      <c r="G142" s="107"/>
      <c r="H142" s="107"/>
      <c r="I142" s="107"/>
      <c r="J142" s="107"/>
      <c r="K142" s="824" t="s">
        <v>890</v>
      </c>
      <c r="L142" s="824"/>
      <c r="M142" s="824"/>
    </row>
    <row r="143" spans="1:14" s="71" customFormat="1" ht="15" customHeight="1">
      <c r="A143" s="273" t="s">
        <v>0</v>
      </c>
      <c r="B143" s="273" t="s">
        <v>7</v>
      </c>
      <c r="C143" s="273" t="s">
        <v>13</v>
      </c>
      <c r="D143" s="273" t="s">
        <v>14</v>
      </c>
      <c r="E143" s="273" t="s">
        <v>8</v>
      </c>
      <c r="F143" s="273" t="s">
        <v>1</v>
      </c>
      <c r="G143" s="273" t="s">
        <v>2</v>
      </c>
      <c r="H143" s="273" t="s">
        <v>15</v>
      </c>
      <c r="I143" s="273" t="s">
        <v>3</v>
      </c>
      <c r="J143" s="273" t="s">
        <v>4</v>
      </c>
      <c r="K143" s="273" t="s">
        <v>5</v>
      </c>
      <c r="L143" s="273" t="s">
        <v>12</v>
      </c>
      <c r="M143" s="273" t="s">
        <v>6</v>
      </c>
      <c r="N143" s="123"/>
    </row>
    <row r="144" spans="1:14" s="71" customFormat="1" ht="15" customHeight="1">
      <c r="A144" s="427">
        <v>9708</v>
      </c>
      <c r="B144" s="427" t="s">
        <v>881</v>
      </c>
      <c r="C144" s="89" t="s">
        <v>882</v>
      </c>
      <c r="D144" s="89" t="s">
        <v>883</v>
      </c>
      <c r="E144" s="427" t="s">
        <v>694</v>
      </c>
      <c r="F144" s="87">
        <f>5620*1.0936</f>
        <v>6146.0319999999992</v>
      </c>
      <c r="G144" s="173" t="s">
        <v>298</v>
      </c>
      <c r="H144" s="79"/>
      <c r="I144" s="80">
        <v>13</v>
      </c>
      <c r="J144" s="81">
        <v>435</v>
      </c>
      <c r="K144" s="94">
        <f t="shared" ref="K144:K146" si="28">I144*J144</f>
        <v>5655</v>
      </c>
      <c r="L144" s="79"/>
      <c r="M144" s="79"/>
    </row>
    <row r="145" spans="1:14" s="71" customFormat="1" ht="15" customHeight="1">
      <c r="A145" s="427"/>
      <c r="B145" s="427"/>
      <c r="C145" s="427"/>
      <c r="D145" s="427"/>
      <c r="E145" s="427" t="s">
        <v>93</v>
      </c>
      <c r="F145" s="427"/>
      <c r="G145" s="429" t="s">
        <v>206</v>
      </c>
      <c r="H145" s="79"/>
      <c r="I145" s="81">
        <v>3</v>
      </c>
      <c r="J145" s="81">
        <v>375</v>
      </c>
      <c r="K145" s="81">
        <f t="shared" si="28"/>
        <v>1125</v>
      </c>
      <c r="L145" s="79"/>
      <c r="M145" s="79"/>
    </row>
    <row r="146" spans="1:14" s="71" customFormat="1" ht="15" customHeight="1">
      <c r="A146" s="427"/>
      <c r="B146" s="427"/>
      <c r="C146" s="427"/>
      <c r="D146" s="427"/>
      <c r="E146" s="427"/>
      <c r="F146" s="427"/>
      <c r="G146" s="173" t="s">
        <v>799</v>
      </c>
      <c r="H146" s="79"/>
      <c r="I146" s="188">
        <v>5</v>
      </c>
      <c r="J146" s="81">
        <v>350</v>
      </c>
      <c r="K146" s="94">
        <f t="shared" si="28"/>
        <v>1750</v>
      </c>
      <c r="L146" s="79"/>
      <c r="M146" s="79"/>
    </row>
    <row r="147" spans="1:14" s="71" customFormat="1" ht="15" customHeight="1">
      <c r="A147" s="427"/>
      <c r="B147" s="427"/>
      <c r="C147" s="427"/>
      <c r="D147" s="427"/>
      <c r="E147" s="273" t="s">
        <v>9</v>
      </c>
      <c r="F147" s="108">
        <f>SUM(F144:F145)</f>
        <v>6146.0319999999992</v>
      </c>
      <c r="G147" s="273"/>
      <c r="H147" s="273"/>
      <c r="I147" s="81"/>
      <c r="J147" s="81"/>
      <c r="K147" s="103">
        <f>SUM(K144:K146)</f>
        <v>8530</v>
      </c>
      <c r="L147" s="103">
        <f>K147/F147</f>
        <v>1.3878873393434985</v>
      </c>
      <c r="M147" s="79"/>
    </row>
    <row r="148" spans="1:14" s="71" customFormat="1" ht="15" customHeight="1">
      <c r="A148" s="427">
        <v>9710</v>
      </c>
      <c r="B148" s="427" t="s">
        <v>767</v>
      </c>
      <c r="C148" s="89" t="s">
        <v>766</v>
      </c>
      <c r="D148" s="89" t="s">
        <v>465</v>
      </c>
      <c r="E148" s="427" t="s">
        <v>102</v>
      </c>
      <c r="F148" s="98">
        <f>6600*1.0936</f>
        <v>7217.7599999999993</v>
      </c>
      <c r="G148" s="173" t="s">
        <v>298</v>
      </c>
      <c r="H148" s="79"/>
      <c r="I148" s="80">
        <v>10.5</v>
      </c>
      <c r="J148" s="81">
        <v>435</v>
      </c>
      <c r="K148" s="94">
        <f t="shared" ref="K148:K149" si="29">I148*J148</f>
        <v>4567.5</v>
      </c>
      <c r="L148" s="79"/>
      <c r="M148" s="79"/>
    </row>
    <row r="149" spans="1:14" s="71" customFormat="1" ht="15" customHeight="1">
      <c r="A149" s="427"/>
      <c r="B149" s="427"/>
      <c r="C149" s="427"/>
      <c r="D149" s="427"/>
      <c r="E149" s="427"/>
      <c r="F149" s="99"/>
      <c r="G149" s="429" t="s">
        <v>206</v>
      </c>
      <c r="H149" s="79"/>
      <c r="I149" s="81">
        <v>20</v>
      </c>
      <c r="J149" s="81">
        <v>375</v>
      </c>
      <c r="K149" s="81">
        <f t="shared" si="29"/>
        <v>7500</v>
      </c>
      <c r="L149" s="79"/>
      <c r="M149" s="79"/>
    </row>
    <row r="150" spans="1:14" s="71" customFormat="1" ht="15" customHeight="1">
      <c r="A150" s="427"/>
      <c r="B150" s="427"/>
      <c r="C150" s="427"/>
      <c r="D150" s="427"/>
      <c r="E150" s="427"/>
      <c r="F150" s="99"/>
      <c r="G150" s="429" t="s">
        <v>798</v>
      </c>
      <c r="H150" s="79"/>
      <c r="I150" s="81">
        <v>3.5</v>
      </c>
      <c r="J150" s="81">
        <v>248</v>
      </c>
      <c r="K150" s="81">
        <f>I150*J150</f>
        <v>868</v>
      </c>
      <c r="L150" s="79"/>
      <c r="M150" s="79"/>
    </row>
    <row r="151" spans="1:14" s="71" customFormat="1" ht="15" customHeight="1">
      <c r="A151" s="427"/>
      <c r="B151" s="427"/>
      <c r="C151" s="427"/>
      <c r="D151" s="427"/>
      <c r="E151" s="273" t="s">
        <v>9</v>
      </c>
      <c r="F151" s="108">
        <f>SUM(F148:F150)</f>
        <v>7217.7599999999993</v>
      </c>
      <c r="G151" s="273"/>
      <c r="H151" s="273"/>
      <c r="I151" s="81"/>
      <c r="J151" s="81"/>
      <c r="K151" s="103">
        <f>SUM(K148:K150)</f>
        <v>12935.5</v>
      </c>
      <c r="L151" s="103">
        <f>K151/F151</f>
        <v>1.7921765201392124</v>
      </c>
      <c r="M151" s="79"/>
    </row>
    <row r="152" spans="1:14" s="107" customFormat="1" ht="15" customHeight="1">
      <c r="D152" s="133" t="s">
        <v>30</v>
      </c>
      <c r="E152" s="133"/>
      <c r="F152" s="134">
        <f>F147+F151</f>
        <v>13363.791999999998</v>
      </c>
      <c r="G152" s="135"/>
      <c r="H152" s="135"/>
      <c r="I152" s="135"/>
      <c r="J152" s="135"/>
      <c r="K152" s="134">
        <f>K147+K151</f>
        <v>21465.5</v>
      </c>
      <c r="L152" s="151">
        <f>K152/F152</f>
        <v>1.6062431980384013</v>
      </c>
    </row>
    <row r="153" spans="1:14" s="71" customFormat="1" ht="15" customHeight="1">
      <c r="A153" s="70" t="s">
        <v>42</v>
      </c>
      <c r="B153" s="70"/>
      <c r="C153" s="70"/>
      <c r="D153" s="70"/>
      <c r="E153" s="70"/>
      <c r="K153" s="824" t="s">
        <v>890</v>
      </c>
      <c r="L153" s="824"/>
      <c r="M153" s="824"/>
    </row>
    <row r="154" spans="1:14" s="71" customFormat="1" ht="15" customHeight="1">
      <c r="A154" s="274" t="s">
        <v>0</v>
      </c>
      <c r="B154" s="274" t="s">
        <v>7</v>
      </c>
      <c r="C154" s="274" t="s">
        <v>13</v>
      </c>
      <c r="D154" s="274" t="s">
        <v>14</v>
      </c>
      <c r="E154" s="274" t="s">
        <v>8</v>
      </c>
      <c r="F154" s="274" t="s">
        <v>1</v>
      </c>
      <c r="G154" s="274" t="s">
        <v>2</v>
      </c>
      <c r="H154" s="274" t="s">
        <v>15</v>
      </c>
      <c r="I154" s="274" t="s">
        <v>3</v>
      </c>
      <c r="J154" s="274" t="s">
        <v>4</v>
      </c>
      <c r="K154" s="274" t="s">
        <v>5</v>
      </c>
      <c r="L154" s="274" t="s">
        <v>12</v>
      </c>
      <c r="M154" s="274" t="s">
        <v>6</v>
      </c>
      <c r="N154" s="123"/>
    </row>
    <row r="155" spans="1:14" s="71" customFormat="1" ht="15" customHeight="1">
      <c r="A155" s="427">
        <v>7049</v>
      </c>
      <c r="B155" s="427" t="s">
        <v>891</v>
      </c>
      <c r="C155" s="89" t="s">
        <v>217</v>
      </c>
      <c r="D155" s="427" t="s">
        <v>369</v>
      </c>
      <c r="E155" s="427" t="s">
        <v>93</v>
      </c>
      <c r="F155" s="90">
        <f>30*1.0936</f>
        <v>32.808</v>
      </c>
      <c r="G155" s="91" t="s">
        <v>209</v>
      </c>
      <c r="H155" s="79"/>
      <c r="I155" s="80">
        <v>1</v>
      </c>
      <c r="J155" s="81">
        <v>350</v>
      </c>
      <c r="K155" s="81">
        <f t="shared" ref="K155:K159" si="30">I155*J155</f>
        <v>350</v>
      </c>
      <c r="L155" s="112"/>
      <c r="M155" s="79"/>
    </row>
    <row r="156" spans="1:14" s="71" customFormat="1" ht="15" customHeight="1">
      <c r="A156" s="427"/>
      <c r="B156" s="427"/>
      <c r="C156" s="427"/>
      <c r="D156" s="427"/>
      <c r="E156" s="427"/>
      <c r="F156" s="87"/>
      <c r="G156" s="91" t="s">
        <v>886</v>
      </c>
      <c r="H156" s="427"/>
      <c r="I156" s="96">
        <v>2</v>
      </c>
      <c r="J156" s="81">
        <v>700</v>
      </c>
      <c r="K156" s="94">
        <f t="shared" si="30"/>
        <v>1400</v>
      </c>
      <c r="L156" s="79"/>
      <c r="M156" s="79"/>
    </row>
    <row r="157" spans="1:14" s="71" customFormat="1" ht="15" customHeight="1">
      <c r="A157" s="427"/>
      <c r="B157" s="427"/>
      <c r="C157" s="427"/>
      <c r="D157" s="427"/>
      <c r="E157" s="427"/>
      <c r="F157" s="87"/>
      <c r="G157" s="91" t="s">
        <v>221</v>
      </c>
      <c r="H157" s="112"/>
      <c r="I157" s="113">
        <v>1.95</v>
      </c>
      <c r="J157" s="81">
        <v>980</v>
      </c>
      <c r="K157" s="81">
        <f t="shared" si="30"/>
        <v>1911</v>
      </c>
      <c r="L157" s="79"/>
      <c r="M157" s="79"/>
    </row>
    <row r="158" spans="1:14" s="71" customFormat="1" ht="15" customHeight="1">
      <c r="A158" s="427"/>
      <c r="B158" s="427"/>
      <c r="C158" s="427"/>
      <c r="D158" s="427"/>
      <c r="E158" s="427"/>
      <c r="F158" s="87"/>
      <c r="G158" s="91" t="s">
        <v>888</v>
      </c>
      <c r="H158" s="109"/>
      <c r="I158" s="80">
        <v>2.5</v>
      </c>
      <c r="J158" s="81">
        <v>690</v>
      </c>
      <c r="K158" s="81">
        <f t="shared" si="30"/>
        <v>1725</v>
      </c>
      <c r="L158" s="79"/>
      <c r="M158" s="79"/>
    </row>
    <row r="159" spans="1:14" s="71" customFormat="1" ht="15" customHeight="1">
      <c r="A159" s="427"/>
      <c r="B159" s="427"/>
      <c r="C159" s="427"/>
      <c r="D159" s="427"/>
      <c r="E159" s="427"/>
      <c r="F159" s="87"/>
      <c r="G159" s="91" t="s">
        <v>294</v>
      </c>
      <c r="H159" s="112"/>
      <c r="I159" s="113">
        <v>0.13</v>
      </c>
      <c r="J159" s="81">
        <v>753</v>
      </c>
      <c r="K159" s="81">
        <f t="shared" si="30"/>
        <v>97.89</v>
      </c>
      <c r="L159" s="79"/>
      <c r="M159" s="79"/>
    </row>
    <row r="160" spans="1:14" s="71" customFormat="1" ht="15" customHeight="1">
      <c r="A160" s="427"/>
      <c r="B160" s="427"/>
      <c r="C160" s="427"/>
      <c r="D160" s="427"/>
      <c r="E160" s="273"/>
      <c r="F160" s="108"/>
      <c r="G160" s="429" t="s">
        <v>211</v>
      </c>
      <c r="H160" s="79"/>
      <c r="I160" s="80">
        <v>5</v>
      </c>
      <c r="J160" s="81">
        <v>120</v>
      </c>
      <c r="K160" s="81">
        <f>I160*J160</f>
        <v>600</v>
      </c>
      <c r="L160" s="79"/>
      <c r="M160" s="79"/>
    </row>
    <row r="161" spans="1:13" s="71" customFormat="1" ht="15" customHeight="1">
      <c r="A161" s="427"/>
      <c r="B161" s="427"/>
      <c r="C161" s="427"/>
      <c r="D161" s="427"/>
      <c r="E161" s="273"/>
      <c r="F161" s="108"/>
      <c r="G161" s="429" t="s">
        <v>213</v>
      </c>
      <c r="H161" s="79"/>
      <c r="I161" s="80">
        <v>0.8</v>
      </c>
      <c r="J161" s="81">
        <v>348</v>
      </c>
      <c r="K161" s="81">
        <f t="shared" ref="K161:K163" si="31">I161*J161</f>
        <v>278.40000000000003</v>
      </c>
      <c r="L161" s="79"/>
      <c r="M161" s="79"/>
    </row>
    <row r="162" spans="1:13" s="71" customFormat="1" ht="15" customHeight="1">
      <c r="A162" s="427"/>
      <c r="B162" s="427"/>
      <c r="C162" s="427"/>
      <c r="D162" s="427"/>
      <c r="E162" s="273"/>
      <c r="F162" s="108"/>
      <c r="G162" s="429" t="s">
        <v>45</v>
      </c>
      <c r="H162" s="79"/>
      <c r="I162" s="80">
        <v>0.5</v>
      </c>
      <c r="J162" s="81">
        <v>45</v>
      </c>
      <c r="K162" s="81">
        <f t="shared" si="31"/>
        <v>22.5</v>
      </c>
      <c r="L162" s="79"/>
      <c r="M162" s="79"/>
    </row>
    <row r="163" spans="1:13" s="71" customFormat="1" ht="15" customHeight="1">
      <c r="A163" s="427"/>
      <c r="B163" s="427"/>
      <c r="C163" s="427"/>
      <c r="D163" s="427"/>
      <c r="E163" s="273"/>
      <c r="F163" s="108"/>
      <c r="G163" s="429" t="s">
        <v>214</v>
      </c>
      <c r="H163" s="79"/>
      <c r="I163" s="80">
        <v>32</v>
      </c>
      <c r="J163" s="81">
        <v>360</v>
      </c>
      <c r="K163" s="81">
        <f t="shared" si="31"/>
        <v>11520</v>
      </c>
      <c r="L163" s="79"/>
      <c r="M163" s="79"/>
    </row>
    <row r="164" spans="1:13" s="71" customFormat="1" ht="15" customHeight="1">
      <c r="A164" s="427"/>
      <c r="B164" s="427"/>
      <c r="C164" s="427"/>
      <c r="D164" s="427"/>
      <c r="E164" s="273" t="s">
        <v>9</v>
      </c>
      <c r="F164" s="108">
        <f>SUM(F155:F163)</f>
        <v>32.808</v>
      </c>
      <c r="G164" s="273"/>
      <c r="H164" s="273"/>
      <c r="I164" s="81"/>
      <c r="J164" s="81"/>
      <c r="K164" s="103">
        <f>SUM(K155:K163)</f>
        <v>17904.79</v>
      </c>
      <c r="L164" s="103">
        <f>K164/F164</f>
        <v>545.74463545476715</v>
      </c>
      <c r="M164" s="79"/>
    </row>
    <row r="165" spans="1:13" s="71" customFormat="1" ht="15" customHeight="1">
      <c r="A165" s="427">
        <v>7048</v>
      </c>
      <c r="B165" s="427" t="s">
        <v>892</v>
      </c>
      <c r="C165" s="89" t="s">
        <v>217</v>
      </c>
      <c r="D165" s="427" t="s">
        <v>893</v>
      </c>
      <c r="E165" s="427" t="s">
        <v>93</v>
      </c>
      <c r="F165" s="87">
        <f>50*1.0936</f>
        <v>54.679999999999993</v>
      </c>
      <c r="G165" s="91" t="s">
        <v>209</v>
      </c>
      <c r="H165" s="79"/>
      <c r="I165" s="80">
        <v>0.26</v>
      </c>
      <c r="J165" s="81">
        <v>350</v>
      </c>
      <c r="K165" s="81">
        <f t="shared" ref="K165:K168" si="32">I165*J165</f>
        <v>91</v>
      </c>
      <c r="L165" s="79"/>
      <c r="M165" s="79"/>
    </row>
    <row r="166" spans="1:13" s="71" customFormat="1" ht="15" customHeight="1">
      <c r="A166" s="427"/>
      <c r="B166" s="427"/>
      <c r="C166" s="427"/>
      <c r="D166" s="427"/>
      <c r="E166" s="273"/>
      <c r="F166" s="108"/>
      <c r="G166" s="91" t="s">
        <v>123</v>
      </c>
      <c r="H166" s="427"/>
      <c r="I166" s="96">
        <v>0.1</v>
      </c>
      <c r="J166" s="81">
        <v>750</v>
      </c>
      <c r="K166" s="94">
        <f t="shared" si="32"/>
        <v>75</v>
      </c>
      <c r="L166" s="102"/>
      <c r="M166" s="79"/>
    </row>
    <row r="167" spans="1:13" s="71" customFormat="1" ht="15" customHeight="1">
      <c r="A167" s="428"/>
      <c r="B167" s="428"/>
      <c r="C167" s="428"/>
      <c r="D167" s="428"/>
      <c r="E167" s="274"/>
      <c r="F167" s="110"/>
      <c r="G167" s="91" t="s">
        <v>221</v>
      </c>
      <c r="H167" s="112"/>
      <c r="I167" s="113">
        <v>0.2</v>
      </c>
      <c r="J167" s="81">
        <v>980</v>
      </c>
      <c r="K167" s="81">
        <f t="shared" si="32"/>
        <v>196</v>
      </c>
      <c r="L167" s="102"/>
      <c r="M167" s="102"/>
    </row>
    <row r="168" spans="1:13" s="71" customFormat="1" ht="15" customHeight="1">
      <c r="A168" s="428"/>
      <c r="B168" s="428"/>
      <c r="C168" s="428"/>
      <c r="D168" s="428"/>
      <c r="E168" s="274"/>
      <c r="F168" s="110"/>
      <c r="G168" s="91" t="s">
        <v>888</v>
      </c>
      <c r="H168" s="109"/>
      <c r="I168" s="80">
        <v>0.01</v>
      </c>
      <c r="J168" s="81">
        <v>690</v>
      </c>
      <c r="K168" s="81">
        <f t="shared" si="32"/>
        <v>6.9</v>
      </c>
      <c r="L168" s="102"/>
      <c r="M168" s="102"/>
    </row>
    <row r="169" spans="1:13" s="71" customFormat="1" ht="15" customHeight="1">
      <c r="A169" s="428"/>
      <c r="B169" s="428"/>
      <c r="C169" s="428"/>
      <c r="D169" s="428"/>
      <c r="E169" s="274"/>
      <c r="F169" s="110"/>
      <c r="G169" s="429" t="s">
        <v>211</v>
      </c>
      <c r="H169" s="79"/>
      <c r="I169" s="80">
        <v>10</v>
      </c>
      <c r="J169" s="81">
        <v>120</v>
      </c>
      <c r="K169" s="81">
        <f>I169*J169</f>
        <v>1200</v>
      </c>
      <c r="L169" s="79"/>
      <c r="M169" s="102"/>
    </row>
    <row r="170" spans="1:13" s="71" customFormat="1" ht="15" customHeight="1">
      <c r="A170" s="428"/>
      <c r="B170" s="428"/>
      <c r="C170" s="428"/>
      <c r="D170" s="428"/>
      <c r="E170" s="274"/>
      <c r="F170" s="110"/>
      <c r="G170" s="429" t="s">
        <v>212</v>
      </c>
      <c r="H170" s="79"/>
      <c r="I170" s="80">
        <v>1</v>
      </c>
      <c r="J170" s="81">
        <v>527</v>
      </c>
      <c r="K170" s="81">
        <f t="shared" ref="K170:K173" si="33">I170*J170</f>
        <v>527</v>
      </c>
      <c r="L170" s="79"/>
      <c r="M170" s="102"/>
    </row>
    <row r="171" spans="1:13" s="71" customFormat="1" ht="15" customHeight="1">
      <c r="A171" s="428"/>
      <c r="B171" s="428"/>
      <c r="C171" s="428"/>
      <c r="D171" s="428"/>
      <c r="E171" s="274"/>
      <c r="F171" s="110"/>
      <c r="G171" s="429" t="s">
        <v>213</v>
      </c>
      <c r="H171" s="79"/>
      <c r="I171" s="80">
        <v>1.8</v>
      </c>
      <c r="J171" s="81">
        <v>348</v>
      </c>
      <c r="K171" s="81">
        <f t="shared" si="33"/>
        <v>626.4</v>
      </c>
      <c r="L171" s="79"/>
      <c r="M171" s="102"/>
    </row>
    <row r="172" spans="1:13" s="71" customFormat="1" ht="15" customHeight="1">
      <c r="A172" s="428"/>
      <c r="B172" s="428"/>
      <c r="C172" s="428"/>
      <c r="D172" s="428"/>
      <c r="E172" s="274"/>
      <c r="F172" s="110"/>
      <c r="G172" s="429" t="s">
        <v>45</v>
      </c>
      <c r="H172" s="79"/>
      <c r="I172" s="80">
        <v>1</v>
      </c>
      <c r="J172" s="81">
        <v>45</v>
      </c>
      <c r="K172" s="81">
        <f t="shared" si="33"/>
        <v>45</v>
      </c>
      <c r="L172" s="79"/>
      <c r="M172" s="102"/>
    </row>
    <row r="173" spans="1:13" s="71" customFormat="1" ht="15" customHeight="1">
      <c r="A173" s="428"/>
      <c r="B173" s="428"/>
      <c r="C173" s="428"/>
      <c r="D173" s="428"/>
      <c r="E173" s="274"/>
      <c r="F173" s="110"/>
      <c r="G173" s="427" t="s">
        <v>28</v>
      </c>
      <c r="H173" s="79"/>
      <c r="I173" s="80">
        <v>2</v>
      </c>
      <c r="J173" s="81">
        <v>17</v>
      </c>
      <c r="K173" s="81">
        <f t="shared" si="33"/>
        <v>34</v>
      </c>
      <c r="L173" s="102"/>
      <c r="M173" s="102"/>
    </row>
    <row r="174" spans="1:13" s="71" customFormat="1" ht="15" customHeight="1">
      <c r="A174" s="428"/>
      <c r="B174" s="428"/>
      <c r="C174" s="428"/>
      <c r="D174" s="428"/>
      <c r="E174" s="274"/>
      <c r="F174" s="110"/>
      <c r="G174" s="429" t="s">
        <v>214</v>
      </c>
      <c r="H174" s="79"/>
      <c r="I174" s="80">
        <v>30</v>
      </c>
      <c r="J174" s="81">
        <v>360</v>
      </c>
      <c r="K174" s="81">
        <f t="shared" ref="K174" si="34">I174*J174</f>
        <v>10800</v>
      </c>
      <c r="L174" s="102"/>
      <c r="M174" s="102"/>
    </row>
    <row r="175" spans="1:13" s="71" customFormat="1" ht="15" customHeight="1">
      <c r="A175" s="428"/>
      <c r="B175" s="428"/>
      <c r="C175" s="428"/>
      <c r="D175" s="428"/>
      <c r="E175" s="273" t="s">
        <v>9</v>
      </c>
      <c r="F175" s="108">
        <f>SUM(F165:F174)</f>
        <v>54.679999999999993</v>
      </c>
      <c r="G175" s="273"/>
      <c r="H175" s="273"/>
      <c r="I175" s="81"/>
      <c r="J175" s="81"/>
      <c r="K175" s="103">
        <f>SUM(K165:K174)</f>
        <v>13601.3</v>
      </c>
      <c r="L175" s="103">
        <f>K175/F175</f>
        <v>248.74359912216534</v>
      </c>
      <c r="M175" s="102"/>
    </row>
    <row r="176" spans="1:13" s="71" customFormat="1" ht="15" customHeight="1">
      <c r="A176" s="427">
        <v>7047</v>
      </c>
      <c r="B176" s="427" t="s">
        <v>218</v>
      </c>
      <c r="C176" s="427" t="s">
        <v>792</v>
      </c>
      <c r="D176" s="427" t="s">
        <v>124</v>
      </c>
      <c r="E176" s="427" t="s">
        <v>93</v>
      </c>
      <c r="F176" s="87">
        <f>35*1.0936</f>
        <v>38.275999999999996</v>
      </c>
      <c r="G176" s="91" t="s">
        <v>209</v>
      </c>
      <c r="H176" s="79"/>
      <c r="I176" s="80">
        <v>0.8</v>
      </c>
      <c r="J176" s="81">
        <v>350</v>
      </c>
      <c r="K176" s="81">
        <f t="shared" ref="K176:K179" si="35">I176*J176</f>
        <v>280</v>
      </c>
      <c r="L176" s="79"/>
      <c r="M176" s="79"/>
    </row>
    <row r="177" spans="1:13" s="71" customFormat="1" ht="15" customHeight="1">
      <c r="A177" s="428"/>
      <c r="B177" s="428"/>
      <c r="C177" s="428"/>
      <c r="D177" s="428"/>
      <c r="E177" s="274"/>
      <c r="F177" s="110"/>
      <c r="G177" s="91" t="s">
        <v>123</v>
      </c>
      <c r="H177" s="427"/>
      <c r="I177" s="96">
        <v>0.03</v>
      </c>
      <c r="J177" s="81">
        <v>750</v>
      </c>
      <c r="K177" s="94">
        <f t="shared" si="35"/>
        <v>22.5</v>
      </c>
      <c r="L177" s="102"/>
      <c r="M177" s="79"/>
    </row>
    <row r="178" spans="1:13" s="71" customFormat="1" ht="15" customHeight="1">
      <c r="A178" s="428"/>
      <c r="B178" s="428"/>
      <c r="C178" s="428"/>
      <c r="D178" s="428"/>
      <c r="E178" s="274"/>
      <c r="F178" s="110"/>
      <c r="G178" s="91" t="s">
        <v>221</v>
      </c>
      <c r="H178" s="112"/>
      <c r="I178" s="113">
        <v>1.08</v>
      </c>
      <c r="J178" s="81">
        <v>980</v>
      </c>
      <c r="K178" s="81">
        <f t="shared" si="35"/>
        <v>1058.4000000000001</v>
      </c>
      <c r="L178" s="102"/>
      <c r="M178" s="102"/>
    </row>
    <row r="179" spans="1:13" s="71" customFormat="1" ht="15" customHeight="1">
      <c r="A179" s="428"/>
      <c r="B179" s="428"/>
      <c r="C179" s="428"/>
      <c r="D179" s="428"/>
      <c r="E179" s="274"/>
      <c r="F179" s="110"/>
      <c r="G179" s="91" t="s">
        <v>888</v>
      </c>
      <c r="H179" s="109"/>
      <c r="I179" s="80">
        <v>0.45500000000000002</v>
      </c>
      <c r="J179" s="81">
        <v>690</v>
      </c>
      <c r="K179" s="81">
        <f t="shared" si="35"/>
        <v>313.95</v>
      </c>
      <c r="L179" s="102"/>
      <c r="M179" s="102"/>
    </row>
    <row r="180" spans="1:13" s="71" customFormat="1" ht="15" customHeight="1">
      <c r="A180" s="428"/>
      <c r="B180" s="428"/>
      <c r="C180" s="428"/>
      <c r="D180" s="428"/>
      <c r="E180" s="274"/>
      <c r="F180" s="110"/>
      <c r="G180" s="429" t="s">
        <v>211</v>
      </c>
      <c r="H180" s="79"/>
      <c r="I180" s="80">
        <v>9</v>
      </c>
      <c r="J180" s="81">
        <v>120</v>
      </c>
      <c r="K180" s="81">
        <f>I180*J180</f>
        <v>1080</v>
      </c>
      <c r="L180" s="79"/>
      <c r="M180" s="102"/>
    </row>
    <row r="181" spans="1:13" s="71" customFormat="1" ht="15" customHeight="1">
      <c r="A181" s="428"/>
      <c r="B181" s="428"/>
      <c r="C181" s="428"/>
      <c r="D181" s="428"/>
      <c r="E181" s="274"/>
      <c r="F181" s="110"/>
      <c r="G181" s="429" t="s">
        <v>212</v>
      </c>
      <c r="H181" s="79"/>
      <c r="I181" s="80">
        <v>0.6</v>
      </c>
      <c r="J181" s="81">
        <v>527</v>
      </c>
      <c r="K181" s="81">
        <f t="shared" ref="K181:K184" si="36">I181*J181</f>
        <v>316.2</v>
      </c>
      <c r="L181" s="79"/>
      <c r="M181" s="102"/>
    </row>
    <row r="182" spans="1:13" s="71" customFormat="1" ht="15" customHeight="1">
      <c r="A182" s="428"/>
      <c r="B182" s="428"/>
      <c r="C182" s="428"/>
      <c r="D182" s="428"/>
      <c r="E182" s="274"/>
      <c r="F182" s="110"/>
      <c r="G182" s="429" t="s">
        <v>213</v>
      </c>
      <c r="H182" s="79"/>
      <c r="I182" s="80">
        <v>1</v>
      </c>
      <c r="J182" s="81">
        <v>348</v>
      </c>
      <c r="K182" s="81">
        <f t="shared" si="36"/>
        <v>348</v>
      </c>
      <c r="L182" s="79"/>
      <c r="M182" s="102"/>
    </row>
    <row r="183" spans="1:13" s="71" customFormat="1" ht="15" customHeight="1">
      <c r="A183" s="428"/>
      <c r="B183" s="428"/>
      <c r="C183" s="428"/>
      <c r="D183" s="428"/>
      <c r="E183" s="274"/>
      <c r="F183" s="110"/>
      <c r="G183" s="429" t="s">
        <v>45</v>
      </c>
      <c r="H183" s="79"/>
      <c r="I183" s="80">
        <v>0.6</v>
      </c>
      <c r="J183" s="81">
        <v>45</v>
      </c>
      <c r="K183" s="81">
        <f t="shared" si="36"/>
        <v>27</v>
      </c>
      <c r="L183" s="79"/>
      <c r="M183" s="102"/>
    </row>
    <row r="184" spans="1:13" s="71" customFormat="1" ht="15" customHeight="1">
      <c r="A184" s="428"/>
      <c r="B184" s="428"/>
      <c r="C184" s="428"/>
      <c r="D184" s="428"/>
      <c r="E184" s="274"/>
      <c r="F184" s="110"/>
      <c r="G184" s="427" t="s">
        <v>28</v>
      </c>
      <c r="H184" s="79"/>
      <c r="I184" s="80">
        <v>1.2</v>
      </c>
      <c r="J184" s="81">
        <v>17</v>
      </c>
      <c r="K184" s="81">
        <f t="shared" si="36"/>
        <v>20.399999999999999</v>
      </c>
      <c r="L184" s="102"/>
      <c r="M184" s="102"/>
    </row>
    <row r="185" spans="1:13" s="71" customFormat="1" ht="15" customHeight="1">
      <c r="A185" s="428"/>
      <c r="B185" s="428"/>
      <c r="C185" s="428"/>
      <c r="D185" s="428"/>
      <c r="E185" s="273" t="s">
        <v>9</v>
      </c>
      <c r="F185" s="108">
        <f>SUM(F176:F184)</f>
        <v>38.275999999999996</v>
      </c>
      <c r="G185" s="273"/>
      <c r="H185" s="273"/>
      <c r="I185" s="81"/>
      <c r="J185" s="81"/>
      <c r="K185" s="103">
        <f>SUM(K176:K184)</f>
        <v>3466.4500000000003</v>
      </c>
      <c r="L185" s="103">
        <f>K185/F185</f>
        <v>90.564583551050276</v>
      </c>
      <c r="M185" s="102"/>
    </row>
    <row r="186" spans="1:13" s="71" customFormat="1" ht="15" customHeight="1">
      <c r="A186" s="427">
        <v>7752</v>
      </c>
      <c r="B186" s="427" t="s">
        <v>894</v>
      </c>
      <c r="C186" s="427" t="s">
        <v>882</v>
      </c>
      <c r="D186" s="427" t="s">
        <v>883</v>
      </c>
      <c r="E186" s="427" t="s">
        <v>93</v>
      </c>
      <c r="F186" s="87">
        <f>40*1.0936</f>
        <v>43.744</v>
      </c>
      <c r="G186" s="429" t="s">
        <v>211</v>
      </c>
      <c r="H186" s="79"/>
      <c r="I186" s="80">
        <v>0.2</v>
      </c>
      <c r="J186" s="81">
        <v>120</v>
      </c>
      <c r="K186" s="81">
        <f>I186*J186</f>
        <v>24</v>
      </c>
      <c r="L186" s="102"/>
      <c r="M186" s="102"/>
    </row>
    <row r="187" spans="1:13" s="71" customFormat="1" ht="15" customHeight="1">
      <c r="A187" s="428"/>
      <c r="B187" s="428"/>
      <c r="C187" s="428"/>
      <c r="D187" s="428"/>
      <c r="E187" s="274"/>
      <c r="F187" s="110"/>
      <c r="G187" s="429" t="s">
        <v>214</v>
      </c>
      <c r="H187" s="79"/>
      <c r="I187" s="80">
        <v>5</v>
      </c>
      <c r="J187" s="81">
        <v>360</v>
      </c>
      <c r="K187" s="81">
        <f t="shared" ref="K187" si="37">I187*J187</f>
        <v>1800</v>
      </c>
      <c r="L187" s="102"/>
      <c r="M187" s="102"/>
    </row>
    <row r="188" spans="1:13" s="71" customFormat="1" ht="15" customHeight="1">
      <c r="A188" s="428"/>
      <c r="B188" s="428"/>
      <c r="C188" s="428"/>
      <c r="D188" s="428"/>
      <c r="E188" s="273" t="s">
        <v>9</v>
      </c>
      <c r="F188" s="108">
        <f>SUM(F186:F187)</f>
        <v>43.744</v>
      </c>
      <c r="G188" s="273"/>
      <c r="H188" s="273"/>
      <c r="I188" s="81"/>
      <c r="J188" s="81"/>
      <c r="K188" s="103">
        <f>SUM(K186:K187)</f>
        <v>1824</v>
      </c>
      <c r="L188" s="103">
        <f>K188/F188</f>
        <v>41.697147037307971</v>
      </c>
      <c r="M188" s="102"/>
    </row>
    <row r="189" spans="1:13" s="71" customFormat="1" ht="15" customHeight="1">
      <c r="A189" s="428">
        <v>7751</v>
      </c>
      <c r="B189" s="427" t="s">
        <v>895</v>
      </c>
      <c r="C189" s="89" t="s">
        <v>217</v>
      </c>
      <c r="D189" s="427" t="s">
        <v>122</v>
      </c>
      <c r="E189" s="427" t="s">
        <v>93</v>
      </c>
      <c r="F189" s="87">
        <f>50*1.0936</f>
        <v>54.679999999999993</v>
      </c>
      <c r="G189" s="91" t="s">
        <v>209</v>
      </c>
      <c r="H189" s="79"/>
      <c r="I189" s="80">
        <v>0.04</v>
      </c>
      <c r="J189" s="81">
        <v>350</v>
      </c>
      <c r="K189" s="81">
        <f t="shared" ref="K189:K191" si="38">I189*J189</f>
        <v>14</v>
      </c>
      <c r="L189" s="79"/>
      <c r="M189" s="102"/>
    </row>
    <row r="190" spans="1:13" s="71" customFormat="1" ht="15" customHeight="1">
      <c r="A190" s="428"/>
      <c r="B190" s="428"/>
      <c r="C190" s="428"/>
      <c r="D190" s="428"/>
      <c r="E190" s="274"/>
      <c r="F190" s="110"/>
      <c r="G190" s="91" t="s">
        <v>123</v>
      </c>
      <c r="H190" s="427"/>
      <c r="I190" s="80">
        <v>0.23</v>
      </c>
      <c r="J190" s="81">
        <v>750</v>
      </c>
      <c r="K190" s="94">
        <f t="shared" si="38"/>
        <v>172.5</v>
      </c>
      <c r="L190" s="102"/>
      <c r="M190" s="102"/>
    </row>
    <row r="191" spans="1:13" s="71" customFormat="1" ht="15" customHeight="1">
      <c r="A191" s="428"/>
      <c r="B191" s="428"/>
      <c r="C191" s="428"/>
      <c r="D191" s="428"/>
      <c r="E191" s="274"/>
      <c r="F191" s="110"/>
      <c r="G191" s="91" t="s">
        <v>888</v>
      </c>
      <c r="H191" s="109"/>
      <c r="I191" s="80">
        <v>0.04</v>
      </c>
      <c r="J191" s="81">
        <v>690</v>
      </c>
      <c r="K191" s="81">
        <f t="shared" si="38"/>
        <v>27.6</v>
      </c>
      <c r="L191" s="102"/>
      <c r="M191" s="102"/>
    </row>
    <row r="192" spans="1:13" s="71" customFormat="1" ht="15" customHeight="1">
      <c r="A192" s="428"/>
      <c r="B192" s="428"/>
      <c r="C192" s="428"/>
      <c r="D192" s="428"/>
      <c r="E192" s="274"/>
      <c r="F192" s="110"/>
      <c r="G192" s="429" t="s">
        <v>211</v>
      </c>
      <c r="H192" s="79"/>
      <c r="I192" s="80">
        <v>2</v>
      </c>
      <c r="J192" s="81">
        <v>120</v>
      </c>
      <c r="K192" s="81">
        <f>I192*J192</f>
        <v>240</v>
      </c>
      <c r="L192" s="79"/>
      <c r="M192" s="102"/>
    </row>
    <row r="193" spans="1:13" s="71" customFormat="1" ht="15" customHeight="1">
      <c r="A193" s="428"/>
      <c r="B193" s="428"/>
      <c r="C193" s="428"/>
      <c r="D193" s="428"/>
      <c r="E193" s="274"/>
      <c r="F193" s="110"/>
      <c r="G193" s="429" t="s">
        <v>213</v>
      </c>
      <c r="H193" s="79"/>
      <c r="I193" s="80">
        <v>0.2</v>
      </c>
      <c r="J193" s="81">
        <v>348</v>
      </c>
      <c r="K193" s="81">
        <f t="shared" ref="K193:K194" si="39">I193*J193</f>
        <v>69.600000000000009</v>
      </c>
      <c r="L193" s="79"/>
      <c r="M193" s="102"/>
    </row>
    <row r="194" spans="1:13" s="71" customFormat="1" ht="15" customHeight="1">
      <c r="A194" s="428"/>
      <c r="B194" s="428"/>
      <c r="C194" s="428"/>
      <c r="D194" s="428"/>
      <c r="E194" s="274"/>
      <c r="F194" s="110"/>
      <c r="G194" s="429" t="s">
        <v>45</v>
      </c>
      <c r="H194" s="79"/>
      <c r="I194" s="80">
        <v>0.2</v>
      </c>
      <c r="J194" s="81">
        <v>45</v>
      </c>
      <c r="K194" s="81">
        <f t="shared" si="39"/>
        <v>9</v>
      </c>
      <c r="L194" s="79"/>
      <c r="M194" s="102"/>
    </row>
    <row r="195" spans="1:13" s="71" customFormat="1" ht="15" customHeight="1">
      <c r="A195" s="428"/>
      <c r="B195" s="428"/>
      <c r="C195" s="428"/>
      <c r="D195" s="428"/>
      <c r="E195" s="274" t="s">
        <v>9</v>
      </c>
      <c r="F195" s="110">
        <f>SUM(F189:F194)</f>
        <v>54.679999999999993</v>
      </c>
      <c r="G195" s="274"/>
      <c r="H195" s="274"/>
      <c r="I195" s="97"/>
      <c r="J195" s="97"/>
      <c r="K195" s="111">
        <f>SUM(K189:K194)</f>
        <v>532.70000000000005</v>
      </c>
      <c r="L195" s="111">
        <f>K195/F195</f>
        <v>9.7421360643745452</v>
      </c>
      <c r="M195" s="102"/>
    </row>
    <row r="196" spans="1:13" s="71" customFormat="1" ht="15" customHeight="1">
      <c r="D196" s="126" t="s">
        <v>30</v>
      </c>
      <c r="E196" s="126"/>
      <c r="F196" s="127">
        <f>F164+F175+F185+F188+F195</f>
        <v>224.18799999999999</v>
      </c>
      <c r="G196" s="128"/>
      <c r="H196" s="128"/>
      <c r="I196" s="128"/>
      <c r="J196" s="128"/>
      <c r="K196" s="127">
        <f>K164+K175+K185+K188+K195</f>
        <v>37329.24</v>
      </c>
      <c r="L196" s="129">
        <f>K196/F196</f>
        <v>166.50864453048334</v>
      </c>
    </row>
    <row r="197" spans="1:13" s="71" customFormat="1" ht="15" customHeight="1"/>
    <row r="198" spans="1:13" s="71" customFormat="1" ht="15" customHeight="1"/>
    <row r="199" spans="1:13" s="71" customFormat="1" ht="15" customHeight="1">
      <c r="B199" s="107"/>
      <c r="C199" s="107"/>
      <c r="D199" s="133" t="s">
        <v>1009</v>
      </c>
      <c r="E199" s="405">
        <f>F122+F196</f>
        <v>18837.259999999998</v>
      </c>
      <c r="F199" s="133"/>
      <c r="G199" s="134">
        <f>K14+K29+K53+K58+K122+K141+K152+K196</f>
        <v>328772.29200000002</v>
      </c>
      <c r="H199" s="135"/>
      <c r="I199" s="135"/>
      <c r="J199" s="135"/>
      <c r="K199" s="135"/>
      <c r="L199" s="134">
        <f>G199/E199</f>
        <v>17.453296923225565</v>
      </c>
    </row>
    <row r="200" spans="1:13" s="71" customFormat="1" ht="15" customHeight="1">
      <c r="B200" s="107"/>
      <c r="C200" s="107"/>
      <c r="D200" s="109" t="s">
        <v>855</v>
      </c>
      <c r="E200" s="406"/>
      <c r="F200" s="109"/>
      <c r="G200" s="359">
        <f>K61+K62+K63+K67+K68+K69+K73+K74+K75+K79+K80+K81+K85+K86+K87+K93+K94+K95+K99+K100+K101+K105+K106+K107+K111+K112+K113+K114+K115+K116+K117+K118+K155+K156+K157+K158+K159+K165+K166+K167+K168+K176+K177+K178+K179+K189+K190+K191</f>
        <v>122886.29200000002</v>
      </c>
      <c r="H200" s="370"/>
      <c r="I200" s="359">
        <f>'03'!I286+'04'!G200</f>
        <v>412854.66100000008</v>
      </c>
      <c r="J200" s="416">
        <f>G200+M215</f>
        <v>126151.63000000002</v>
      </c>
      <c r="K200" s="360"/>
      <c r="L200" s="396"/>
    </row>
    <row r="201" spans="1:13" s="71" customFormat="1" ht="15" customHeight="1">
      <c r="B201" s="107"/>
      <c r="C201" s="107"/>
      <c r="D201" s="323" t="s">
        <v>854</v>
      </c>
      <c r="E201" s="361"/>
      <c r="F201" s="323"/>
      <c r="G201" s="397">
        <f>G199-G200</f>
        <v>205886</v>
      </c>
      <c r="H201" s="398"/>
      <c r="I201" s="399">
        <f>'01'!G147+'02'!G193+'03'!G287+'04'!G201</f>
        <v>842940.61199999996</v>
      </c>
      <c r="J201" s="400"/>
      <c r="K201" s="400"/>
      <c r="L201" s="401"/>
    </row>
    <row r="202" spans="1:13" s="71" customFormat="1" ht="15" customHeight="1">
      <c r="B202" s="107"/>
      <c r="C202" s="107"/>
      <c r="D202" s="109" t="s">
        <v>853</v>
      </c>
      <c r="E202" s="407"/>
      <c r="F202" s="109"/>
      <c r="G202" s="410">
        <f>SUM(G200:G201)</f>
        <v>328772.29200000002</v>
      </c>
      <c r="H202" s="402"/>
      <c r="I202" s="403">
        <f>'01'!G145+'02'!G191+'03'!G285+'04'!G199</f>
        <v>1255795.273</v>
      </c>
      <c r="J202" s="402"/>
      <c r="K202" s="402"/>
      <c r="L202" s="404">
        <f>G202/E199</f>
        <v>17.453296923225565</v>
      </c>
    </row>
    <row r="203" spans="1:13" s="71" customFormat="1" ht="15" customHeight="1">
      <c r="B203" s="107"/>
      <c r="C203" s="107"/>
      <c r="D203" s="395" t="s">
        <v>906</v>
      </c>
      <c r="E203" s="408"/>
      <c r="F203" s="109"/>
      <c r="G203" s="409">
        <f>'03'!G289+'04'!M215</f>
        <v>7102.518</v>
      </c>
      <c r="H203" s="392"/>
      <c r="I203" s="391"/>
      <c r="J203" s="391"/>
      <c r="K203" s="393"/>
    </row>
    <row r="204" spans="1:13" s="71" customFormat="1" ht="15" customHeight="1">
      <c r="B204" s="107"/>
      <c r="C204" s="107"/>
      <c r="D204" s="106"/>
      <c r="E204" s="106"/>
      <c r="F204" s="106"/>
      <c r="G204" s="106"/>
      <c r="H204" s="246"/>
      <c r="I204" s="106"/>
      <c r="J204" s="106"/>
      <c r="K204" s="106"/>
      <c r="L204" s="106"/>
    </row>
    <row r="205" spans="1:13" s="71" customFormat="1" ht="15" customHeight="1">
      <c r="B205" s="107"/>
      <c r="C205" s="107"/>
      <c r="D205" s="829" t="s">
        <v>852</v>
      </c>
      <c r="E205" s="829"/>
      <c r="F205" s="357">
        <f>G215+G216+G217+G218</f>
        <v>146880</v>
      </c>
      <c r="G205" s="106"/>
      <c r="H205" s="500" t="s">
        <v>908</v>
      </c>
      <c r="I205" s="830" t="s">
        <v>199</v>
      </c>
      <c r="J205" s="831"/>
      <c r="K205" s="80">
        <v>0.3</v>
      </c>
      <c r="L205" s="81">
        <v>530</v>
      </c>
      <c r="M205" s="81">
        <f t="shared" ref="M205:M210" si="40">K205*L205</f>
        <v>159</v>
      </c>
    </row>
    <row r="206" spans="1:13" s="71" customFormat="1" ht="15" customHeight="1">
      <c r="B206" s="107"/>
      <c r="C206" s="107"/>
      <c r="D206" s="829" t="s">
        <v>835</v>
      </c>
      <c r="E206" s="829"/>
      <c r="F206" s="357">
        <f>G211+G212</f>
        <v>15464</v>
      </c>
      <c r="G206" s="106"/>
      <c r="H206" s="500" t="s">
        <v>909</v>
      </c>
      <c r="I206" s="830" t="s">
        <v>196</v>
      </c>
      <c r="J206" s="831"/>
      <c r="K206" s="80">
        <v>1.4999999999999999E-2</v>
      </c>
      <c r="L206" s="81">
        <v>888</v>
      </c>
      <c r="M206" s="81">
        <f t="shared" si="40"/>
        <v>13.32</v>
      </c>
    </row>
    <row r="207" spans="1:13" s="71" customFormat="1" ht="15" customHeight="1">
      <c r="B207" s="107"/>
      <c r="C207" s="107"/>
      <c r="D207" s="829" t="s">
        <v>836</v>
      </c>
      <c r="E207" s="829"/>
      <c r="F207" s="357">
        <f>SUM(F205:F206)</f>
        <v>162344</v>
      </c>
      <c r="G207" s="106"/>
      <c r="H207" s="500" t="s">
        <v>910</v>
      </c>
      <c r="I207" s="830" t="s">
        <v>192</v>
      </c>
      <c r="J207" s="831"/>
      <c r="K207" s="80">
        <f>0.22+0.1+0.023</f>
        <v>0.34300000000000003</v>
      </c>
      <c r="L207" s="81">
        <v>1126</v>
      </c>
      <c r="M207" s="81">
        <f t="shared" si="40"/>
        <v>386.21800000000002</v>
      </c>
    </row>
    <row r="208" spans="1:13" s="71" customFormat="1" ht="15" customHeight="1">
      <c r="B208" s="107"/>
      <c r="C208" s="107"/>
      <c r="D208" s="423" t="s">
        <v>847</v>
      </c>
      <c r="E208" s="423"/>
      <c r="F208" s="357">
        <f>F205-G201</f>
        <v>-59006</v>
      </c>
      <c r="G208" s="106"/>
      <c r="H208" s="500" t="s">
        <v>908</v>
      </c>
      <c r="I208" s="832" t="s">
        <v>460</v>
      </c>
      <c r="J208" s="833"/>
      <c r="K208" s="80">
        <v>0.13</v>
      </c>
      <c r="L208" s="81">
        <v>920</v>
      </c>
      <c r="M208" s="81">
        <f t="shared" si="40"/>
        <v>119.60000000000001</v>
      </c>
    </row>
    <row r="209" spans="1:13" s="71" customFormat="1" ht="15" customHeight="1">
      <c r="B209" s="107"/>
      <c r="C209" s="107"/>
      <c r="D209" s="106"/>
      <c r="E209" s="106"/>
      <c r="F209" s="106"/>
      <c r="G209" s="106"/>
      <c r="H209" s="500" t="s">
        <v>912</v>
      </c>
      <c r="I209" s="834" t="s">
        <v>315</v>
      </c>
      <c r="J209" s="835"/>
      <c r="K209" s="80">
        <v>0.05</v>
      </c>
      <c r="L209" s="81">
        <v>2184</v>
      </c>
      <c r="M209" s="81">
        <f t="shared" si="40"/>
        <v>109.2</v>
      </c>
    </row>
    <row r="210" spans="1:13" s="71" customFormat="1" ht="15" customHeight="1">
      <c r="B210" s="836" t="s">
        <v>833</v>
      </c>
      <c r="C210" s="837"/>
      <c r="D210" s="273" t="s">
        <v>844</v>
      </c>
      <c r="E210" s="273" t="s">
        <v>845</v>
      </c>
      <c r="F210" s="273" t="s">
        <v>846</v>
      </c>
      <c r="G210" s="273" t="s">
        <v>5</v>
      </c>
      <c r="H210" s="500" t="s">
        <v>911</v>
      </c>
      <c r="I210" s="830" t="s">
        <v>286</v>
      </c>
      <c r="J210" s="831"/>
      <c r="K210" s="80">
        <f>1+0.2</f>
        <v>1.2</v>
      </c>
      <c r="L210" s="81">
        <v>2065</v>
      </c>
      <c r="M210" s="81">
        <f t="shared" si="40"/>
        <v>2478</v>
      </c>
    </row>
    <row r="211" spans="1:13" s="71" customFormat="1" ht="15" customHeight="1">
      <c r="B211" s="107"/>
      <c r="C211" s="107"/>
      <c r="D211" s="273" t="s">
        <v>837</v>
      </c>
      <c r="E211" s="109">
        <v>15.5</v>
      </c>
      <c r="F211" s="332">
        <v>888</v>
      </c>
      <c r="G211" s="329">
        <f>F211*E211</f>
        <v>13764</v>
      </c>
      <c r="H211" s="500" t="s">
        <v>909</v>
      </c>
      <c r="I211" s="838"/>
      <c r="J211" s="839"/>
      <c r="K211" s="102"/>
      <c r="L211" s="102"/>
      <c r="M211" s="388"/>
    </row>
    <row r="212" spans="1:13" s="71" customFormat="1" ht="15" customHeight="1">
      <c r="B212" s="107"/>
      <c r="C212" s="107"/>
      <c r="D212" s="273" t="s">
        <v>849</v>
      </c>
      <c r="E212" s="109">
        <v>34</v>
      </c>
      <c r="F212" s="332">
        <v>50</v>
      </c>
      <c r="G212" s="329">
        <f t="shared" ref="G212" si="41">F212*E212</f>
        <v>1700</v>
      </c>
      <c r="H212" s="500" t="s">
        <v>911</v>
      </c>
      <c r="I212" s="847"/>
      <c r="J212" s="848"/>
      <c r="K212" s="109"/>
      <c r="L212" s="109"/>
      <c r="M212" s="102"/>
    </row>
    <row r="213" spans="1:13" s="70" customFormat="1" ht="15" customHeight="1">
      <c r="B213" s="106"/>
      <c r="C213" s="106"/>
      <c r="D213" s="322" t="s">
        <v>843</v>
      </c>
      <c r="E213" s="317"/>
      <c r="F213" s="321">
        <f>SUM(F211:F212)</f>
        <v>938</v>
      </c>
      <c r="G213" s="320">
        <f>SUM(G211:G212)</f>
        <v>15464</v>
      </c>
      <c r="H213" s="246"/>
      <c r="I213" s="442"/>
      <c r="J213" s="443"/>
      <c r="K213" s="109"/>
      <c r="L213" s="109"/>
      <c r="M213" s="317"/>
    </row>
    <row r="214" spans="1:13" s="71" customFormat="1" ht="15" customHeight="1">
      <c r="B214" s="107"/>
      <c r="C214" s="107"/>
      <c r="D214" s="273"/>
      <c r="E214" s="109"/>
      <c r="F214" s="332"/>
      <c r="G214" s="329"/>
      <c r="H214" s="246"/>
      <c r="I214" s="442"/>
      <c r="J214" s="443"/>
      <c r="K214" s="109"/>
      <c r="L214" s="109"/>
      <c r="M214" s="102"/>
    </row>
    <row r="215" spans="1:13" s="71" customFormat="1" ht="15" customHeight="1">
      <c r="A215" s="424"/>
      <c r="B215" s="107"/>
      <c r="C215" s="107"/>
      <c r="D215" s="273" t="s">
        <v>170</v>
      </c>
      <c r="E215" s="109">
        <v>227</v>
      </c>
      <c r="F215" s="332">
        <v>240</v>
      </c>
      <c r="G215" s="329">
        <f t="shared" ref="G215:G218" si="42">F215*E215</f>
        <v>54480</v>
      </c>
      <c r="H215" s="106"/>
      <c r="I215" s="844" t="s">
        <v>906</v>
      </c>
      <c r="J215" s="845"/>
      <c r="K215" s="490">
        <f>SUM(K205:K212)</f>
        <v>2.0380000000000003</v>
      </c>
      <c r="L215" s="104"/>
      <c r="M215" s="489">
        <f>SUM(M205:M212)</f>
        <v>3265.3380000000002</v>
      </c>
    </row>
    <row r="216" spans="1:13" s="71" customFormat="1" ht="15" customHeight="1">
      <c r="B216" s="107"/>
      <c r="C216" s="107"/>
      <c r="D216" s="390" t="s">
        <v>181</v>
      </c>
      <c r="E216" s="109">
        <v>165</v>
      </c>
      <c r="F216" s="332">
        <v>240</v>
      </c>
      <c r="G216" s="329">
        <f t="shared" si="42"/>
        <v>39600</v>
      </c>
      <c r="H216" s="106"/>
      <c r="I216" s="106"/>
      <c r="J216" s="106"/>
      <c r="K216" s="106"/>
      <c r="L216" s="106"/>
      <c r="M216" s="263">
        <f>G200+M215</f>
        <v>126151.63000000002</v>
      </c>
    </row>
    <row r="217" spans="1:13" s="71" customFormat="1" ht="15" customHeight="1">
      <c r="B217" s="107"/>
      <c r="C217" s="107"/>
      <c r="D217" s="273" t="s">
        <v>907</v>
      </c>
      <c r="E217" s="389">
        <v>46</v>
      </c>
      <c r="F217" s="332">
        <v>600</v>
      </c>
      <c r="G217" s="329">
        <f t="shared" si="42"/>
        <v>27600</v>
      </c>
      <c r="H217" s="106"/>
      <c r="I217" s="106"/>
      <c r="J217" s="106"/>
      <c r="K217" s="106"/>
      <c r="L217" s="106"/>
    </row>
    <row r="218" spans="1:13" s="71" customFormat="1" ht="15" customHeight="1">
      <c r="B218" s="107"/>
      <c r="C218" s="107"/>
      <c r="D218" s="273" t="s">
        <v>839</v>
      </c>
      <c r="E218" s="109">
        <v>120</v>
      </c>
      <c r="F218" s="332">
        <v>210</v>
      </c>
      <c r="G218" s="329">
        <f t="shared" si="42"/>
        <v>25200</v>
      </c>
      <c r="H218" s="106"/>
      <c r="I218" s="106"/>
      <c r="J218" s="106"/>
      <c r="K218" s="106"/>
      <c r="L218" s="106"/>
    </row>
    <row r="219" spans="1:13" s="70" customFormat="1" ht="15" customHeight="1">
      <c r="D219" s="322" t="s">
        <v>843</v>
      </c>
      <c r="E219" s="317"/>
      <c r="F219" s="321">
        <f>SUM(F215:F218)</f>
        <v>1290</v>
      </c>
      <c r="G219" s="320">
        <f>SUM(G215:G218)</f>
        <v>146880</v>
      </c>
    </row>
    <row r="220" spans="1:13" s="71" customFormat="1" ht="15" customHeight="1">
      <c r="B220" s="107"/>
      <c r="C220" s="107"/>
      <c r="D220" s="322" t="s">
        <v>969</v>
      </c>
      <c r="E220" s="317"/>
      <c r="F220" s="321">
        <f>F213+F219</f>
        <v>2228</v>
      </c>
      <c r="G220" s="320">
        <f>G213+G219</f>
        <v>162344</v>
      </c>
      <c r="H220" s="107"/>
      <c r="I220" s="107"/>
      <c r="J220" s="107"/>
      <c r="K220" s="107"/>
      <c r="L220" s="107"/>
    </row>
    <row r="221" spans="1:13" s="71" customFormat="1" ht="15" customHeight="1"/>
    <row r="222" spans="1:13" s="71" customFormat="1" ht="15" customHeight="1"/>
    <row r="223" spans="1:13" s="71" customFormat="1" ht="15" customHeight="1"/>
    <row r="224" spans="1:13" s="71" customFormat="1" ht="15" customHeight="1"/>
    <row r="225" spans="1:13" s="71" customFormat="1" ht="15" customHeight="1"/>
    <row r="226" spans="1:13" s="71" customFormat="1" ht="15" customHeight="1"/>
    <row r="227" spans="1:13" s="71" customFormat="1" ht="15" customHeight="1"/>
    <row r="228" spans="1:13" s="71" customFormat="1" ht="15" customHeight="1"/>
    <row r="229" spans="1:13" s="71" customFormat="1" ht="15" customHeight="1"/>
    <row r="230" spans="1:13" s="71" customFormat="1" ht="15" customHeight="1"/>
    <row r="231" spans="1:13" s="71" customFormat="1" ht="15" customHeight="1"/>
    <row r="232" spans="1:13" s="71" customFormat="1" ht="15" customHeight="1"/>
    <row r="233" spans="1:13" ht="15" customHeight="1"/>
    <row r="234" spans="1:13" ht="15" customHeight="1"/>
    <row r="235" spans="1:13" s="64" customFormat="1" ht="15" customHeight="1">
      <c r="A235" s="840" t="s">
        <v>240</v>
      </c>
      <c r="B235" s="840"/>
      <c r="C235" s="840" t="s">
        <v>765</v>
      </c>
      <c r="D235" s="840"/>
      <c r="E235" s="840" t="s">
        <v>764</v>
      </c>
      <c r="F235" s="840"/>
      <c r="G235" s="380" t="s">
        <v>66</v>
      </c>
      <c r="H235" s="840" t="s">
        <v>411</v>
      </c>
      <c r="I235" s="840"/>
      <c r="J235" s="840"/>
      <c r="K235" s="840" t="s">
        <v>68</v>
      </c>
      <c r="L235" s="840"/>
      <c r="M235" s="840"/>
    </row>
  </sheetData>
  <mergeCells count="29">
    <mergeCell ref="I208:J208"/>
    <mergeCell ref="I209:J209"/>
    <mergeCell ref="D205:E205"/>
    <mergeCell ref="D206:E206"/>
    <mergeCell ref="D207:E207"/>
    <mergeCell ref="K153:M153"/>
    <mergeCell ref="I205:J205"/>
    <mergeCell ref="I206:J206"/>
    <mergeCell ref="I207:J207"/>
    <mergeCell ref="A1:M1"/>
    <mergeCell ref="A2:M2"/>
    <mergeCell ref="A3:M3"/>
    <mergeCell ref="K4:M4"/>
    <mergeCell ref="K15:M15"/>
    <mergeCell ref="K30:M30"/>
    <mergeCell ref="K54:M54"/>
    <mergeCell ref="K59:M59"/>
    <mergeCell ref="K123:M123"/>
    <mergeCell ref="K142:M142"/>
    <mergeCell ref="K235:M235"/>
    <mergeCell ref="B210:C210"/>
    <mergeCell ref="A235:B235"/>
    <mergeCell ref="C235:D235"/>
    <mergeCell ref="E235:F235"/>
    <mergeCell ref="H235:J235"/>
    <mergeCell ref="I210:J210"/>
    <mergeCell ref="I211:J211"/>
    <mergeCell ref="I215:J215"/>
    <mergeCell ref="I212:J212"/>
  </mergeCells>
  <pageMargins left="0.2" right="0.2" top="0.5" bottom="0.25" header="0.3" footer="0.3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06"/>
  <sheetViews>
    <sheetView tabSelected="1" topLeftCell="A84" workbookViewId="0">
      <selection activeCell="N168" sqref="N168"/>
    </sheetView>
  </sheetViews>
  <sheetFormatPr defaultRowHeight="15"/>
  <cols>
    <col min="2" max="2" width="13.42578125" bestFit="1" customWidth="1"/>
    <col min="3" max="3" width="12.5703125" bestFit="1" customWidth="1"/>
    <col min="4" max="4" width="19.85546875" customWidth="1"/>
    <col min="5" max="5" width="12.7109375" bestFit="1" customWidth="1"/>
    <col min="6" max="6" width="10.5703125" bestFit="1" customWidth="1"/>
    <col min="7" max="7" width="24.42578125" bestFit="1" customWidth="1"/>
    <col min="8" max="8" width="6.42578125" bestFit="1" customWidth="1"/>
    <col min="9" max="9" width="10.5703125" bestFit="1" customWidth="1"/>
    <col min="10" max="10" width="9.5703125" bestFit="1" customWidth="1"/>
    <col min="11" max="11" width="11.5703125" bestFit="1" customWidth="1"/>
    <col min="12" max="12" width="9.42578125" customWidth="1"/>
    <col min="13" max="13" width="11.42578125" customWidth="1"/>
    <col min="14" max="14" width="11.7109375" customWidth="1"/>
  </cols>
  <sheetData>
    <row r="1" spans="1:14" ht="23.25">
      <c r="A1" s="826" t="s">
        <v>146</v>
      </c>
      <c r="B1" s="826"/>
      <c r="C1" s="826"/>
      <c r="D1" s="826"/>
      <c r="E1" s="826"/>
      <c r="F1" s="826"/>
      <c r="G1" s="826"/>
      <c r="H1" s="826"/>
      <c r="I1" s="826"/>
      <c r="J1" s="826"/>
      <c r="K1" s="826"/>
      <c r="L1" s="826"/>
      <c r="M1" s="826"/>
      <c r="N1" s="826"/>
    </row>
    <row r="2" spans="1:14">
      <c r="A2" s="827" t="s">
        <v>147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827"/>
    </row>
    <row r="3" spans="1:14" s="9" customFormat="1">
      <c r="A3" s="828" t="s">
        <v>148</v>
      </c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  <c r="M3" s="828"/>
      <c r="N3" s="828"/>
    </row>
    <row r="4" spans="1:14">
      <c r="A4" s="70" t="s">
        <v>21</v>
      </c>
      <c r="B4" s="70"/>
      <c r="C4" s="70"/>
      <c r="D4" s="70"/>
      <c r="E4" s="70"/>
      <c r="F4" s="71"/>
      <c r="G4" s="71"/>
      <c r="H4" s="71"/>
      <c r="I4" s="71"/>
      <c r="J4" s="71"/>
      <c r="K4" s="824" t="s">
        <v>1257</v>
      </c>
      <c r="L4" s="824"/>
      <c r="M4" s="824"/>
      <c r="N4" s="71"/>
    </row>
    <row r="5" spans="1:14">
      <c r="A5" s="271" t="s">
        <v>0</v>
      </c>
      <c r="B5" s="271" t="s">
        <v>7</v>
      </c>
      <c r="C5" s="271" t="s">
        <v>13</v>
      </c>
      <c r="D5" s="271" t="s">
        <v>14</v>
      </c>
      <c r="E5" s="271" t="s">
        <v>8</v>
      </c>
      <c r="F5" s="271" t="s">
        <v>1</v>
      </c>
      <c r="G5" s="271" t="s">
        <v>2</v>
      </c>
      <c r="H5" s="271" t="s">
        <v>15</v>
      </c>
      <c r="I5" s="271" t="s">
        <v>3</v>
      </c>
      <c r="J5" s="271" t="s">
        <v>4</v>
      </c>
      <c r="K5" s="271" t="s">
        <v>5</v>
      </c>
      <c r="L5" s="271" t="s">
        <v>12</v>
      </c>
      <c r="M5" s="271" t="s">
        <v>6</v>
      </c>
      <c r="N5" s="71"/>
    </row>
    <row r="6" spans="1:14">
      <c r="A6" s="85">
        <v>1</v>
      </c>
      <c r="B6" s="813" t="s">
        <v>1077</v>
      </c>
      <c r="C6" s="89" t="s">
        <v>1150</v>
      </c>
      <c r="D6" s="89" t="s">
        <v>1151</v>
      </c>
      <c r="E6" s="813"/>
      <c r="F6" s="90">
        <f>7390*1.0936</f>
        <v>8081.7039999999997</v>
      </c>
      <c r="G6" s="120" t="s">
        <v>170</v>
      </c>
      <c r="H6" s="79"/>
      <c r="I6" s="80">
        <v>12</v>
      </c>
      <c r="J6" s="81">
        <v>227</v>
      </c>
      <c r="K6" s="81">
        <f t="shared" ref="K6:K7" si="0">I6*J6</f>
        <v>2724</v>
      </c>
      <c r="L6" s="102"/>
      <c r="M6" s="156">
        <f>I6+I10+I18+I22+I26</f>
        <v>43</v>
      </c>
      <c r="N6" s="120" t="s">
        <v>173</v>
      </c>
    </row>
    <row r="7" spans="1:14">
      <c r="A7" s="85"/>
      <c r="B7" s="120"/>
      <c r="C7" s="120"/>
      <c r="D7" s="120"/>
      <c r="E7" s="120"/>
      <c r="F7" s="90"/>
      <c r="G7" s="120" t="s">
        <v>171</v>
      </c>
      <c r="H7" s="79"/>
      <c r="I7" s="80">
        <v>8</v>
      </c>
      <c r="J7" s="81">
        <v>416</v>
      </c>
      <c r="K7" s="81">
        <f t="shared" si="0"/>
        <v>3328</v>
      </c>
      <c r="L7" s="102"/>
      <c r="M7" s="156">
        <f>I7+I11+I16+I19+I23+I27+I35</f>
        <v>128.5</v>
      </c>
      <c r="N7" s="120" t="s">
        <v>174</v>
      </c>
    </row>
    <row r="8" spans="1:14">
      <c r="A8" s="85"/>
      <c r="B8" s="120"/>
      <c r="C8" s="120"/>
      <c r="D8" s="120"/>
      <c r="E8" s="120"/>
      <c r="F8" s="90"/>
      <c r="G8" s="120" t="s">
        <v>172</v>
      </c>
      <c r="H8" s="79"/>
      <c r="I8" s="80">
        <v>5</v>
      </c>
      <c r="J8" s="81">
        <v>165</v>
      </c>
      <c r="K8" s="81">
        <f>I8*J8</f>
        <v>825</v>
      </c>
      <c r="L8" s="102"/>
      <c r="M8" s="156" t="e">
        <f>I8+I12+#REF!+I20+I24+I28+I36</f>
        <v>#REF!</v>
      </c>
      <c r="N8" s="120" t="s">
        <v>172</v>
      </c>
    </row>
    <row r="9" spans="1:14">
      <c r="A9" s="85"/>
      <c r="B9" s="85"/>
      <c r="C9" s="85"/>
      <c r="D9" s="85"/>
      <c r="E9" s="271" t="s">
        <v>9</v>
      </c>
      <c r="F9" s="110">
        <f>SUM(F6:F8)</f>
        <v>8081.7039999999997</v>
      </c>
      <c r="G9" s="271"/>
      <c r="H9" s="271"/>
      <c r="I9" s="125"/>
      <c r="J9" s="97"/>
      <c r="K9" s="111">
        <f>SUM(K6:K8)</f>
        <v>6877</v>
      </c>
      <c r="L9" s="111">
        <f>K9/F9</f>
        <v>0.85093440690230682</v>
      </c>
      <c r="M9" s="156" t="e">
        <f>I14+I33+I48+I51+I54+I57+I60+#REF!</f>
        <v>#REF!</v>
      </c>
      <c r="N9" s="120" t="s">
        <v>24</v>
      </c>
    </row>
    <row r="10" spans="1:14">
      <c r="A10" s="85">
        <v>2</v>
      </c>
      <c r="B10" s="813" t="s">
        <v>1266</v>
      </c>
      <c r="C10" s="813" t="s">
        <v>770</v>
      </c>
      <c r="D10" s="813" t="s">
        <v>1267</v>
      </c>
      <c r="E10" s="120"/>
      <c r="F10" s="90">
        <f>6368*1.0936</f>
        <v>6964.0447999999997</v>
      </c>
      <c r="G10" s="120" t="s">
        <v>170</v>
      </c>
      <c r="H10" s="79"/>
      <c r="I10" s="80">
        <v>10</v>
      </c>
      <c r="J10" s="81">
        <v>227</v>
      </c>
      <c r="K10" s="81">
        <f t="shared" ref="K10:K11" si="1">I10*J10</f>
        <v>2270</v>
      </c>
      <c r="L10" s="102"/>
      <c r="M10" s="156">
        <f>I15+I34</f>
        <v>100</v>
      </c>
      <c r="N10" s="120" t="s">
        <v>175</v>
      </c>
    </row>
    <row r="11" spans="1:14">
      <c r="A11" s="85"/>
      <c r="B11" s="85"/>
      <c r="C11" s="85"/>
      <c r="D11" s="85"/>
      <c r="E11" s="85"/>
      <c r="F11" s="98"/>
      <c r="G11" s="120" t="s">
        <v>171</v>
      </c>
      <c r="H11" s="79"/>
      <c r="I11" s="80">
        <v>6</v>
      </c>
      <c r="J11" s="81">
        <v>416</v>
      </c>
      <c r="K11" s="81">
        <f t="shared" si="1"/>
        <v>2496</v>
      </c>
      <c r="L11" s="102"/>
      <c r="M11" s="156" t="e">
        <f>#REF!+I37</f>
        <v>#REF!</v>
      </c>
      <c r="N11" s="83" t="s">
        <v>176</v>
      </c>
    </row>
    <row r="12" spans="1:14">
      <c r="A12" s="85"/>
      <c r="B12" s="85"/>
      <c r="C12" s="85"/>
      <c r="D12" s="85"/>
      <c r="E12" s="85"/>
      <c r="F12" s="98"/>
      <c r="G12" s="120" t="s">
        <v>172</v>
      </c>
      <c r="H12" s="79"/>
      <c r="I12" s="80">
        <v>4</v>
      </c>
      <c r="J12" s="81">
        <v>165</v>
      </c>
      <c r="K12" s="81">
        <f>I12*J12</f>
        <v>660</v>
      </c>
      <c r="L12" s="102"/>
      <c r="M12" s="156" t="e">
        <f>I49+I52+I55+I58+I61+#REF!</f>
        <v>#REF!</v>
      </c>
      <c r="N12" s="84" t="s">
        <v>10</v>
      </c>
    </row>
    <row r="13" spans="1:14">
      <c r="A13" s="85"/>
      <c r="B13" s="85"/>
      <c r="C13" s="85"/>
      <c r="D13" s="85"/>
      <c r="E13" s="271" t="s">
        <v>9</v>
      </c>
      <c r="F13" s="110">
        <f>SUM(F10:F12)</f>
        <v>6964.0447999999997</v>
      </c>
      <c r="G13" s="271"/>
      <c r="H13" s="271"/>
      <c r="I13" s="125"/>
      <c r="J13" s="97"/>
      <c r="K13" s="111">
        <f>SUM(K10:K12)</f>
        <v>5426</v>
      </c>
      <c r="L13" s="111">
        <f>K13/F13</f>
        <v>0.77914490153768112</v>
      </c>
      <c r="M13" s="102"/>
      <c r="N13" s="71"/>
    </row>
    <row r="14" spans="1:14">
      <c r="A14" s="85">
        <v>3</v>
      </c>
      <c r="B14" s="813" t="s">
        <v>1077</v>
      </c>
      <c r="C14" s="89" t="s">
        <v>1150</v>
      </c>
      <c r="D14" s="89" t="s">
        <v>1151</v>
      </c>
      <c r="E14" s="813"/>
      <c r="F14" s="90">
        <f>11264*1.0936</f>
        <v>12318.310399999998</v>
      </c>
      <c r="G14" s="813" t="s">
        <v>170</v>
      </c>
      <c r="H14" s="79"/>
      <c r="I14" s="80">
        <v>18</v>
      </c>
      <c r="J14" s="81">
        <v>227</v>
      </c>
      <c r="K14" s="81">
        <f t="shared" ref="K14:K15" si="2">I14*J14</f>
        <v>4086</v>
      </c>
      <c r="L14" s="102"/>
      <c r="M14" s="102"/>
      <c r="N14" s="71"/>
    </row>
    <row r="15" spans="1:14">
      <c r="A15" s="85"/>
      <c r="B15" s="85"/>
      <c r="C15" s="85"/>
      <c r="D15" s="85"/>
      <c r="E15" s="85"/>
      <c r="F15" s="98"/>
      <c r="G15" s="813" t="s">
        <v>171</v>
      </c>
      <c r="H15" s="79"/>
      <c r="I15" s="80">
        <v>10</v>
      </c>
      <c r="J15" s="81">
        <v>416</v>
      </c>
      <c r="K15" s="81">
        <f t="shared" si="2"/>
        <v>4160</v>
      </c>
      <c r="L15" s="102"/>
      <c r="M15" s="102"/>
      <c r="N15" s="71"/>
    </row>
    <row r="16" spans="1:14">
      <c r="A16" s="85"/>
      <c r="B16" s="85"/>
      <c r="C16" s="85"/>
      <c r="D16" s="85"/>
      <c r="E16" s="85"/>
      <c r="F16" s="98"/>
      <c r="G16" s="813" t="s">
        <v>172</v>
      </c>
      <c r="H16" s="79"/>
      <c r="I16" s="80">
        <v>6</v>
      </c>
      <c r="J16" s="81">
        <v>165</v>
      </c>
      <c r="K16" s="81">
        <f>I16*J16</f>
        <v>990</v>
      </c>
      <c r="L16" s="102"/>
      <c r="M16" s="102"/>
      <c r="N16" s="71"/>
    </row>
    <row r="17" spans="1:14">
      <c r="A17" s="85"/>
      <c r="B17" s="85"/>
      <c r="C17" s="85"/>
      <c r="D17" s="85"/>
      <c r="E17" s="271" t="s">
        <v>9</v>
      </c>
      <c r="F17" s="110">
        <f>SUM(F14:F16)</f>
        <v>12318.310399999998</v>
      </c>
      <c r="G17" s="271"/>
      <c r="H17" s="271"/>
      <c r="I17" s="125"/>
      <c r="J17" s="97"/>
      <c r="K17" s="111">
        <f>SUM(K14:K16)</f>
        <v>9236</v>
      </c>
      <c r="L17" s="111">
        <f>K17/F17</f>
        <v>0.74977815139323012</v>
      </c>
      <c r="M17" s="102"/>
      <c r="N17" s="71"/>
    </row>
    <row r="18" spans="1:14">
      <c r="A18" s="85">
        <v>4</v>
      </c>
      <c r="B18" s="813" t="s">
        <v>1268</v>
      </c>
      <c r="C18" s="813" t="s">
        <v>513</v>
      </c>
      <c r="D18" s="813" t="s">
        <v>297</v>
      </c>
      <c r="E18" s="85"/>
      <c r="F18" s="90">
        <f>862*1.0936</f>
        <v>942.68319999999994</v>
      </c>
      <c r="G18" s="120" t="s">
        <v>170</v>
      </c>
      <c r="H18" s="79"/>
      <c r="I18" s="80">
        <v>1.5</v>
      </c>
      <c r="J18" s="81">
        <v>227</v>
      </c>
      <c r="K18" s="81">
        <f t="shared" ref="K18:K19" si="3">I18*J18</f>
        <v>340.5</v>
      </c>
      <c r="L18" s="102"/>
      <c r="M18" s="102"/>
      <c r="N18" s="71"/>
    </row>
    <row r="19" spans="1:14">
      <c r="A19" s="85"/>
      <c r="B19" s="120"/>
      <c r="C19" s="120"/>
      <c r="D19" s="120"/>
      <c r="E19" s="85"/>
      <c r="F19" s="98"/>
      <c r="G19" s="120" t="s">
        <v>171</v>
      </c>
      <c r="H19" s="79"/>
      <c r="I19" s="80">
        <v>1</v>
      </c>
      <c r="J19" s="81">
        <v>416</v>
      </c>
      <c r="K19" s="81">
        <f t="shared" si="3"/>
        <v>416</v>
      </c>
      <c r="L19" s="102"/>
      <c r="M19" s="102"/>
      <c r="N19" s="71"/>
    </row>
    <row r="20" spans="1:14">
      <c r="A20" s="85"/>
      <c r="B20" s="120"/>
      <c r="C20" s="120"/>
      <c r="D20" s="120"/>
      <c r="E20" s="85"/>
      <c r="F20" s="98"/>
      <c r="G20" s="120" t="s">
        <v>172</v>
      </c>
      <c r="H20" s="79"/>
      <c r="I20" s="80">
        <v>0.5</v>
      </c>
      <c r="J20" s="81">
        <v>165</v>
      </c>
      <c r="K20" s="81">
        <f>I20*J20</f>
        <v>82.5</v>
      </c>
      <c r="L20" s="102"/>
      <c r="M20" s="102"/>
      <c r="N20" s="71"/>
    </row>
    <row r="21" spans="1:14">
      <c r="A21" s="85"/>
      <c r="B21" s="120"/>
      <c r="C21" s="120"/>
      <c r="D21" s="120"/>
      <c r="E21" s="271" t="s">
        <v>9</v>
      </c>
      <c r="F21" s="110">
        <f>SUM(F18:F20)</f>
        <v>942.68319999999994</v>
      </c>
      <c r="G21" s="271"/>
      <c r="H21" s="271"/>
      <c r="I21" s="125"/>
      <c r="J21" s="97"/>
      <c r="K21" s="111">
        <f>SUM(K18:K20)</f>
        <v>839</v>
      </c>
      <c r="L21" s="111">
        <f>K21/F21</f>
        <v>0.89001267870266498</v>
      </c>
      <c r="M21" s="102"/>
      <c r="N21" s="71"/>
    </row>
    <row r="22" spans="1:14">
      <c r="A22" s="85">
        <v>5</v>
      </c>
      <c r="B22" s="813" t="s">
        <v>1223</v>
      </c>
      <c r="C22" s="120" t="s">
        <v>217</v>
      </c>
      <c r="D22" s="813" t="s">
        <v>1269</v>
      </c>
      <c r="E22" s="85"/>
      <c r="F22" s="90">
        <f>8000*1.0936</f>
        <v>8748.7999999999993</v>
      </c>
      <c r="G22" s="120" t="s">
        <v>170</v>
      </c>
      <c r="H22" s="79"/>
      <c r="I22" s="80">
        <v>7.5</v>
      </c>
      <c r="J22" s="81">
        <v>227</v>
      </c>
      <c r="K22" s="81">
        <f t="shared" ref="K22:K23" si="4">I22*J22</f>
        <v>1702.5</v>
      </c>
      <c r="L22" s="102"/>
      <c r="M22" s="102"/>
      <c r="N22" s="71"/>
    </row>
    <row r="23" spans="1:14">
      <c r="A23" s="85"/>
      <c r="B23" s="120"/>
      <c r="C23" s="120"/>
      <c r="D23" s="120"/>
      <c r="E23" s="85"/>
      <c r="F23" s="98"/>
      <c r="G23" s="120" t="s">
        <v>171</v>
      </c>
      <c r="H23" s="79"/>
      <c r="I23" s="80">
        <v>4.5</v>
      </c>
      <c r="J23" s="81">
        <v>416</v>
      </c>
      <c r="K23" s="81">
        <f t="shared" si="4"/>
        <v>1872</v>
      </c>
      <c r="L23" s="102"/>
      <c r="M23" s="102"/>
      <c r="N23" s="71"/>
    </row>
    <row r="24" spans="1:14">
      <c r="A24" s="85"/>
      <c r="B24" s="120"/>
      <c r="C24" s="120"/>
      <c r="D24" s="120"/>
      <c r="E24" s="85"/>
      <c r="F24" s="98"/>
      <c r="G24" s="120" t="s">
        <v>172</v>
      </c>
      <c r="H24" s="79"/>
      <c r="I24" s="80">
        <v>3</v>
      </c>
      <c r="J24" s="81">
        <v>165</v>
      </c>
      <c r="K24" s="81">
        <f>I24*J24</f>
        <v>495</v>
      </c>
      <c r="L24" s="102"/>
      <c r="M24" s="102"/>
      <c r="N24" s="71"/>
    </row>
    <row r="25" spans="1:14">
      <c r="A25" s="85"/>
      <c r="B25" s="120"/>
      <c r="C25" s="120"/>
      <c r="D25" s="120"/>
      <c r="E25" s="271" t="s">
        <v>9</v>
      </c>
      <c r="F25" s="110">
        <f>SUM(F22:F24)</f>
        <v>8748.7999999999993</v>
      </c>
      <c r="G25" s="271"/>
      <c r="H25" s="271"/>
      <c r="I25" s="125"/>
      <c r="J25" s="97"/>
      <c r="K25" s="111">
        <f>SUM(K22:K24)</f>
        <v>4069.5</v>
      </c>
      <c r="L25" s="111">
        <f>K25/F25</f>
        <v>0.46514950621799567</v>
      </c>
      <c r="M25" s="102"/>
      <c r="N25" s="71"/>
    </row>
    <row r="26" spans="1:14">
      <c r="A26" s="85">
        <v>7</v>
      </c>
      <c r="B26" s="813" t="s">
        <v>1270</v>
      </c>
      <c r="C26" s="813" t="s">
        <v>1271</v>
      </c>
      <c r="D26" s="813" t="s">
        <v>74</v>
      </c>
      <c r="E26" s="85"/>
      <c r="F26" s="90">
        <f>10093*1.0936</f>
        <v>11037.7048</v>
      </c>
      <c r="G26" s="120" t="s">
        <v>170</v>
      </c>
      <c r="H26" s="79"/>
      <c r="I26" s="80">
        <v>12</v>
      </c>
      <c r="J26" s="81">
        <v>227</v>
      </c>
      <c r="K26" s="81">
        <f t="shared" ref="K26:K27" si="5">I26*J26</f>
        <v>2724</v>
      </c>
      <c r="L26" s="102"/>
      <c r="M26" s="102"/>
      <c r="N26" s="71"/>
    </row>
    <row r="27" spans="1:14">
      <c r="A27" s="85"/>
      <c r="B27" s="120"/>
      <c r="C27" s="120"/>
      <c r="D27" s="120"/>
      <c r="E27" s="85"/>
      <c r="F27" s="90"/>
      <c r="G27" s="120" t="s">
        <v>171</v>
      </c>
      <c r="H27" s="79"/>
      <c r="I27" s="80">
        <v>8</v>
      </c>
      <c r="J27" s="81">
        <v>416</v>
      </c>
      <c r="K27" s="81">
        <f t="shared" si="5"/>
        <v>3328</v>
      </c>
      <c r="L27" s="102"/>
      <c r="M27" s="102"/>
      <c r="N27" s="71"/>
    </row>
    <row r="28" spans="1:14">
      <c r="A28" s="85"/>
      <c r="B28" s="120"/>
      <c r="C28" s="120"/>
      <c r="D28" s="120"/>
      <c r="E28" s="85"/>
      <c r="F28" s="98"/>
      <c r="G28" s="120" t="s">
        <v>172</v>
      </c>
      <c r="H28" s="79"/>
      <c r="I28" s="80">
        <v>5</v>
      </c>
      <c r="J28" s="81">
        <v>165</v>
      </c>
      <c r="K28" s="81">
        <f>I28*J28</f>
        <v>825</v>
      </c>
      <c r="L28" s="102"/>
      <c r="M28" s="102"/>
      <c r="N28" s="71"/>
    </row>
    <row r="29" spans="1:14" s="71" customFormat="1">
      <c r="A29" s="85"/>
      <c r="B29" s="85"/>
      <c r="C29" s="85"/>
      <c r="D29" s="85"/>
      <c r="E29" s="271" t="s">
        <v>9</v>
      </c>
      <c r="F29" s="110">
        <f>SUM(F26:F28)</f>
        <v>11037.7048</v>
      </c>
      <c r="G29" s="271"/>
      <c r="H29" s="271"/>
      <c r="I29" s="125"/>
      <c r="J29" s="97"/>
      <c r="K29" s="111">
        <f>SUM(K26:K28)</f>
        <v>6877</v>
      </c>
      <c r="L29" s="111">
        <f>K29/F29</f>
        <v>0.62304619706807163</v>
      </c>
      <c r="M29" s="102"/>
    </row>
    <row r="30" spans="1:14" s="71" customFormat="1">
      <c r="D30" s="126" t="s">
        <v>30</v>
      </c>
      <c r="E30" s="126"/>
      <c r="F30" s="127">
        <f>F9+F13+F17+F21+F25+F29</f>
        <v>48093.247199999991</v>
      </c>
      <c r="G30" s="128"/>
      <c r="H30" s="128"/>
      <c r="I30" s="128"/>
      <c r="J30" s="128"/>
      <c r="K30" s="127">
        <f>K9+K13+K17+K21+K25+K29</f>
        <v>33324.5</v>
      </c>
      <c r="L30" s="129">
        <f>K30/F30</f>
        <v>0.69291432665000019</v>
      </c>
    </row>
    <row r="31" spans="1:14">
      <c r="A31" s="70" t="s">
        <v>23</v>
      </c>
      <c r="B31" s="70"/>
      <c r="C31" s="70"/>
      <c r="D31" s="70"/>
      <c r="E31" s="70"/>
      <c r="F31" s="71"/>
      <c r="G31" s="71"/>
      <c r="H31" s="71"/>
      <c r="I31" s="71"/>
      <c r="J31" s="71"/>
      <c r="K31" s="824" t="s">
        <v>1257</v>
      </c>
      <c r="L31" s="824"/>
      <c r="M31" s="824"/>
      <c r="N31" s="71"/>
    </row>
    <row r="32" spans="1:14">
      <c r="A32" s="271" t="s">
        <v>0</v>
      </c>
      <c r="B32" s="271" t="s">
        <v>7</v>
      </c>
      <c r="C32" s="271" t="s">
        <v>13</v>
      </c>
      <c r="D32" s="271" t="s">
        <v>14</v>
      </c>
      <c r="E32" s="271" t="s">
        <v>8</v>
      </c>
      <c r="F32" s="271" t="s">
        <v>1</v>
      </c>
      <c r="G32" s="271" t="s">
        <v>2</v>
      </c>
      <c r="H32" s="271" t="s">
        <v>15</v>
      </c>
      <c r="I32" s="271" t="s">
        <v>3</v>
      </c>
      <c r="J32" s="271" t="s">
        <v>4</v>
      </c>
      <c r="K32" s="271" t="s">
        <v>5</v>
      </c>
      <c r="L32" s="271" t="s">
        <v>12</v>
      </c>
      <c r="M32" s="271" t="s">
        <v>6</v>
      </c>
      <c r="N32" s="71"/>
    </row>
    <row r="33" spans="1:14">
      <c r="A33" s="85">
        <v>1</v>
      </c>
      <c r="B33" s="813" t="s">
        <v>1167</v>
      </c>
      <c r="C33" s="813" t="s">
        <v>1040</v>
      </c>
      <c r="D33" s="813" t="s">
        <v>369</v>
      </c>
      <c r="E33" s="814"/>
      <c r="F33" s="98">
        <f>34986*1.0936</f>
        <v>38260.689599999998</v>
      </c>
      <c r="G33" s="120" t="s">
        <v>24</v>
      </c>
      <c r="H33" s="79"/>
      <c r="I33" s="80">
        <f>208+41</f>
        <v>249</v>
      </c>
      <c r="J33" s="81">
        <v>74</v>
      </c>
      <c r="K33" s="81">
        <f t="shared" ref="K33:K35" si="6">I33*J33</f>
        <v>18426</v>
      </c>
      <c r="L33" s="102"/>
      <c r="M33" s="124"/>
      <c r="N33" s="71"/>
    </row>
    <row r="34" spans="1:14">
      <c r="A34" s="85"/>
      <c r="B34" s="120"/>
      <c r="C34" s="120"/>
      <c r="D34" s="120"/>
      <c r="E34" s="120"/>
      <c r="F34" s="90"/>
      <c r="G34" s="88" t="s">
        <v>18</v>
      </c>
      <c r="H34" s="79"/>
      <c r="I34" s="80">
        <v>90</v>
      </c>
      <c r="J34" s="81">
        <v>46</v>
      </c>
      <c r="K34" s="81">
        <f t="shared" si="6"/>
        <v>4140</v>
      </c>
      <c r="L34" s="102"/>
      <c r="M34" s="102"/>
      <c r="N34" s="71"/>
    </row>
    <row r="35" spans="1:14">
      <c r="A35" s="85"/>
      <c r="B35" s="120"/>
      <c r="C35" s="120"/>
      <c r="D35" s="120"/>
      <c r="E35" s="85"/>
      <c r="F35" s="98"/>
      <c r="G35" s="120" t="s">
        <v>171</v>
      </c>
      <c r="H35" s="79"/>
      <c r="I35" s="80">
        <v>95</v>
      </c>
      <c r="J35" s="81">
        <v>416</v>
      </c>
      <c r="K35" s="81">
        <f t="shared" si="6"/>
        <v>39520</v>
      </c>
      <c r="L35" s="102"/>
      <c r="M35" s="102"/>
      <c r="N35" s="71"/>
    </row>
    <row r="36" spans="1:14">
      <c r="A36" s="85"/>
      <c r="B36" s="85"/>
      <c r="C36" s="85"/>
      <c r="D36" s="85"/>
      <c r="E36" s="85"/>
      <c r="F36" s="98"/>
      <c r="G36" s="120" t="s">
        <v>172</v>
      </c>
      <c r="H36" s="79"/>
      <c r="I36" s="80">
        <f>26+36</f>
        <v>62</v>
      </c>
      <c r="J36" s="81">
        <v>165</v>
      </c>
      <c r="K36" s="81">
        <f>I36*J36</f>
        <v>10230</v>
      </c>
      <c r="L36" s="102"/>
      <c r="M36" s="102"/>
      <c r="N36" s="71"/>
    </row>
    <row r="37" spans="1:14">
      <c r="A37" s="85"/>
      <c r="B37" s="85"/>
      <c r="C37" s="85"/>
      <c r="D37" s="85"/>
      <c r="E37" s="85"/>
      <c r="F37" s="98"/>
      <c r="G37" s="83" t="s">
        <v>181</v>
      </c>
      <c r="H37" s="79"/>
      <c r="I37" s="80">
        <v>69</v>
      </c>
      <c r="J37" s="81">
        <v>165</v>
      </c>
      <c r="K37" s="81">
        <f t="shared" ref="K37" si="7">I37*J37</f>
        <v>11385</v>
      </c>
      <c r="L37" s="102"/>
      <c r="M37" s="102"/>
      <c r="N37" s="71"/>
    </row>
    <row r="38" spans="1:14">
      <c r="A38" s="599"/>
      <c r="B38" s="599"/>
      <c r="C38" s="599"/>
      <c r="D38" s="599"/>
      <c r="E38" s="815" t="s">
        <v>9</v>
      </c>
      <c r="F38" s="110">
        <f>SUM(F33:F37)</f>
        <v>38260.689599999998</v>
      </c>
      <c r="G38" s="815"/>
      <c r="H38" s="815"/>
      <c r="I38" s="125"/>
      <c r="J38" s="97"/>
      <c r="K38" s="111">
        <f>SUM(K33:K37)</f>
        <v>83701</v>
      </c>
      <c r="L38" s="111">
        <f>K38/F38</f>
        <v>2.1876500626376583</v>
      </c>
      <c r="M38" s="102"/>
      <c r="N38" s="71"/>
    </row>
    <row r="39" spans="1:14">
      <c r="A39" s="599">
        <v>2</v>
      </c>
      <c r="B39" s="813" t="s">
        <v>1268</v>
      </c>
      <c r="C39" s="813" t="s">
        <v>513</v>
      </c>
      <c r="D39" s="813" t="s">
        <v>297</v>
      </c>
      <c r="E39" s="599"/>
      <c r="F39" s="90">
        <f>880*1.0936</f>
        <v>962.36799999999994</v>
      </c>
      <c r="G39" s="813" t="s">
        <v>24</v>
      </c>
      <c r="H39" s="79"/>
      <c r="I39" s="80">
        <f>9.5+2</f>
        <v>11.5</v>
      </c>
      <c r="J39" s="81">
        <v>74</v>
      </c>
      <c r="K39" s="81">
        <f t="shared" ref="K39:K41" si="8">I39*J39</f>
        <v>851</v>
      </c>
      <c r="L39" s="102"/>
      <c r="M39" s="102"/>
      <c r="N39" s="71"/>
    </row>
    <row r="40" spans="1:14">
      <c r="A40" s="599"/>
      <c r="B40" s="599"/>
      <c r="C40" s="599"/>
      <c r="D40" s="599"/>
      <c r="E40" s="599"/>
      <c r="F40" s="98"/>
      <c r="G40" s="88" t="s">
        <v>18</v>
      </c>
      <c r="H40" s="79"/>
      <c r="I40" s="80">
        <v>10</v>
      </c>
      <c r="J40" s="81">
        <v>46</v>
      </c>
      <c r="K40" s="81">
        <f t="shared" si="8"/>
        <v>460</v>
      </c>
      <c r="L40" s="102"/>
      <c r="M40" s="102"/>
      <c r="N40" s="71"/>
    </row>
    <row r="41" spans="1:14">
      <c r="A41" s="599"/>
      <c r="B41" s="599"/>
      <c r="C41" s="599"/>
      <c r="D41" s="599"/>
      <c r="E41" s="599"/>
      <c r="F41" s="98"/>
      <c r="G41" s="813" t="s">
        <v>171</v>
      </c>
      <c r="H41" s="79"/>
      <c r="I41" s="80">
        <f>2+2</f>
        <v>4</v>
      </c>
      <c r="J41" s="81">
        <v>416</v>
      </c>
      <c r="K41" s="81">
        <f t="shared" si="8"/>
        <v>1664</v>
      </c>
      <c r="L41" s="102"/>
      <c r="M41" s="102"/>
      <c r="N41" s="71"/>
    </row>
    <row r="42" spans="1:14">
      <c r="A42" s="599"/>
      <c r="B42" s="599"/>
      <c r="C42" s="599"/>
      <c r="D42" s="599"/>
      <c r="E42" s="599"/>
      <c r="F42" s="98"/>
      <c r="G42" s="813" t="s">
        <v>172</v>
      </c>
      <c r="H42" s="79"/>
      <c r="I42" s="80">
        <v>3</v>
      </c>
      <c r="J42" s="81">
        <v>165</v>
      </c>
      <c r="K42" s="81">
        <f>I42*J42</f>
        <v>495</v>
      </c>
      <c r="L42" s="102"/>
      <c r="M42" s="102"/>
      <c r="N42" s="71"/>
    </row>
    <row r="43" spans="1:14">
      <c r="A43" s="599"/>
      <c r="B43" s="599"/>
      <c r="C43" s="599"/>
      <c r="D43" s="599"/>
      <c r="E43" s="599"/>
      <c r="F43" s="98"/>
      <c r="G43" s="811" t="s">
        <v>181</v>
      </c>
      <c r="H43" s="79"/>
      <c r="I43" s="80">
        <v>2</v>
      </c>
      <c r="J43" s="81">
        <v>165</v>
      </c>
      <c r="K43" s="81">
        <f t="shared" ref="K43" si="9">I43*J43</f>
        <v>330</v>
      </c>
      <c r="L43" s="102"/>
      <c r="M43" s="102"/>
      <c r="N43" s="71"/>
    </row>
    <row r="44" spans="1:14">
      <c r="A44" s="599"/>
      <c r="B44" s="599"/>
      <c r="C44" s="599"/>
      <c r="D44" s="599"/>
      <c r="E44" s="815" t="s">
        <v>9</v>
      </c>
      <c r="F44" s="110">
        <f>SUM(F39:F43)</f>
        <v>962.36799999999994</v>
      </c>
      <c r="G44" s="815"/>
      <c r="H44" s="815"/>
      <c r="I44" s="125"/>
      <c r="J44" s="97"/>
      <c r="K44" s="111">
        <f>SUM(K39:K43)</f>
        <v>3800</v>
      </c>
      <c r="L44" s="111">
        <f>K44/F44</f>
        <v>3.9485934694420433</v>
      </c>
      <c r="M44" s="102"/>
      <c r="N44" s="71"/>
    </row>
    <row r="45" spans="1:14" s="71" customFormat="1">
      <c r="A45" s="131"/>
      <c r="B45" s="131"/>
      <c r="C45" s="131"/>
      <c r="D45" s="271" t="s">
        <v>30</v>
      </c>
      <c r="E45" s="271"/>
      <c r="F45" s="127">
        <f>F38+F44</f>
        <v>39223.0576</v>
      </c>
      <c r="G45" s="132"/>
      <c r="H45" s="132"/>
      <c r="I45" s="132"/>
      <c r="J45" s="132"/>
      <c r="K45" s="127">
        <f>K38+K44</f>
        <v>87501</v>
      </c>
      <c r="L45" s="129">
        <f>K45/F45</f>
        <v>2.2308561686430077</v>
      </c>
      <c r="M45" s="102"/>
    </row>
    <row r="46" spans="1:14">
      <c r="A46" s="70" t="s">
        <v>22</v>
      </c>
      <c r="B46" s="70"/>
      <c r="C46" s="70"/>
      <c r="D46" s="70"/>
      <c r="E46" s="70"/>
      <c r="F46" s="71"/>
      <c r="G46" s="71"/>
      <c r="H46" s="71"/>
      <c r="I46" s="71"/>
      <c r="J46" s="71"/>
      <c r="K46" s="824" t="s">
        <v>1257</v>
      </c>
      <c r="L46" s="824"/>
      <c r="M46" s="824"/>
      <c r="N46" s="71"/>
    </row>
    <row r="47" spans="1:14">
      <c r="A47" s="271" t="s">
        <v>0</v>
      </c>
      <c r="B47" s="271" t="s">
        <v>7</v>
      </c>
      <c r="C47" s="271" t="s">
        <v>13</v>
      </c>
      <c r="D47" s="271" t="s">
        <v>14</v>
      </c>
      <c r="E47" s="271" t="s">
        <v>8</v>
      </c>
      <c r="F47" s="271" t="s">
        <v>1</v>
      </c>
      <c r="G47" s="271" t="s">
        <v>2</v>
      </c>
      <c r="H47" s="271" t="s">
        <v>15</v>
      </c>
      <c r="I47" s="271" t="s">
        <v>3</v>
      </c>
      <c r="J47" s="271" t="s">
        <v>4</v>
      </c>
      <c r="K47" s="271" t="s">
        <v>5</v>
      </c>
      <c r="L47" s="271" t="s">
        <v>12</v>
      </c>
      <c r="M47" s="271" t="s">
        <v>6</v>
      </c>
      <c r="N47" s="71"/>
    </row>
    <row r="48" spans="1:14">
      <c r="A48" s="85">
        <v>1</v>
      </c>
      <c r="B48" s="813" t="s">
        <v>1238</v>
      </c>
      <c r="C48" s="813" t="s">
        <v>1033</v>
      </c>
      <c r="D48" s="813" t="s">
        <v>1034</v>
      </c>
      <c r="E48" s="813"/>
      <c r="F48" s="90">
        <f>7996*1.0936</f>
        <v>8744.4255999999987</v>
      </c>
      <c r="G48" s="120" t="s">
        <v>24</v>
      </c>
      <c r="H48" s="79"/>
      <c r="I48" s="80">
        <v>100</v>
      </c>
      <c r="J48" s="81">
        <v>74</v>
      </c>
      <c r="K48" s="81">
        <f t="shared" ref="K48:K49" si="10">I48*J48</f>
        <v>7400</v>
      </c>
      <c r="L48" s="102"/>
      <c r="M48" s="124"/>
      <c r="N48" s="71"/>
    </row>
    <row r="49" spans="1:14">
      <c r="A49" s="85"/>
      <c r="B49" s="120"/>
      <c r="C49" s="120"/>
      <c r="D49" s="120"/>
      <c r="E49" s="85"/>
      <c r="F49" s="98"/>
      <c r="G49" s="84" t="s">
        <v>10</v>
      </c>
      <c r="H49" s="79"/>
      <c r="I49" s="80">
        <v>25</v>
      </c>
      <c r="J49" s="81">
        <v>120</v>
      </c>
      <c r="K49" s="81">
        <f t="shared" si="10"/>
        <v>3000</v>
      </c>
      <c r="L49" s="102"/>
      <c r="M49" s="102"/>
      <c r="N49" s="71"/>
    </row>
    <row r="50" spans="1:14">
      <c r="A50" s="85"/>
      <c r="B50" s="120"/>
      <c r="C50" s="120"/>
      <c r="D50" s="120"/>
      <c r="E50" s="271" t="s">
        <v>9</v>
      </c>
      <c r="F50" s="110">
        <f>SUM(F48:F49)</f>
        <v>8744.4255999999987</v>
      </c>
      <c r="G50" s="271"/>
      <c r="H50" s="271"/>
      <c r="I50" s="125"/>
      <c r="J50" s="97"/>
      <c r="K50" s="111">
        <f>SUM(K48:K49)</f>
        <v>10400</v>
      </c>
      <c r="L50" s="111">
        <f>K50/F50</f>
        <v>1.1893291195707585</v>
      </c>
      <c r="M50" s="102"/>
      <c r="N50" s="71"/>
    </row>
    <row r="51" spans="1:14">
      <c r="A51" s="85">
        <v>2</v>
      </c>
      <c r="B51" s="813" t="s">
        <v>767</v>
      </c>
      <c r="C51" s="89" t="s">
        <v>766</v>
      </c>
      <c r="D51" s="89" t="s">
        <v>465</v>
      </c>
      <c r="E51" s="813"/>
      <c r="F51" s="90">
        <f>3018*1.0936</f>
        <v>3300.4847999999997</v>
      </c>
      <c r="G51" s="120" t="s">
        <v>24</v>
      </c>
      <c r="H51" s="79"/>
      <c r="I51" s="80">
        <v>25</v>
      </c>
      <c r="J51" s="81">
        <v>74</v>
      </c>
      <c r="K51" s="81">
        <f t="shared" ref="K51:K52" si="11">I51*J51</f>
        <v>1850</v>
      </c>
      <c r="L51" s="102"/>
      <c r="M51" s="102"/>
      <c r="N51" s="71"/>
    </row>
    <row r="52" spans="1:14">
      <c r="A52" s="85"/>
      <c r="B52" s="120"/>
      <c r="C52" s="120"/>
      <c r="D52" s="120"/>
      <c r="E52" s="85"/>
      <c r="F52" s="98"/>
      <c r="G52" s="84" t="s">
        <v>10</v>
      </c>
      <c r="H52" s="79"/>
      <c r="I52" s="80">
        <v>10</v>
      </c>
      <c r="J52" s="81">
        <v>120</v>
      </c>
      <c r="K52" s="81">
        <f t="shared" si="11"/>
        <v>1200</v>
      </c>
      <c r="L52" s="102"/>
      <c r="M52" s="102"/>
      <c r="N52" s="71"/>
    </row>
    <row r="53" spans="1:14">
      <c r="A53" s="85"/>
      <c r="B53" s="120"/>
      <c r="C53" s="120"/>
      <c r="D53" s="120"/>
      <c r="E53" s="271" t="s">
        <v>9</v>
      </c>
      <c r="F53" s="110">
        <f>SUM(F51:F52)</f>
        <v>3300.4847999999997</v>
      </c>
      <c r="G53" s="271"/>
      <c r="H53" s="271"/>
      <c r="I53" s="125"/>
      <c r="J53" s="97"/>
      <c r="K53" s="111">
        <f>SUM(K51:K52)</f>
        <v>3050</v>
      </c>
      <c r="L53" s="111">
        <f>K53/F53</f>
        <v>0.92410666457242896</v>
      </c>
      <c r="M53" s="102"/>
      <c r="N53" s="71"/>
    </row>
    <row r="54" spans="1:14">
      <c r="A54" s="85">
        <v>3</v>
      </c>
      <c r="B54" s="813" t="s">
        <v>1223</v>
      </c>
      <c r="C54" s="813" t="s">
        <v>121</v>
      </c>
      <c r="D54" s="813" t="s">
        <v>1093</v>
      </c>
      <c r="E54" s="814"/>
      <c r="F54" s="98">
        <f>11014*1.0936</f>
        <v>12044.910399999999</v>
      </c>
      <c r="G54" s="120" t="s">
        <v>24</v>
      </c>
      <c r="H54" s="79"/>
      <c r="I54" s="80">
        <v>152</v>
      </c>
      <c r="J54" s="81">
        <v>74</v>
      </c>
      <c r="K54" s="81">
        <f t="shared" ref="K54:K55" si="12">I54*J54</f>
        <v>11248</v>
      </c>
      <c r="L54" s="102"/>
      <c r="M54" s="102"/>
      <c r="N54" s="71"/>
    </row>
    <row r="55" spans="1:14">
      <c r="A55" s="85"/>
      <c r="B55" s="120"/>
      <c r="C55" s="120"/>
      <c r="D55" s="120"/>
      <c r="E55" s="85"/>
      <c r="F55" s="98"/>
      <c r="G55" s="84" t="s">
        <v>10</v>
      </c>
      <c r="H55" s="79"/>
      <c r="I55" s="80">
        <v>30</v>
      </c>
      <c r="J55" s="81">
        <v>120</v>
      </c>
      <c r="K55" s="81">
        <f t="shared" si="12"/>
        <v>3600</v>
      </c>
      <c r="L55" s="102"/>
      <c r="M55" s="102"/>
      <c r="N55" s="71"/>
    </row>
    <row r="56" spans="1:14">
      <c r="A56" s="85"/>
      <c r="B56" s="120"/>
      <c r="C56" s="120"/>
      <c r="D56" s="120"/>
      <c r="E56" s="271" t="s">
        <v>9</v>
      </c>
      <c r="F56" s="110">
        <f>SUM(F54:F55)</f>
        <v>12044.910399999999</v>
      </c>
      <c r="G56" s="271"/>
      <c r="H56" s="271"/>
      <c r="I56" s="125"/>
      <c r="J56" s="97"/>
      <c r="K56" s="111">
        <f>SUM(K54:K55)</f>
        <v>14848</v>
      </c>
      <c r="L56" s="111">
        <f>K56/F56</f>
        <v>1.2327198382480289</v>
      </c>
      <c r="M56" s="102"/>
      <c r="N56" s="71"/>
    </row>
    <row r="57" spans="1:14">
      <c r="A57" s="85">
        <v>4</v>
      </c>
      <c r="B57" s="813" t="s">
        <v>1167</v>
      </c>
      <c r="C57" s="813" t="s">
        <v>1040</v>
      </c>
      <c r="D57" s="813" t="s">
        <v>369</v>
      </c>
      <c r="E57" s="814"/>
      <c r="F57" s="98">
        <f>7825*1.0936</f>
        <v>8557.42</v>
      </c>
      <c r="G57" s="120" t="s">
        <v>24</v>
      </c>
      <c r="H57" s="79"/>
      <c r="I57" s="80">
        <v>74</v>
      </c>
      <c r="J57" s="81">
        <v>74</v>
      </c>
      <c r="K57" s="81">
        <f t="shared" ref="K57:K58" si="13">I57*J57</f>
        <v>5476</v>
      </c>
      <c r="L57" s="111"/>
      <c r="M57" s="102"/>
      <c r="N57" s="71"/>
    </row>
    <row r="58" spans="1:14">
      <c r="A58" s="85"/>
      <c r="B58" s="120"/>
      <c r="C58" s="120"/>
      <c r="D58" s="120"/>
      <c r="E58" s="271"/>
      <c r="F58" s="110"/>
      <c r="G58" s="84" t="s">
        <v>10</v>
      </c>
      <c r="H58" s="79"/>
      <c r="I58" s="80">
        <v>25</v>
      </c>
      <c r="J58" s="81">
        <v>120</v>
      </c>
      <c r="K58" s="81">
        <f t="shared" si="13"/>
        <v>3000</v>
      </c>
      <c r="L58" s="111"/>
      <c r="M58" s="102"/>
      <c r="N58" s="71"/>
    </row>
    <row r="59" spans="1:14">
      <c r="A59" s="85"/>
      <c r="B59" s="120"/>
      <c r="C59" s="120"/>
      <c r="D59" s="120"/>
      <c r="E59" s="271" t="s">
        <v>9</v>
      </c>
      <c r="F59" s="110">
        <f>SUM(F57:F58)</f>
        <v>8557.42</v>
      </c>
      <c r="G59" s="271"/>
      <c r="H59" s="271"/>
      <c r="I59" s="125"/>
      <c r="J59" s="97"/>
      <c r="K59" s="111">
        <f>SUM(K57:K58)</f>
        <v>8476</v>
      </c>
      <c r="L59" s="111">
        <f>K59/F59</f>
        <v>0.99048545005387134</v>
      </c>
      <c r="M59" s="102"/>
      <c r="N59" s="71"/>
    </row>
    <row r="60" spans="1:14">
      <c r="A60" s="85">
        <v>5</v>
      </c>
      <c r="B60" s="813" t="s">
        <v>269</v>
      </c>
      <c r="C60" s="120"/>
      <c r="D60" s="120"/>
      <c r="E60" s="120"/>
      <c r="F60" s="98">
        <f>329*1.0936</f>
        <v>359.7944</v>
      </c>
      <c r="G60" s="120" t="s">
        <v>24</v>
      </c>
      <c r="H60" s="79"/>
      <c r="I60" s="80">
        <v>10</v>
      </c>
      <c r="J60" s="81">
        <v>74</v>
      </c>
      <c r="K60" s="81">
        <f t="shared" ref="K60:K61" si="14">I60*J60</f>
        <v>740</v>
      </c>
      <c r="L60" s="111"/>
      <c r="M60" s="102"/>
      <c r="N60" s="71"/>
    </row>
    <row r="61" spans="1:14">
      <c r="A61" s="85"/>
      <c r="B61" s="120"/>
      <c r="C61" s="120"/>
      <c r="D61" s="120"/>
      <c r="E61" s="271"/>
      <c r="F61" s="110"/>
      <c r="G61" s="84" t="s">
        <v>10</v>
      </c>
      <c r="H61" s="79"/>
      <c r="I61" s="80">
        <v>3</v>
      </c>
      <c r="J61" s="81">
        <v>120</v>
      </c>
      <c r="K61" s="81">
        <f t="shared" si="14"/>
        <v>360</v>
      </c>
      <c r="L61" s="111"/>
      <c r="M61" s="102"/>
      <c r="N61" s="71"/>
    </row>
    <row r="62" spans="1:14">
      <c r="A62" s="85"/>
      <c r="B62" s="120"/>
      <c r="C62" s="120"/>
      <c r="D62" s="120"/>
      <c r="E62" s="271" t="s">
        <v>9</v>
      </c>
      <c r="F62" s="110">
        <f>SUM(F60:F61)</f>
        <v>359.7944</v>
      </c>
      <c r="G62" s="271"/>
      <c r="H62" s="271"/>
      <c r="I62" s="125"/>
      <c r="J62" s="97"/>
      <c r="K62" s="111">
        <f>SUM(K60:K61)</f>
        <v>1100</v>
      </c>
      <c r="L62" s="111">
        <f>K62/F62</f>
        <v>3.0573016144776015</v>
      </c>
      <c r="M62" s="102"/>
      <c r="N62" s="71"/>
    </row>
    <row r="63" spans="1:14">
      <c r="A63" s="71"/>
      <c r="B63" s="71"/>
      <c r="C63" s="71"/>
      <c r="D63" s="126" t="s">
        <v>30</v>
      </c>
      <c r="E63" s="126"/>
      <c r="F63" s="127">
        <f>F50+F53+F56+F59+F62</f>
        <v>33007.035199999998</v>
      </c>
      <c r="G63" s="128"/>
      <c r="H63" s="128"/>
      <c r="I63" s="128"/>
      <c r="J63" s="128"/>
      <c r="K63" s="127">
        <f>K50+K53+K56+K59+K62</f>
        <v>37874</v>
      </c>
      <c r="L63" s="129">
        <f>K63/F63</f>
        <v>1.1474523467651527</v>
      </c>
      <c r="M63" s="71"/>
      <c r="N63" s="71"/>
    </row>
    <row r="64" spans="1:14">
      <c r="A64" s="70" t="s">
        <v>16</v>
      </c>
      <c r="B64" s="70"/>
      <c r="C64" s="70"/>
      <c r="D64" s="70"/>
      <c r="E64" s="70"/>
      <c r="F64" s="71"/>
      <c r="G64" s="71"/>
      <c r="H64" s="71"/>
      <c r="I64" s="71"/>
      <c r="J64" s="71"/>
      <c r="K64" s="824" t="s">
        <v>1257</v>
      </c>
      <c r="L64" s="824"/>
      <c r="M64" s="824"/>
      <c r="N64" s="71"/>
    </row>
    <row r="65" spans="1:14">
      <c r="A65" s="271" t="s">
        <v>0</v>
      </c>
      <c r="B65" s="271" t="s">
        <v>7</v>
      </c>
      <c r="C65" s="271" t="s">
        <v>13</v>
      </c>
      <c r="D65" s="271" t="s">
        <v>14</v>
      </c>
      <c r="E65" s="271" t="s">
        <v>8</v>
      </c>
      <c r="F65" s="271" t="s">
        <v>1</v>
      </c>
      <c r="G65" s="271" t="s">
        <v>2</v>
      </c>
      <c r="H65" s="271" t="s">
        <v>15</v>
      </c>
      <c r="I65" s="271" t="s">
        <v>3</v>
      </c>
      <c r="J65" s="271" t="s">
        <v>4</v>
      </c>
      <c r="K65" s="271" t="s">
        <v>5</v>
      </c>
      <c r="L65" s="271" t="s">
        <v>12</v>
      </c>
      <c r="M65" s="271" t="s">
        <v>6</v>
      </c>
      <c r="N65" s="71"/>
    </row>
    <row r="66" spans="1:14">
      <c r="A66" s="85">
        <v>10204</v>
      </c>
      <c r="B66" s="813" t="s">
        <v>892</v>
      </c>
      <c r="C66" s="89" t="s">
        <v>766</v>
      </c>
      <c r="D66" s="89" t="s">
        <v>465</v>
      </c>
      <c r="E66" s="813"/>
      <c r="F66" s="90">
        <f>475*1.0936</f>
        <v>519.45999999999992</v>
      </c>
      <c r="G66" s="95" t="s">
        <v>832</v>
      </c>
      <c r="H66" s="79"/>
      <c r="I66" s="81">
        <v>1</v>
      </c>
      <c r="J66" s="81">
        <v>790</v>
      </c>
      <c r="K66" s="81">
        <f t="shared" ref="K66" si="15">I66*J66</f>
        <v>790</v>
      </c>
      <c r="L66" s="102"/>
      <c r="M66" s="139"/>
      <c r="N66" s="71"/>
    </row>
    <row r="67" spans="1:14">
      <c r="A67" s="85"/>
      <c r="B67" s="85"/>
      <c r="C67" s="85"/>
      <c r="D67" s="85"/>
      <c r="E67" s="85"/>
      <c r="F67" s="98"/>
      <c r="G67" s="120"/>
      <c r="H67" s="79"/>
      <c r="I67" s="80"/>
      <c r="J67" s="81"/>
      <c r="K67" s="81">
        <f t="shared" ref="K67" si="16">I67*J67</f>
        <v>0</v>
      </c>
      <c r="L67" s="102"/>
      <c r="M67" s="102"/>
      <c r="N67" s="71"/>
    </row>
    <row r="68" spans="1:14">
      <c r="A68" s="85"/>
      <c r="B68" s="85"/>
      <c r="C68" s="85"/>
      <c r="D68" s="85"/>
      <c r="E68" s="271" t="s">
        <v>9</v>
      </c>
      <c r="F68" s="110">
        <f>SUM(F66:F67)</f>
        <v>519.45999999999992</v>
      </c>
      <c r="G68" s="271"/>
      <c r="H68" s="271"/>
      <c r="I68" s="125"/>
      <c r="J68" s="97"/>
      <c r="K68" s="111">
        <f>SUM(K66:K67)</f>
        <v>790</v>
      </c>
      <c r="L68" s="111">
        <f>K68/F68</f>
        <v>1.5208100719978441</v>
      </c>
      <c r="M68" s="102"/>
      <c r="N68" s="71"/>
    </row>
    <row r="69" spans="1:14">
      <c r="A69" s="270"/>
      <c r="B69" s="270"/>
      <c r="C69" s="270"/>
      <c r="D69" s="126" t="s">
        <v>30</v>
      </c>
      <c r="E69" s="126"/>
      <c r="F69" s="127">
        <f>F68</f>
        <v>519.45999999999992</v>
      </c>
      <c r="G69" s="128"/>
      <c r="H69" s="128"/>
      <c r="I69" s="128"/>
      <c r="J69" s="128"/>
      <c r="K69" s="127">
        <f>K68</f>
        <v>790</v>
      </c>
      <c r="L69" s="129">
        <f>K69/F69</f>
        <v>1.5208100719978441</v>
      </c>
      <c r="M69" s="131"/>
      <c r="N69" s="71"/>
    </row>
    <row r="70" spans="1:14">
      <c r="A70" s="70" t="s">
        <v>72</v>
      </c>
      <c r="B70" s="70"/>
      <c r="C70" s="70"/>
      <c r="D70" s="70"/>
      <c r="E70" s="70"/>
      <c r="F70" s="71"/>
      <c r="G70" s="71"/>
      <c r="H70" s="71"/>
      <c r="I70" s="140"/>
      <c r="J70" s="71"/>
      <c r="K70" s="824" t="s">
        <v>1257</v>
      </c>
      <c r="L70" s="824"/>
      <c r="M70" s="824"/>
      <c r="N70" s="71"/>
    </row>
    <row r="71" spans="1:14">
      <c r="A71" s="271" t="s">
        <v>0</v>
      </c>
      <c r="B71" s="271" t="s">
        <v>7</v>
      </c>
      <c r="C71" s="271" t="s">
        <v>13</v>
      </c>
      <c r="D71" s="271" t="s">
        <v>14</v>
      </c>
      <c r="E71" s="271" t="s">
        <v>8</v>
      </c>
      <c r="F71" s="271" t="s">
        <v>1</v>
      </c>
      <c r="G71" s="271" t="s">
        <v>2</v>
      </c>
      <c r="H71" s="271" t="s">
        <v>15</v>
      </c>
      <c r="I71" s="141" t="s">
        <v>3</v>
      </c>
      <c r="J71" s="271" t="s">
        <v>4</v>
      </c>
      <c r="K71" s="271" t="s">
        <v>5</v>
      </c>
      <c r="L71" s="271" t="s">
        <v>12</v>
      </c>
      <c r="M71" s="271" t="s">
        <v>6</v>
      </c>
      <c r="N71" s="123"/>
    </row>
    <row r="72" spans="1:14">
      <c r="A72" s="120">
        <v>10086</v>
      </c>
      <c r="B72" s="813" t="s">
        <v>1149</v>
      </c>
      <c r="C72" s="813" t="s">
        <v>217</v>
      </c>
      <c r="D72" s="813" t="s">
        <v>514</v>
      </c>
      <c r="E72" s="813" t="s">
        <v>129</v>
      </c>
      <c r="F72" s="90">
        <f>23570*1.0936</f>
        <v>25776.151999999998</v>
      </c>
      <c r="G72" s="811" t="s">
        <v>405</v>
      </c>
      <c r="H72" s="79"/>
      <c r="I72" s="80">
        <f>5.542+3.386+1.87+0.677</f>
        <v>11.475000000000001</v>
      </c>
      <c r="J72" s="81">
        <v>1708</v>
      </c>
      <c r="K72" s="81">
        <f t="shared" ref="K72:K76" si="17">I72*J72</f>
        <v>19599.300000000003</v>
      </c>
      <c r="L72" s="102"/>
      <c r="M72" s="178"/>
      <c r="N72" s="71"/>
    </row>
    <row r="73" spans="1:14">
      <c r="A73" s="85"/>
      <c r="B73" s="120"/>
      <c r="C73" s="120"/>
      <c r="D73" s="120"/>
      <c r="E73" s="120"/>
      <c r="F73" s="98"/>
      <c r="G73" s="812" t="s">
        <v>192</v>
      </c>
      <c r="H73" s="79"/>
      <c r="I73" s="80">
        <f>4.131+2.57+1.35+0.514</f>
        <v>8.5649999999999995</v>
      </c>
      <c r="J73" s="81">
        <v>1126</v>
      </c>
      <c r="K73" s="81">
        <f t="shared" si="17"/>
        <v>9644.1899999999987</v>
      </c>
      <c r="L73" s="102"/>
      <c r="M73" s="79"/>
      <c r="N73" s="71"/>
    </row>
    <row r="74" spans="1:14">
      <c r="A74" s="85"/>
      <c r="B74" s="120"/>
      <c r="C74" s="120"/>
      <c r="D74" s="120"/>
      <c r="E74" s="120"/>
      <c r="F74" s="98"/>
      <c r="G74" s="812" t="s">
        <v>193</v>
      </c>
      <c r="H74" s="79"/>
      <c r="I74" s="80">
        <f>25.54+15.15+9+3.03</f>
        <v>52.72</v>
      </c>
      <c r="J74" s="81">
        <v>1150</v>
      </c>
      <c r="K74" s="81">
        <f t="shared" si="17"/>
        <v>60628</v>
      </c>
      <c r="L74" s="102"/>
      <c r="M74" s="79"/>
      <c r="N74" s="71"/>
    </row>
    <row r="75" spans="1:14">
      <c r="A75" s="85"/>
      <c r="B75" s="120"/>
      <c r="C75" s="120"/>
      <c r="D75" s="120"/>
      <c r="E75" s="120"/>
      <c r="F75" s="98"/>
      <c r="G75" s="95" t="s">
        <v>1244</v>
      </c>
      <c r="H75" s="79"/>
      <c r="I75" s="80">
        <f>15.3+10+5+2</f>
        <v>32.299999999999997</v>
      </c>
      <c r="J75" s="81">
        <v>336</v>
      </c>
      <c r="K75" s="81">
        <f t="shared" si="17"/>
        <v>10852.8</v>
      </c>
      <c r="L75" s="102"/>
      <c r="M75" s="79"/>
      <c r="N75" s="71"/>
    </row>
    <row r="76" spans="1:14">
      <c r="A76" s="85"/>
      <c r="B76" s="120"/>
      <c r="C76" s="120"/>
      <c r="D76" s="120"/>
      <c r="E76" s="120"/>
      <c r="F76" s="98"/>
      <c r="G76" s="95" t="s">
        <v>185</v>
      </c>
      <c r="H76" s="79"/>
      <c r="I76" s="96">
        <f>3.06+2+1+0.4</f>
        <v>6.4600000000000009</v>
      </c>
      <c r="J76" s="81">
        <v>490</v>
      </c>
      <c r="K76" s="81">
        <f t="shared" si="17"/>
        <v>3165.4000000000005</v>
      </c>
      <c r="L76" s="102"/>
      <c r="M76" s="79"/>
      <c r="N76" s="71"/>
    </row>
    <row r="77" spans="1:14">
      <c r="A77" s="85"/>
      <c r="B77" s="120"/>
      <c r="C77" s="120"/>
      <c r="D77" s="120"/>
      <c r="E77" s="815" t="s">
        <v>9</v>
      </c>
      <c r="F77" s="110">
        <f>SUM(F72:F76)</f>
        <v>25776.151999999998</v>
      </c>
      <c r="G77" s="815"/>
      <c r="H77" s="815"/>
      <c r="I77" s="125"/>
      <c r="J77" s="97"/>
      <c r="K77" s="111">
        <f>SUM(K72:K76)</f>
        <v>103889.69</v>
      </c>
      <c r="L77" s="111">
        <f>K77/F77</f>
        <v>4.0304576881762646</v>
      </c>
      <c r="M77" s="102"/>
      <c r="N77" s="71"/>
    </row>
    <row r="78" spans="1:14">
      <c r="A78" s="85">
        <v>10081</v>
      </c>
      <c r="B78" s="813" t="s">
        <v>904</v>
      </c>
      <c r="C78" s="813" t="s">
        <v>217</v>
      </c>
      <c r="D78" s="813" t="s">
        <v>1258</v>
      </c>
      <c r="E78" s="813" t="s">
        <v>1259</v>
      </c>
      <c r="F78" s="90">
        <f>3700*1.0936</f>
        <v>4046.3199999999997</v>
      </c>
      <c r="G78" s="811" t="s">
        <v>405</v>
      </c>
      <c r="H78" s="79"/>
      <c r="I78" s="80">
        <f>1.608+1.375+0.171</f>
        <v>3.1539999999999999</v>
      </c>
      <c r="J78" s="81">
        <v>1708</v>
      </c>
      <c r="K78" s="81">
        <f t="shared" ref="K78:K82" si="18">I78*J78</f>
        <v>5387.0320000000002</v>
      </c>
      <c r="L78" s="102"/>
      <c r="M78" s="79"/>
      <c r="N78" s="71"/>
    </row>
    <row r="79" spans="1:14">
      <c r="A79" s="85"/>
      <c r="B79" s="120"/>
      <c r="C79" s="120"/>
      <c r="D79" s="120"/>
      <c r="E79" s="120"/>
      <c r="F79" s="98"/>
      <c r="G79" s="812" t="s">
        <v>192</v>
      </c>
      <c r="H79" s="79"/>
      <c r="I79" s="80">
        <f>1.402+1.275+0.132</f>
        <v>2.8089999999999997</v>
      </c>
      <c r="J79" s="81">
        <v>1126</v>
      </c>
      <c r="K79" s="81">
        <f t="shared" si="18"/>
        <v>3162.9339999999997</v>
      </c>
      <c r="L79" s="102"/>
      <c r="M79" s="79"/>
      <c r="N79" s="71"/>
    </row>
    <row r="80" spans="1:14">
      <c r="A80" s="85"/>
      <c r="B80" s="120"/>
      <c r="C80" s="120"/>
      <c r="D80" s="120"/>
      <c r="E80" s="120"/>
      <c r="F80" s="98"/>
      <c r="G80" s="812" t="s">
        <v>193</v>
      </c>
      <c r="H80" s="79"/>
      <c r="I80" s="80">
        <f>10.78+11.405+0.585</f>
        <v>22.77</v>
      </c>
      <c r="J80" s="81">
        <v>1150</v>
      </c>
      <c r="K80" s="81">
        <f t="shared" si="18"/>
        <v>26185.5</v>
      </c>
      <c r="L80" s="102"/>
      <c r="M80" s="79"/>
      <c r="N80" s="71"/>
    </row>
    <row r="81" spans="1:14">
      <c r="A81" s="85"/>
      <c r="B81" s="120"/>
      <c r="C81" s="120"/>
      <c r="D81" s="120"/>
      <c r="E81" s="120"/>
      <c r="F81" s="98"/>
      <c r="G81" s="95" t="s">
        <v>1244</v>
      </c>
      <c r="H81" s="79"/>
      <c r="I81" s="80">
        <f>5.3+5</f>
        <v>10.3</v>
      </c>
      <c r="J81" s="81">
        <v>336</v>
      </c>
      <c r="K81" s="81">
        <f t="shared" si="18"/>
        <v>3460.8</v>
      </c>
      <c r="L81" s="102"/>
      <c r="M81" s="79"/>
      <c r="N81" s="71"/>
    </row>
    <row r="82" spans="1:14">
      <c r="A82" s="85"/>
      <c r="B82" s="120"/>
      <c r="C82" s="120"/>
      <c r="D82" s="120"/>
      <c r="E82" s="120"/>
      <c r="F82" s="98"/>
      <c r="G82" s="95" t="s">
        <v>185</v>
      </c>
      <c r="H82" s="79"/>
      <c r="I82" s="96">
        <f>1+1</f>
        <v>2</v>
      </c>
      <c r="J82" s="81">
        <v>490</v>
      </c>
      <c r="K82" s="81">
        <f t="shared" si="18"/>
        <v>980</v>
      </c>
      <c r="L82" s="102"/>
      <c r="M82" s="79"/>
      <c r="N82" s="71"/>
    </row>
    <row r="83" spans="1:14" s="71" customFormat="1">
      <c r="A83" s="85"/>
      <c r="B83" s="85"/>
      <c r="C83" s="85"/>
      <c r="D83" s="85"/>
      <c r="E83" s="271" t="s">
        <v>9</v>
      </c>
      <c r="F83" s="110">
        <f>SUM(F78:F82)</f>
        <v>4046.3199999999997</v>
      </c>
      <c r="G83" s="271"/>
      <c r="H83" s="271"/>
      <c r="I83" s="125"/>
      <c r="J83" s="97"/>
      <c r="K83" s="111">
        <f>SUM(K78:K82)</f>
        <v>39176.266000000003</v>
      </c>
      <c r="L83" s="111">
        <f>K83/F83</f>
        <v>9.6819495245062193</v>
      </c>
      <c r="M83" s="102"/>
    </row>
    <row r="84" spans="1:14">
      <c r="A84" s="120">
        <v>10077</v>
      </c>
      <c r="B84" s="813" t="s">
        <v>875</v>
      </c>
      <c r="C84" s="813" t="s">
        <v>233</v>
      </c>
      <c r="D84" s="813" t="s">
        <v>1169</v>
      </c>
      <c r="E84" s="813" t="s">
        <v>876</v>
      </c>
      <c r="F84" s="222">
        <f>230*1.0936</f>
        <v>251.52799999999999</v>
      </c>
      <c r="G84" s="811" t="s">
        <v>405</v>
      </c>
      <c r="H84" s="79"/>
      <c r="I84" s="80">
        <f>1.285+0.053</f>
        <v>1.3379999999999999</v>
      </c>
      <c r="J84" s="81">
        <v>1708</v>
      </c>
      <c r="K84" s="81">
        <f t="shared" ref="K84:K88" si="19">I84*J84</f>
        <v>2285.3039999999996</v>
      </c>
      <c r="L84" s="102"/>
      <c r="M84" s="178"/>
      <c r="N84" s="71"/>
    </row>
    <row r="85" spans="1:14">
      <c r="A85" s="85"/>
      <c r="B85" s="813"/>
      <c r="C85" s="813"/>
      <c r="D85" s="813"/>
      <c r="E85" s="813"/>
      <c r="F85" s="98"/>
      <c r="G85" s="811" t="s">
        <v>183</v>
      </c>
      <c r="H85" s="79"/>
      <c r="I85" s="80">
        <f>0.62+0.021</f>
        <v>0.64100000000000001</v>
      </c>
      <c r="J85" s="81">
        <v>1600</v>
      </c>
      <c r="K85" s="81">
        <f t="shared" si="19"/>
        <v>1025.5999999999999</v>
      </c>
      <c r="L85" s="102"/>
      <c r="M85" s="102"/>
      <c r="N85" s="71"/>
    </row>
    <row r="86" spans="1:14">
      <c r="A86" s="85"/>
      <c r="B86" s="599"/>
      <c r="C86" s="599"/>
      <c r="D86" s="599"/>
      <c r="E86" s="599"/>
      <c r="F86" s="98"/>
      <c r="G86" s="93" t="s">
        <v>315</v>
      </c>
      <c r="H86" s="79"/>
      <c r="I86" s="80">
        <f>2.875+0.068</f>
        <v>2.9430000000000001</v>
      </c>
      <c r="J86" s="81">
        <v>2184</v>
      </c>
      <c r="K86" s="81">
        <f t="shared" si="19"/>
        <v>6427.5119999999997</v>
      </c>
      <c r="L86" s="102"/>
      <c r="M86" s="102"/>
      <c r="N86" s="71"/>
    </row>
    <row r="87" spans="1:14">
      <c r="A87" s="85"/>
      <c r="B87" s="599"/>
      <c r="C87" s="599"/>
      <c r="D87" s="599"/>
      <c r="E87" s="599"/>
      <c r="F87" s="98"/>
      <c r="G87" s="95" t="s">
        <v>1244</v>
      </c>
      <c r="H87" s="79"/>
      <c r="I87" s="80">
        <v>5</v>
      </c>
      <c r="J87" s="81">
        <v>336</v>
      </c>
      <c r="K87" s="81">
        <f t="shared" si="19"/>
        <v>1680</v>
      </c>
      <c r="L87" s="102"/>
      <c r="M87" s="102"/>
      <c r="N87" s="71"/>
    </row>
    <row r="88" spans="1:14">
      <c r="A88" s="85"/>
      <c r="B88" s="599"/>
      <c r="C88" s="599"/>
      <c r="D88" s="599"/>
      <c r="E88" s="599"/>
      <c r="F88" s="98"/>
      <c r="G88" s="95" t="s">
        <v>185</v>
      </c>
      <c r="H88" s="79"/>
      <c r="I88" s="96">
        <v>1</v>
      </c>
      <c r="J88" s="81">
        <v>490</v>
      </c>
      <c r="K88" s="81">
        <f t="shared" si="19"/>
        <v>490</v>
      </c>
      <c r="L88" s="102"/>
      <c r="M88" s="102"/>
      <c r="N88" s="71"/>
    </row>
    <row r="89" spans="1:14" s="71" customFormat="1">
      <c r="A89" s="85"/>
      <c r="B89" s="85"/>
      <c r="C89" s="85"/>
      <c r="D89" s="85"/>
      <c r="E89" s="271" t="s">
        <v>9</v>
      </c>
      <c r="F89" s="110">
        <f>SUM(F84:F88)</f>
        <v>251.52799999999999</v>
      </c>
      <c r="G89" s="271"/>
      <c r="H89" s="271"/>
      <c r="I89" s="125"/>
      <c r="J89" s="97"/>
      <c r="K89" s="111">
        <f>SUM(K84:K88)</f>
        <v>11908.415999999999</v>
      </c>
      <c r="L89" s="111">
        <f>K89/F89</f>
        <v>47.344295664896151</v>
      </c>
      <c r="M89" s="102"/>
    </row>
    <row r="90" spans="1:14">
      <c r="A90" s="120">
        <v>10085</v>
      </c>
      <c r="B90" s="813" t="s">
        <v>767</v>
      </c>
      <c r="C90" s="813" t="s">
        <v>1260</v>
      </c>
      <c r="D90" s="813" t="s">
        <v>465</v>
      </c>
      <c r="E90" s="813" t="s">
        <v>102</v>
      </c>
      <c r="F90" s="222">
        <f>300*1.0936</f>
        <v>328.08</v>
      </c>
      <c r="G90" s="811" t="s">
        <v>405</v>
      </c>
      <c r="H90" s="79"/>
      <c r="I90" s="80">
        <v>5.0000000000000001E-3</v>
      </c>
      <c r="J90" s="81">
        <v>1708</v>
      </c>
      <c r="K90" s="81">
        <f t="shared" ref="K90:K94" si="20">I90*J90</f>
        <v>8.5400000000000009</v>
      </c>
      <c r="L90" s="102"/>
      <c r="M90" s="102"/>
      <c r="N90" s="71"/>
    </row>
    <row r="91" spans="1:14">
      <c r="A91" s="85"/>
      <c r="B91" s="85"/>
      <c r="C91" s="85"/>
      <c r="D91" s="85"/>
      <c r="E91" s="85"/>
      <c r="F91" s="98"/>
      <c r="G91" s="811" t="s">
        <v>183</v>
      </c>
      <c r="H91" s="79"/>
      <c r="I91" s="80">
        <v>0.20799999999999999</v>
      </c>
      <c r="J91" s="81">
        <v>1600</v>
      </c>
      <c r="K91" s="81">
        <f t="shared" si="20"/>
        <v>332.8</v>
      </c>
      <c r="L91" s="102"/>
      <c r="M91" s="102"/>
      <c r="N91" s="71"/>
    </row>
    <row r="92" spans="1:14">
      <c r="A92" s="85"/>
      <c r="B92" s="85"/>
      <c r="C92" s="85"/>
      <c r="D92" s="85"/>
      <c r="E92" s="85"/>
      <c r="F92" s="98"/>
      <c r="G92" s="93" t="s">
        <v>315</v>
      </c>
      <c r="H92" s="79"/>
      <c r="I92" s="80">
        <v>0.70499999999999996</v>
      </c>
      <c r="J92" s="81">
        <v>2184</v>
      </c>
      <c r="K92" s="81">
        <f t="shared" si="20"/>
        <v>1539.7199999999998</v>
      </c>
      <c r="L92" s="102"/>
      <c r="M92" s="102"/>
      <c r="N92" s="71"/>
    </row>
    <row r="93" spans="1:14">
      <c r="A93" s="85"/>
      <c r="B93" s="85"/>
      <c r="C93" s="85"/>
      <c r="D93" s="85"/>
      <c r="E93" s="85"/>
      <c r="F93" s="98"/>
      <c r="G93" s="95" t="s">
        <v>1244</v>
      </c>
      <c r="H93" s="79"/>
      <c r="I93" s="80">
        <v>0.6</v>
      </c>
      <c r="J93" s="81">
        <v>336</v>
      </c>
      <c r="K93" s="81">
        <f t="shared" si="20"/>
        <v>201.6</v>
      </c>
      <c r="L93" s="102"/>
      <c r="M93" s="102"/>
      <c r="N93" s="71"/>
    </row>
    <row r="94" spans="1:14">
      <c r="A94" s="85"/>
      <c r="B94" s="85"/>
      <c r="C94" s="85"/>
      <c r="D94" s="85"/>
      <c r="E94" s="85"/>
      <c r="F94" s="98"/>
      <c r="G94" s="95" t="s">
        <v>185</v>
      </c>
      <c r="H94" s="79"/>
      <c r="I94" s="96">
        <v>0.12</v>
      </c>
      <c r="J94" s="81">
        <v>490</v>
      </c>
      <c r="K94" s="81">
        <f t="shared" si="20"/>
        <v>58.8</v>
      </c>
      <c r="L94" s="102"/>
      <c r="M94" s="102"/>
      <c r="N94" s="71"/>
    </row>
    <row r="95" spans="1:14">
      <c r="A95" s="85"/>
      <c r="B95" s="85"/>
      <c r="C95" s="85"/>
      <c r="D95" s="85"/>
      <c r="E95" s="271" t="s">
        <v>9</v>
      </c>
      <c r="F95" s="110">
        <f>SUM(F90:F94)</f>
        <v>328.08</v>
      </c>
      <c r="G95" s="271"/>
      <c r="H95" s="271"/>
      <c r="I95" s="125"/>
      <c r="J95" s="97"/>
      <c r="K95" s="111">
        <f>SUM(K90:K94)</f>
        <v>2141.46</v>
      </c>
      <c r="L95" s="111">
        <f>K95/F95</f>
        <v>6.5272494513533292</v>
      </c>
      <c r="M95" s="102"/>
      <c r="N95" s="71"/>
    </row>
    <row r="96" spans="1:14">
      <c r="A96" s="120">
        <v>10082</v>
      </c>
      <c r="B96" s="813" t="s">
        <v>866</v>
      </c>
      <c r="C96" s="813" t="s">
        <v>224</v>
      </c>
      <c r="D96" s="813" t="s">
        <v>1025</v>
      </c>
      <c r="E96" s="813" t="s">
        <v>1261</v>
      </c>
      <c r="F96" s="87">
        <f>6500*1.0936</f>
        <v>7108.4</v>
      </c>
      <c r="G96" s="811" t="s">
        <v>405</v>
      </c>
      <c r="H96" s="79"/>
      <c r="I96" s="80">
        <v>5.0000000000000001E-3</v>
      </c>
      <c r="J96" s="81">
        <v>1708</v>
      </c>
      <c r="K96" s="81">
        <f t="shared" ref="K96:K100" si="21">I96*J96</f>
        <v>8.5400000000000009</v>
      </c>
      <c r="L96" s="102"/>
      <c r="M96" s="102"/>
      <c r="N96" s="71"/>
    </row>
    <row r="97" spans="1:14">
      <c r="A97" s="85"/>
      <c r="B97" s="85"/>
      <c r="C97" s="85"/>
      <c r="D97" s="85"/>
      <c r="E97" s="85"/>
      <c r="F97" s="98"/>
      <c r="G97" s="812" t="s">
        <v>195</v>
      </c>
      <c r="H97" s="79"/>
      <c r="I97" s="80">
        <v>5.6000000000000001E-2</v>
      </c>
      <c r="J97" s="81">
        <v>645</v>
      </c>
      <c r="K97" s="81">
        <f t="shared" si="21"/>
        <v>36.119999999999997</v>
      </c>
      <c r="L97" s="102"/>
      <c r="M97" s="102"/>
      <c r="N97" s="71"/>
    </row>
    <row r="98" spans="1:14">
      <c r="A98" s="85"/>
      <c r="B98" s="85"/>
      <c r="C98" s="85"/>
      <c r="D98" s="85"/>
      <c r="E98" s="85"/>
      <c r="F98" s="98"/>
      <c r="G98" s="812" t="s">
        <v>286</v>
      </c>
      <c r="H98" s="823"/>
      <c r="I98" s="80">
        <v>4.0000000000000001E-3</v>
      </c>
      <c r="J98" s="81">
        <v>2065</v>
      </c>
      <c r="K98" s="81">
        <f t="shared" si="21"/>
        <v>8.26</v>
      </c>
      <c r="L98" s="102"/>
      <c r="M98" s="102"/>
      <c r="N98" s="71"/>
    </row>
    <row r="99" spans="1:14">
      <c r="A99" s="85"/>
      <c r="B99" s="85"/>
      <c r="C99" s="85"/>
      <c r="D99" s="85"/>
      <c r="E99" s="85"/>
      <c r="F99" s="98"/>
      <c r="G99" s="95" t="s">
        <v>1244</v>
      </c>
      <c r="H99" s="79"/>
      <c r="I99" s="80">
        <v>10</v>
      </c>
      <c r="J99" s="81">
        <v>336</v>
      </c>
      <c r="K99" s="81">
        <f t="shared" si="21"/>
        <v>3360</v>
      </c>
      <c r="L99" s="102"/>
      <c r="M99" s="102"/>
      <c r="N99" s="71"/>
    </row>
    <row r="100" spans="1:14">
      <c r="A100" s="85"/>
      <c r="B100" s="85"/>
      <c r="C100" s="85"/>
      <c r="D100" s="85"/>
      <c r="E100" s="85"/>
      <c r="F100" s="98"/>
      <c r="G100" s="95" t="s">
        <v>185</v>
      </c>
      <c r="H100" s="79"/>
      <c r="I100" s="96">
        <v>2</v>
      </c>
      <c r="J100" s="81">
        <v>490</v>
      </c>
      <c r="K100" s="81">
        <f t="shared" si="21"/>
        <v>980</v>
      </c>
      <c r="L100" s="102"/>
      <c r="M100" s="102"/>
      <c r="N100" s="71"/>
    </row>
    <row r="101" spans="1:14" s="71" customFormat="1">
      <c r="A101" s="85"/>
      <c r="B101" s="85"/>
      <c r="C101" s="85"/>
      <c r="D101" s="85"/>
      <c r="E101" s="271" t="s">
        <v>9</v>
      </c>
      <c r="F101" s="110">
        <f>SUM(F96:F100)</f>
        <v>7108.4</v>
      </c>
      <c r="G101" s="271"/>
      <c r="H101" s="271"/>
      <c r="I101" s="125"/>
      <c r="J101" s="97"/>
      <c r="K101" s="111">
        <f>SUM(K96:K100)</f>
        <v>4392.92</v>
      </c>
      <c r="L101" s="111">
        <f>K101/F101</f>
        <v>0.61798998368127855</v>
      </c>
      <c r="M101" s="102"/>
    </row>
    <row r="102" spans="1:14">
      <c r="A102" s="120">
        <v>10088</v>
      </c>
      <c r="B102" s="813" t="s">
        <v>1262</v>
      </c>
      <c r="C102" s="813" t="s">
        <v>302</v>
      </c>
      <c r="D102" s="813" t="s">
        <v>368</v>
      </c>
      <c r="E102" s="813" t="s">
        <v>101</v>
      </c>
      <c r="F102" s="87">
        <f>500*1.0936</f>
        <v>546.79999999999995</v>
      </c>
      <c r="G102" s="811" t="s">
        <v>264</v>
      </c>
      <c r="H102" s="79"/>
      <c r="I102" s="80">
        <v>0.73</v>
      </c>
      <c r="J102" s="81">
        <v>2815</v>
      </c>
      <c r="K102" s="81">
        <f t="shared" ref="K102:K106" si="22">I102*J102</f>
        <v>2054.9499999999998</v>
      </c>
      <c r="L102" s="102"/>
      <c r="M102" s="102"/>
      <c r="N102" s="71"/>
    </row>
    <row r="103" spans="1:14">
      <c r="A103" s="85"/>
      <c r="B103" s="120"/>
      <c r="C103" s="120"/>
      <c r="D103" s="120"/>
      <c r="E103" s="120"/>
      <c r="F103" s="120"/>
      <c r="G103" s="811" t="s">
        <v>986</v>
      </c>
      <c r="H103" s="79"/>
      <c r="I103" s="80">
        <v>1.54</v>
      </c>
      <c r="J103" s="81">
        <v>1416</v>
      </c>
      <c r="K103" s="81">
        <f t="shared" si="22"/>
        <v>2180.64</v>
      </c>
      <c r="L103" s="102"/>
      <c r="M103" s="102"/>
      <c r="N103" s="71"/>
    </row>
    <row r="104" spans="1:14">
      <c r="A104" s="85"/>
      <c r="B104" s="85"/>
      <c r="C104" s="85"/>
      <c r="D104" s="85"/>
      <c r="E104" s="85"/>
      <c r="F104" s="98"/>
      <c r="G104" s="812" t="s">
        <v>987</v>
      </c>
      <c r="H104" s="79"/>
      <c r="I104" s="80">
        <v>1.36</v>
      </c>
      <c r="J104" s="81">
        <v>995</v>
      </c>
      <c r="K104" s="81">
        <f t="shared" si="22"/>
        <v>1353.2</v>
      </c>
      <c r="L104" s="102"/>
      <c r="M104" s="102"/>
      <c r="N104" s="71"/>
    </row>
    <row r="105" spans="1:14">
      <c r="A105" s="85"/>
      <c r="B105" s="85"/>
      <c r="C105" s="85"/>
      <c r="D105" s="85"/>
      <c r="E105" s="85"/>
      <c r="F105" s="98"/>
      <c r="G105" s="95" t="s">
        <v>1244</v>
      </c>
      <c r="H105" s="79"/>
      <c r="I105" s="80">
        <v>2</v>
      </c>
      <c r="J105" s="81">
        <v>336</v>
      </c>
      <c r="K105" s="81">
        <f t="shared" si="22"/>
        <v>672</v>
      </c>
      <c r="L105" s="102"/>
      <c r="M105" s="102"/>
      <c r="N105" s="71"/>
    </row>
    <row r="106" spans="1:14">
      <c r="A106" s="85"/>
      <c r="B106" s="85"/>
      <c r="C106" s="85"/>
      <c r="D106" s="85"/>
      <c r="E106" s="85"/>
      <c r="F106" s="98"/>
      <c r="G106" s="95" t="s">
        <v>185</v>
      </c>
      <c r="H106" s="79"/>
      <c r="I106" s="96">
        <v>0.4</v>
      </c>
      <c r="J106" s="81">
        <v>490</v>
      </c>
      <c r="K106" s="81">
        <f t="shared" si="22"/>
        <v>196</v>
      </c>
      <c r="L106" s="102"/>
      <c r="M106" s="102"/>
      <c r="N106" s="71"/>
    </row>
    <row r="107" spans="1:14" s="71" customFormat="1">
      <c r="A107" s="85"/>
      <c r="B107" s="85"/>
      <c r="C107" s="85"/>
      <c r="D107" s="85"/>
      <c r="E107" s="271" t="s">
        <v>9</v>
      </c>
      <c r="F107" s="110">
        <f>SUM(F102:F106)</f>
        <v>546.79999999999995</v>
      </c>
      <c r="G107" s="271"/>
      <c r="H107" s="271"/>
      <c r="I107" s="125"/>
      <c r="J107" s="97"/>
      <c r="K107" s="111">
        <f>SUM(K102:K106)</f>
        <v>6456.79</v>
      </c>
      <c r="L107" s="111">
        <f>K107/F107</f>
        <v>11.808321141185077</v>
      </c>
      <c r="M107" s="102"/>
    </row>
    <row r="108" spans="1:14" s="71" customFormat="1">
      <c r="A108" s="270"/>
      <c r="B108" s="270"/>
      <c r="C108" s="270"/>
      <c r="D108" s="126" t="s">
        <v>30</v>
      </c>
      <c r="E108" s="126"/>
      <c r="F108" s="127">
        <f>F77+F83+F89+F95+F101+F107</f>
        <v>38057.279999999999</v>
      </c>
      <c r="G108" s="128"/>
      <c r="H108" s="128"/>
      <c r="I108" s="128"/>
      <c r="J108" s="128"/>
      <c r="K108" s="127">
        <f>K77+K83+K89+K95+K101+K107</f>
        <v>167965.54200000002</v>
      </c>
      <c r="L108" s="129">
        <f>K108/F108</f>
        <v>4.4134930820069123</v>
      </c>
      <c r="M108" s="131"/>
    </row>
    <row r="109" spans="1:14">
      <c r="A109" s="70" t="s">
        <v>40</v>
      </c>
      <c r="B109" s="70"/>
      <c r="C109" s="70"/>
      <c r="D109" s="70"/>
      <c r="E109" s="70"/>
      <c r="F109" s="71"/>
      <c r="G109" s="71"/>
      <c r="H109" s="71"/>
      <c r="I109" s="140"/>
      <c r="J109" s="71"/>
      <c r="K109" s="824" t="s">
        <v>1257</v>
      </c>
      <c r="L109" s="824"/>
      <c r="M109" s="824"/>
      <c r="N109" s="71"/>
    </row>
    <row r="110" spans="1:14">
      <c r="A110" s="271" t="s">
        <v>0</v>
      </c>
      <c r="B110" s="271" t="s">
        <v>7</v>
      </c>
      <c r="C110" s="271" t="s">
        <v>13</v>
      </c>
      <c r="D110" s="271" t="s">
        <v>14</v>
      </c>
      <c r="E110" s="271" t="s">
        <v>8</v>
      </c>
      <c r="F110" s="271" t="s">
        <v>1</v>
      </c>
      <c r="G110" s="271" t="s">
        <v>2</v>
      </c>
      <c r="H110" s="271" t="s">
        <v>15</v>
      </c>
      <c r="I110" s="141" t="s">
        <v>3</v>
      </c>
      <c r="J110" s="271" t="s">
        <v>4</v>
      </c>
      <c r="K110" s="271" t="s">
        <v>5</v>
      </c>
      <c r="L110" s="271" t="s">
        <v>12</v>
      </c>
      <c r="M110" s="271" t="s">
        <v>6</v>
      </c>
      <c r="N110" s="123"/>
    </row>
    <row r="111" spans="1:14">
      <c r="A111" s="120">
        <v>10261</v>
      </c>
      <c r="B111" s="813" t="s">
        <v>1149</v>
      </c>
      <c r="C111" s="813" t="s">
        <v>217</v>
      </c>
      <c r="D111" s="813" t="s">
        <v>514</v>
      </c>
      <c r="E111" s="813" t="s">
        <v>129</v>
      </c>
      <c r="F111" s="90">
        <f>7000*1.0936</f>
        <v>7655.1999999999989</v>
      </c>
      <c r="G111" s="120" t="s">
        <v>27</v>
      </c>
      <c r="H111" s="79"/>
      <c r="I111" s="80">
        <v>500</v>
      </c>
      <c r="J111" s="81">
        <v>22</v>
      </c>
      <c r="K111" s="81">
        <f t="shared" ref="K111" si="23">I111*J111</f>
        <v>11000</v>
      </c>
      <c r="L111" s="85"/>
      <c r="M111" s="85"/>
      <c r="N111" s="269"/>
    </row>
    <row r="112" spans="1:14">
      <c r="A112" s="120"/>
      <c r="B112" s="120"/>
      <c r="C112" s="120"/>
      <c r="D112" s="120"/>
      <c r="E112" s="120"/>
      <c r="F112" s="98"/>
      <c r="G112" s="83" t="s">
        <v>49</v>
      </c>
      <c r="H112" s="79"/>
      <c r="I112" s="80">
        <v>40</v>
      </c>
      <c r="J112" s="81">
        <v>34</v>
      </c>
      <c r="K112" s="81">
        <f t="shared" ref="K112:K113" si="24">I112*J112</f>
        <v>1360</v>
      </c>
      <c r="L112" s="85"/>
      <c r="M112" s="85"/>
      <c r="N112" s="269"/>
    </row>
    <row r="113" spans="1:14">
      <c r="A113" s="120"/>
      <c r="B113" s="85"/>
      <c r="C113" s="85"/>
      <c r="D113" s="85"/>
      <c r="E113" s="85"/>
      <c r="F113" s="85"/>
      <c r="G113" s="120" t="s">
        <v>19</v>
      </c>
      <c r="H113" s="79"/>
      <c r="I113" s="80">
        <v>12</v>
      </c>
      <c r="J113" s="81">
        <v>80</v>
      </c>
      <c r="K113" s="81">
        <f t="shared" si="24"/>
        <v>960</v>
      </c>
      <c r="L113" s="85"/>
      <c r="M113" s="85"/>
      <c r="N113" s="269"/>
    </row>
    <row r="114" spans="1:14">
      <c r="A114" s="120"/>
      <c r="B114" s="85"/>
      <c r="C114" s="85"/>
      <c r="D114" s="85"/>
      <c r="E114" s="271" t="s">
        <v>9</v>
      </c>
      <c r="F114" s="110">
        <f>SUM(F111:F113)</f>
        <v>7655.1999999999989</v>
      </c>
      <c r="G114" s="271"/>
      <c r="H114" s="271"/>
      <c r="I114" s="125"/>
      <c r="J114" s="97"/>
      <c r="K114" s="111">
        <f>SUM(K111:K113)</f>
        <v>13320</v>
      </c>
      <c r="L114" s="111">
        <f>K114/F114</f>
        <v>1.7399937297523254</v>
      </c>
      <c r="M114" s="102"/>
      <c r="N114" s="71"/>
    </row>
    <row r="115" spans="1:14">
      <c r="A115" s="120">
        <v>10260</v>
      </c>
      <c r="B115" s="813" t="s">
        <v>1131</v>
      </c>
      <c r="C115" s="813" t="s">
        <v>217</v>
      </c>
      <c r="D115" s="813" t="s">
        <v>514</v>
      </c>
      <c r="E115" s="813" t="s">
        <v>1088</v>
      </c>
      <c r="F115" s="90">
        <f>8000*1.0936</f>
        <v>8748.7999999999993</v>
      </c>
      <c r="G115" s="120" t="s">
        <v>27</v>
      </c>
      <c r="H115" s="79"/>
      <c r="I115" s="80">
        <v>300</v>
      </c>
      <c r="J115" s="81">
        <v>22</v>
      </c>
      <c r="K115" s="81">
        <f t="shared" ref="K115:K117" si="25">I115*J115</f>
        <v>6600</v>
      </c>
      <c r="L115" s="85"/>
      <c r="M115" s="85"/>
      <c r="N115" s="269"/>
    </row>
    <row r="116" spans="1:14">
      <c r="A116" s="120"/>
      <c r="B116" s="120"/>
      <c r="C116" s="120"/>
      <c r="D116" s="120"/>
      <c r="E116" s="120"/>
      <c r="F116" s="98"/>
      <c r="G116" s="83" t="s">
        <v>49</v>
      </c>
      <c r="H116" s="79"/>
      <c r="I116" s="80">
        <v>40</v>
      </c>
      <c r="J116" s="81">
        <v>34</v>
      </c>
      <c r="K116" s="81">
        <f t="shared" si="25"/>
        <v>1360</v>
      </c>
      <c r="L116" s="85"/>
      <c r="M116" s="85"/>
      <c r="N116" s="269"/>
    </row>
    <row r="117" spans="1:14">
      <c r="A117" s="120"/>
      <c r="B117" s="85"/>
      <c r="C117" s="85"/>
      <c r="D117" s="85"/>
      <c r="E117" s="85"/>
      <c r="F117" s="85"/>
      <c r="G117" s="120" t="s">
        <v>19</v>
      </c>
      <c r="H117" s="79"/>
      <c r="I117" s="80">
        <v>12</v>
      </c>
      <c r="J117" s="81">
        <v>80</v>
      </c>
      <c r="K117" s="81">
        <f t="shared" si="25"/>
        <v>960</v>
      </c>
      <c r="L117" s="85"/>
      <c r="M117" s="85"/>
      <c r="N117" s="269"/>
    </row>
    <row r="118" spans="1:14">
      <c r="A118" s="120"/>
      <c r="B118" s="85"/>
      <c r="C118" s="85"/>
      <c r="D118" s="85"/>
      <c r="E118" s="271" t="s">
        <v>9</v>
      </c>
      <c r="F118" s="110">
        <f>SUM(F115:F117)</f>
        <v>8748.7999999999993</v>
      </c>
      <c r="G118" s="271"/>
      <c r="H118" s="271"/>
      <c r="I118" s="125"/>
      <c r="J118" s="97"/>
      <c r="K118" s="111">
        <f>SUM(K115:K117)</f>
        <v>8920</v>
      </c>
      <c r="L118" s="111">
        <f>K118/F118</f>
        <v>1.0195683979517192</v>
      </c>
      <c r="M118" s="85"/>
      <c r="N118" s="269"/>
    </row>
    <row r="119" spans="1:14">
      <c r="A119" s="120">
        <v>10261</v>
      </c>
      <c r="B119" s="813" t="s">
        <v>1121</v>
      </c>
      <c r="C119" s="813" t="s">
        <v>1033</v>
      </c>
      <c r="D119" s="813" t="s">
        <v>1034</v>
      </c>
      <c r="E119" s="813" t="s">
        <v>1012</v>
      </c>
      <c r="F119" s="90">
        <f>1980*1.0936</f>
        <v>2165.328</v>
      </c>
      <c r="G119" s="120" t="s">
        <v>27</v>
      </c>
      <c r="H119" s="79"/>
      <c r="I119" s="80">
        <v>250</v>
      </c>
      <c r="J119" s="81">
        <v>22</v>
      </c>
      <c r="K119" s="81">
        <f t="shared" ref="K119:K121" si="26">I119*J119</f>
        <v>5500</v>
      </c>
      <c r="L119" s="85"/>
      <c r="M119" s="85"/>
      <c r="N119" s="269"/>
    </row>
    <row r="120" spans="1:14">
      <c r="A120" s="120"/>
      <c r="B120" s="85"/>
      <c r="C120" s="85"/>
      <c r="D120" s="85"/>
      <c r="E120" s="85"/>
      <c r="F120" s="85"/>
      <c r="G120" s="83" t="s">
        <v>49</v>
      </c>
      <c r="H120" s="79"/>
      <c r="I120" s="80">
        <v>20</v>
      </c>
      <c r="J120" s="81">
        <v>34</v>
      </c>
      <c r="K120" s="81">
        <f t="shared" si="26"/>
        <v>680</v>
      </c>
      <c r="L120" s="85"/>
      <c r="M120" s="85"/>
      <c r="N120" s="269"/>
    </row>
    <row r="121" spans="1:14">
      <c r="A121" s="120"/>
      <c r="B121" s="85"/>
      <c r="C121" s="85"/>
      <c r="D121" s="85"/>
      <c r="E121" s="85"/>
      <c r="F121" s="85"/>
      <c r="G121" s="120" t="s">
        <v>19</v>
      </c>
      <c r="H121" s="79"/>
      <c r="I121" s="80">
        <v>6</v>
      </c>
      <c r="J121" s="81">
        <v>80</v>
      </c>
      <c r="K121" s="81">
        <f t="shared" si="26"/>
        <v>480</v>
      </c>
      <c r="L121" s="85"/>
      <c r="M121" s="85"/>
      <c r="N121" s="269"/>
    </row>
    <row r="122" spans="1:14">
      <c r="A122" s="120"/>
      <c r="B122" s="85"/>
      <c r="C122" s="85"/>
      <c r="D122" s="85"/>
      <c r="E122" s="271" t="s">
        <v>9</v>
      </c>
      <c r="F122" s="110">
        <f>SUM(F119:F121)</f>
        <v>2165.328</v>
      </c>
      <c r="G122" s="271"/>
      <c r="H122" s="271"/>
      <c r="I122" s="125"/>
      <c r="J122" s="97"/>
      <c r="K122" s="111">
        <f>SUM(K119:K121)</f>
        <v>6660</v>
      </c>
      <c r="L122" s="111">
        <f>K122/F122</f>
        <v>3.0757464919864335</v>
      </c>
      <c r="M122" s="85"/>
      <c r="N122" s="269"/>
    </row>
    <row r="123" spans="1:14">
      <c r="A123" s="120">
        <v>10344</v>
      </c>
      <c r="B123" s="813" t="s">
        <v>1108</v>
      </c>
      <c r="C123" s="813" t="s">
        <v>1033</v>
      </c>
      <c r="D123" s="813" t="s">
        <v>1243</v>
      </c>
      <c r="E123" s="813" t="s">
        <v>205</v>
      </c>
      <c r="F123" s="90">
        <f>2160*1.0936</f>
        <v>2362.1759999999999</v>
      </c>
      <c r="G123" s="120" t="s">
        <v>27</v>
      </c>
      <c r="H123" s="79"/>
      <c r="I123" s="80">
        <v>125</v>
      </c>
      <c r="J123" s="81">
        <v>22</v>
      </c>
      <c r="K123" s="81">
        <f t="shared" ref="K123:K125" si="27">I123*J123</f>
        <v>2750</v>
      </c>
      <c r="L123" s="85"/>
      <c r="M123" s="85"/>
      <c r="N123" s="269"/>
    </row>
    <row r="124" spans="1:14">
      <c r="A124" s="120"/>
      <c r="B124" s="85"/>
      <c r="C124" s="85"/>
      <c r="D124" s="85"/>
      <c r="E124" s="85"/>
      <c r="F124" s="85"/>
      <c r="G124" s="83" t="s">
        <v>49</v>
      </c>
      <c r="H124" s="79"/>
      <c r="I124" s="80">
        <v>12</v>
      </c>
      <c r="J124" s="81">
        <v>34</v>
      </c>
      <c r="K124" s="81">
        <f t="shared" si="27"/>
        <v>408</v>
      </c>
      <c r="L124" s="85"/>
      <c r="M124" s="85"/>
      <c r="N124" s="269"/>
    </row>
    <row r="125" spans="1:14">
      <c r="A125" s="120"/>
      <c r="B125" s="85"/>
      <c r="C125" s="85"/>
      <c r="D125" s="85"/>
      <c r="E125" s="85"/>
      <c r="F125" s="85"/>
      <c r="G125" s="120" t="s">
        <v>19</v>
      </c>
      <c r="H125" s="79"/>
      <c r="I125" s="80">
        <v>3.6</v>
      </c>
      <c r="J125" s="81">
        <v>80</v>
      </c>
      <c r="K125" s="81">
        <f t="shared" si="27"/>
        <v>288</v>
      </c>
      <c r="L125" s="85"/>
      <c r="M125" s="85"/>
      <c r="N125" s="269"/>
    </row>
    <row r="126" spans="1:14">
      <c r="A126" s="120"/>
      <c r="B126" s="85"/>
      <c r="C126" s="85"/>
      <c r="D126" s="85"/>
      <c r="E126" s="271" t="s">
        <v>9</v>
      </c>
      <c r="F126" s="110">
        <f>SUM(F123:F125)</f>
        <v>2362.1759999999999</v>
      </c>
      <c r="G126" s="271"/>
      <c r="H126" s="271"/>
      <c r="I126" s="125"/>
      <c r="J126" s="97"/>
      <c r="K126" s="111">
        <f>SUM(K123:K125)</f>
        <v>3446</v>
      </c>
      <c r="L126" s="111">
        <f>K126/F126</f>
        <v>1.4588244059714432</v>
      </c>
      <c r="M126" s="85"/>
      <c r="N126" s="269"/>
    </row>
    <row r="127" spans="1:14">
      <c r="A127" s="270"/>
      <c r="B127" s="270"/>
      <c r="C127" s="270"/>
      <c r="D127" s="126" t="s">
        <v>30</v>
      </c>
      <c r="E127" s="142"/>
      <c r="F127" s="127">
        <f>F114+F118+F122+F126</f>
        <v>20931.504000000001</v>
      </c>
      <c r="G127" s="128"/>
      <c r="H127" s="128"/>
      <c r="I127" s="128"/>
      <c r="J127" s="128"/>
      <c r="K127" s="127">
        <f>K114+K118+K122+K126</f>
        <v>32346</v>
      </c>
      <c r="L127" s="129">
        <f>K127/F127</f>
        <v>1.5453261265888967</v>
      </c>
      <c r="M127" s="131"/>
      <c r="N127" s="71"/>
    </row>
    <row r="128" spans="1:14">
      <c r="A128" s="70" t="s">
        <v>11</v>
      </c>
      <c r="B128" s="70"/>
      <c r="C128" s="70"/>
      <c r="D128" s="70"/>
      <c r="E128" s="70"/>
      <c r="F128" s="71"/>
      <c r="G128" s="71"/>
      <c r="H128" s="71"/>
      <c r="I128" s="71"/>
      <c r="J128" s="71"/>
      <c r="K128" s="824" t="s">
        <v>1257</v>
      </c>
      <c r="L128" s="824"/>
      <c r="M128" s="824"/>
      <c r="N128" s="71"/>
    </row>
    <row r="129" spans="1:14">
      <c r="A129" s="271" t="s">
        <v>0</v>
      </c>
      <c r="B129" s="271" t="s">
        <v>7</v>
      </c>
      <c r="C129" s="271" t="s">
        <v>13</v>
      </c>
      <c r="D129" s="271" t="s">
        <v>14</v>
      </c>
      <c r="E129" s="271" t="s">
        <v>8</v>
      </c>
      <c r="F129" s="271" t="s">
        <v>1</v>
      </c>
      <c r="G129" s="271" t="s">
        <v>2</v>
      </c>
      <c r="H129" s="271" t="s">
        <v>15</v>
      </c>
      <c r="I129" s="271" t="s">
        <v>3</v>
      </c>
      <c r="J129" s="271" t="s">
        <v>4</v>
      </c>
      <c r="K129" s="271" t="s">
        <v>5</v>
      </c>
      <c r="L129" s="271" t="s">
        <v>12</v>
      </c>
      <c r="M129" s="271" t="s">
        <v>6</v>
      </c>
      <c r="N129" s="123"/>
    </row>
    <row r="130" spans="1:14">
      <c r="A130" s="120">
        <v>10405</v>
      </c>
      <c r="B130" s="813" t="s">
        <v>1131</v>
      </c>
      <c r="C130" s="813" t="s">
        <v>217</v>
      </c>
      <c r="D130" s="813" t="s">
        <v>514</v>
      </c>
      <c r="E130" s="813" t="s">
        <v>1088</v>
      </c>
      <c r="F130" s="90">
        <f>12000*1.0936</f>
        <v>13123.199999999999</v>
      </c>
      <c r="G130" s="811" t="s">
        <v>1253</v>
      </c>
      <c r="H130" s="79"/>
      <c r="I130" s="81">
        <f>2+1.5</f>
        <v>3.5</v>
      </c>
      <c r="J130" s="81">
        <v>279</v>
      </c>
      <c r="K130" s="81">
        <f t="shared" ref="K130:K132" si="28">I130*J130</f>
        <v>976.5</v>
      </c>
      <c r="L130" s="79"/>
      <c r="M130" s="102"/>
      <c r="N130" s="71"/>
    </row>
    <row r="131" spans="1:14">
      <c r="A131" s="85"/>
      <c r="B131" s="85"/>
      <c r="C131" s="85"/>
      <c r="D131" s="85"/>
      <c r="E131" s="85"/>
      <c r="F131" s="98"/>
      <c r="G131" s="173" t="s">
        <v>298</v>
      </c>
      <c r="H131" s="79"/>
      <c r="I131" s="80">
        <f>20+15</f>
        <v>35</v>
      </c>
      <c r="J131" s="81">
        <v>306</v>
      </c>
      <c r="K131" s="94">
        <f t="shared" si="28"/>
        <v>10710</v>
      </c>
      <c r="L131" s="79"/>
      <c r="M131" s="102"/>
      <c r="N131" s="71"/>
    </row>
    <row r="132" spans="1:14">
      <c r="A132" s="599"/>
      <c r="B132" s="599"/>
      <c r="C132" s="599"/>
      <c r="D132" s="599"/>
      <c r="E132" s="599"/>
      <c r="F132" s="98"/>
      <c r="G132" s="173" t="s">
        <v>799</v>
      </c>
      <c r="H132" s="79"/>
      <c r="I132" s="188">
        <f>20+15</f>
        <v>35</v>
      </c>
      <c r="J132" s="81">
        <v>255</v>
      </c>
      <c r="K132" s="94">
        <f t="shared" si="28"/>
        <v>8925</v>
      </c>
      <c r="L132" s="79"/>
      <c r="M132" s="102"/>
      <c r="N132" s="71"/>
    </row>
    <row r="133" spans="1:14">
      <c r="A133" s="85"/>
      <c r="B133" s="85"/>
      <c r="C133" s="85"/>
      <c r="D133" s="85"/>
      <c r="E133" s="271" t="s">
        <v>9</v>
      </c>
      <c r="F133" s="110">
        <f>SUM(F130:F132)</f>
        <v>13123.199999999999</v>
      </c>
      <c r="G133" s="271"/>
      <c r="H133" s="271"/>
      <c r="I133" s="97"/>
      <c r="J133" s="97"/>
      <c r="K133" s="111">
        <f>SUM(K130:K132)</f>
        <v>20611.5</v>
      </c>
      <c r="L133" s="111">
        <f>K133/F133</f>
        <v>1.5706153986832481</v>
      </c>
      <c r="M133" s="102"/>
      <c r="N133" s="71"/>
    </row>
    <row r="134" spans="1:14">
      <c r="A134" s="85">
        <v>8975</v>
      </c>
      <c r="B134" s="813" t="s">
        <v>1228</v>
      </c>
      <c r="C134" s="89" t="s">
        <v>1026</v>
      </c>
      <c r="D134" s="89" t="s">
        <v>1229</v>
      </c>
      <c r="E134" s="813" t="s">
        <v>93</v>
      </c>
      <c r="F134" s="98">
        <f>1450*1.0936</f>
        <v>1585.7199999999998</v>
      </c>
      <c r="G134" s="811" t="s">
        <v>1192</v>
      </c>
      <c r="H134" s="79"/>
      <c r="I134" s="81">
        <v>6</v>
      </c>
      <c r="J134" s="81">
        <v>342</v>
      </c>
      <c r="K134" s="81">
        <f t="shared" ref="K134:K136" si="29">I134*J134</f>
        <v>2052</v>
      </c>
      <c r="L134" s="102"/>
      <c r="M134" s="102"/>
      <c r="N134" s="71"/>
    </row>
    <row r="135" spans="1:14">
      <c r="A135" s="85"/>
      <c r="B135" s="813" t="s">
        <v>1027</v>
      </c>
      <c r="C135" s="89" t="s">
        <v>1026</v>
      </c>
      <c r="D135" s="89" t="s">
        <v>1116</v>
      </c>
      <c r="E135" s="599" t="s">
        <v>232</v>
      </c>
      <c r="F135" s="98">
        <f>2400*1.0936</f>
        <v>2624.64</v>
      </c>
      <c r="G135" s="811" t="s">
        <v>1253</v>
      </c>
      <c r="H135" s="79"/>
      <c r="I135" s="81">
        <v>20</v>
      </c>
      <c r="J135" s="81">
        <v>279</v>
      </c>
      <c r="K135" s="81">
        <f t="shared" si="29"/>
        <v>5580</v>
      </c>
      <c r="L135" s="79"/>
      <c r="M135" s="102"/>
      <c r="N135" s="71"/>
    </row>
    <row r="136" spans="1:14">
      <c r="A136" s="85"/>
      <c r="B136" s="813" t="s">
        <v>1232</v>
      </c>
      <c r="C136" s="89" t="s">
        <v>1026</v>
      </c>
      <c r="D136" s="89" t="s">
        <v>1229</v>
      </c>
      <c r="E136" s="813" t="s">
        <v>93</v>
      </c>
      <c r="F136" s="98">
        <f>750*1.0936</f>
        <v>820.19999999999993</v>
      </c>
      <c r="G136" s="95" t="s">
        <v>1255</v>
      </c>
      <c r="H136" s="79"/>
      <c r="I136" s="80">
        <f>12+5</f>
        <v>17</v>
      </c>
      <c r="J136" s="81">
        <v>295</v>
      </c>
      <c r="K136" s="81">
        <f t="shared" si="29"/>
        <v>5015</v>
      </c>
      <c r="L136" s="102"/>
      <c r="M136" s="102"/>
      <c r="N136" s="71"/>
    </row>
    <row r="137" spans="1:14">
      <c r="A137" s="85"/>
      <c r="B137" s="85"/>
      <c r="C137" s="85"/>
      <c r="D137" s="85"/>
      <c r="E137" s="271" t="s">
        <v>9</v>
      </c>
      <c r="F137" s="110">
        <f>SUM(F134:F136)</f>
        <v>5030.5599999999995</v>
      </c>
      <c r="G137" s="271"/>
      <c r="H137" s="271"/>
      <c r="I137" s="97"/>
      <c r="J137" s="97"/>
      <c r="K137" s="111">
        <f>SUM(K134:K136)</f>
        <v>12647</v>
      </c>
      <c r="L137" s="111">
        <f>K137/F137</f>
        <v>2.5140342228300629</v>
      </c>
      <c r="M137" s="102"/>
      <c r="N137" s="71"/>
    </row>
    <row r="138" spans="1:14">
      <c r="A138" s="120">
        <v>10404</v>
      </c>
      <c r="B138" s="813" t="s">
        <v>904</v>
      </c>
      <c r="C138" s="813" t="s">
        <v>217</v>
      </c>
      <c r="D138" s="813" t="s">
        <v>1258</v>
      </c>
      <c r="E138" s="813" t="s">
        <v>1259</v>
      </c>
      <c r="F138" s="90">
        <f>3700*1.0936</f>
        <v>4046.3199999999997</v>
      </c>
      <c r="G138" s="811" t="s">
        <v>1253</v>
      </c>
      <c r="H138" s="79"/>
      <c r="I138" s="81">
        <v>3</v>
      </c>
      <c r="J138" s="81">
        <v>279</v>
      </c>
      <c r="K138" s="81">
        <f t="shared" ref="K138:K140" si="30">I138*J138</f>
        <v>837</v>
      </c>
      <c r="L138" s="102"/>
      <c r="M138" s="102"/>
      <c r="N138" s="71"/>
    </row>
    <row r="139" spans="1:14">
      <c r="A139" s="85"/>
      <c r="B139" s="85"/>
      <c r="C139" s="85"/>
      <c r="D139" s="85"/>
      <c r="E139" s="120"/>
      <c r="F139" s="98"/>
      <c r="G139" s="95" t="s">
        <v>1252</v>
      </c>
      <c r="H139" s="79"/>
      <c r="I139" s="80">
        <v>3</v>
      </c>
      <c r="J139" s="81">
        <v>281</v>
      </c>
      <c r="K139" s="94">
        <f t="shared" si="30"/>
        <v>843</v>
      </c>
      <c r="L139" s="79"/>
      <c r="M139" s="102"/>
      <c r="N139" s="71"/>
    </row>
    <row r="140" spans="1:14">
      <c r="A140" s="85"/>
      <c r="B140" s="85"/>
      <c r="C140" s="85"/>
      <c r="D140" s="85"/>
      <c r="E140" s="85"/>
      <c r="F140" s="98"/>
      <c r="G140" s="811" t="s">
        <v>587</v>
      </c>
      <c r="H140" s="79"/>
      <c r="I140" s="81">
        <v>10</v>
      </c>
      <c r="J140" s="81">
        <v>350</v>
      </c>
      <c r="K140" s="81">
        <f t="shared" si="30"/>
        <v>3500</v>
      </c>
      <c r="L140" s="79"/>
      <c r="M140" s="102"/>
      <c r="N140" s="71"/>
    </row>
    <row r="141" spans="1:14">
      <c r="A141" s="85"/>
      <c r="B141" s="85"/>
      <c r="C141" s="85"/>
      <c r="D141" s="85"/>
      <c r="E141" s="271" t="s">
        <v>9</v>
      </c>
      <c r="F141" s="110">
        <f>SUM(F138:F140)</f>
        <v>4046.3199999999997</v>
      </c>
      <c r="G141" s="271"/>
      <c r="H141" s="271"/>
      <c r="I141" s="97"/>
      <c r="J141" s="97"/>
      <c r="K141" s="111">
        <f>SUM(K138:K140)</f>
        <v>5180</v>
      </c>
      <c r="L141" s="111">
        <f>K141/F141</f>
        <v>1.280175566934894</v>
      </c>
      <c r="M141" s="102"/>
      <c r="N141" s="71"/>
    </row>
    <row r="142" spans="1:14">
      <c r="A142" s="85">
        <v>10402</v>
      </c>
      <c r="B142" s="813" t="s">
        <v>954</v>
      </c>
      <c r="C142" s="813" t="s">
        <v>494</v>
      </c>
      <c r="D142" s="813" t="s">
        <v>1169</v>
      </c>
      <c r="E142" s="813" t="s">
        <v>102</v>
      </c>
      <c r="F142" s="222">
        <f>2400*1.0936</f>
        <v>2624.64</v>
      </c>
      <c r="G142" s="95" t="s">
        <v>1252</v>
      </c>
      <c r="H142" s="79"/>
      <c r="I142" s="80">
        <v>2</v>
      </c>
      <c r="J142" s="81">
        <v>281</v>
      </c>
      <c r="K142" s="94">
        <f t="shared" ref="K142:K143" si="31">I142*J142</f>
        <v>562</v>
      </c>
      <c r="L142" s="79"/>
      <c r="M142" s="102"/>
      <c r="N142" s="71"/>
    </row>
    <row r="143" spans="1:14">
      <c r="A143" s="85"/>
      <c r="B143" s="85"/>
      <c r="C143" s="85"/>
      <c r="D143" s="85"/>
      <c r="E143" s="120"/>
      <c r="F143" s="110"/>
      <c r="G143" s="811" t="s">
        <v>587</v>
      </c>
      <c r="H143" s="79"/>
      <c r="I143" s="81">
        <v>6</v>
      </c>
      <c r="J143" s="81">
        <v>350</v>
      </c>
      <c r="K143" s="81">
        <f t="shared" si="31"/>
        <v>2100</v>
      </c>
      <c r="L143" s="79"/>
      <c r="M143" s="102"/>
      <c r="N143" s="71"/>
    </row>
    <row r="144" spans="1:14">
      <c r="A144" s="85"/>
      <c r="B144" s="85"/>
      <c r="C144" s="85"/>
      <c r="D144" s="85"/>
      <c r="E144" s="271" t="s">
        <v>9</v>
      </c>
      <c r="F144" s="110">
        <f>SUM(F142:F143)</f>
        <v>2624.64</v>
      </c>
      <c r="G144" s="271"/>
      <c r="H144" s="271"/>
      <c r="I144" s="97"/>
      <c r="J144" s="97"/>
      <c r="K144" s="111">
        <f>SUM(K142:K143)</f>
        <v>2662</v>
      </c>
      <c r="L144" s="111">
        <f>K144/F144</f>
        <v>1.0142343330894905</v>
      </c>
      <c r="M144" s="102"/>
      <c r="N144" s="71"/>
    </row>
    <row r="145" spans="1:14">
      <c r="A145" s="599">
        <v>8078</v>
      </c>
      <c r="B145" s="813" t="s">
        <v>269</v>
      </c>
      <c r="C145" s="813" t="s">
        <v>217</v>
      </c>
      <c r="D145" s="89" t="s">
        <v>1229</v>
      </c>
      <c r="E145" s="120"/>
      <c r="F145" s="222">
        <f>200*1.0936</f>
        <v>218.71999999999997</v>
      </c>
      <c r="G145" s="95" t="s">
        <v>1252</v>
      </c>
      <c r="H145" s="79"/>
      <c r="I145" s="80">
        <v>4</v>
      </c>
      <c r="J145" s="81">
        <v>281</v>
      </c>
      <c r="K145" s="94">
        <f t="shared" ref="K145:K147" si="32">I145*J145</f>
        <v>1124</v>
      </c>
      <c r="L145" s="102"/>
      <c r="M145" s="102"/>
      <c r="N145" s="71"/>
    </row>
    <row r="146" spans="1:14">
      <c r="A146" s="85"/>
      <c r="B146" s="85"/>
      <c r="C146" s="85"/>
      <c r="D146" s="85"/>
      <c r="E146" s="120"/>
      <c r="F146" s="110"/>
      <c r="G146" s="101" t="s">
        <v>1272</v>
      </c>
      <c r="H146" s="79"/>
      <c r="I146" s="81">
        <v>4</v>
      </c>
      <c r="J146" s="81">
        <v>288</v>
      </c>
      <c r="K146" s="81">
        <f t="shared" si="32"/>
        <v>1152</v>
      </c>
      <c r="L146" s="102"/>
      <c r="M146" s="102"/>
      <c r="N146" s="71"/>
    </row>
    <row r="147" spans="1:14">
      <c r="A147" s="599"/>
      <c r="B147" s="599"/>
      <c r="C147" s="599"/>
      <c r="D147" s="599"/>
      <c r="E147" s="813"/>
      <c r="F147" s="110"/>
      <c r="G147" s="173" t="s">
        <v>799</v>
      </c>
      <c r="H147" s="79"/>
      <c r="I147" s="188">
        <v>5</v>
      </c>
      <c r="J147" s="81">
        <v>255</v>
      </c>
      <c r="K147" s="94">
        <f t="shared" si="32"/>
        <v>1275</v>
      </c>
      <c r="L147" s="79"/>
      <c r="M147" s="102"/>
      <c r="N147" s="71"/>
    </row>
    <row r="148" spans="1:14">
      <c r="A148" s="85"/>
      <c r="B148" s="85"/>
      <c r="C148" s="85"/>
      <c r="D148" s="85"/>
      <c r="E148" s="271" t="s">
        <v>9</v>
      </c>
      <c r="F148" s="110">
        <f>SUM(F145:F147)</f>
        <v>218.71999999999997</v>
      </c>
      <c r="G148" s="271"/>
      <c r="H148" s="271"/>
      <c r="I148" s="97"/>
      <c r="J148" s="97"/>
      <c r="K148" s="111">
        <f>SUM(K145:K147)</f>
        <v>3551</v>
      </c>
      <c r="L148" s="111">
        <f>K148/F148</f>
        <v>16.235369422092173</v>
      </c>
      <c r="M148" s="102"/>
      <c r="N148" s="71"/>
    </row>
    <row r="149" spans="1:14">
      <c r="A149" s="71"/>
      <c r="B149" s="71"/>
      <c r="C149" s="71"/>
      <c r="D149" s="126" t="s">
        <v>30</v>
      </c>
      <c r="E149" s="126"/>
      <c r="F149" s="127">
        <f>F133+F137+F141+F144+F148</f>
        <v>25043.439999999999</v>
      </c>
      <c r="G149" s="128"/>
      <c r="H149" s="128"/>
      <c r="I149" s="128"/>
      <c r="J149" s="128"/>
      <c r="K149" s="127">
        <f>K133+K137+K141+K144+K148</f>
        <v>44651.5</v>
      </c>
      <c r="L149" s="129">
        <f>K149/F149</f>
        <v>1.7829619253584972</v>
      </c>
      <c r="M149" s="71"/>
      <c r="N149" s="71"/>
    </row>
    <row r="150" spans="1:14">
      <c r="A150" s="70" t="s">
        <v>42</v>
      </c>
      <c r="B150" s="70"/>
      <c r="C150" s="70"/>
      <c r="D150" s="70"/>
      <c r="E150" s="70"/>
      <c r="F150" s="71"/>
      <c r="G150" s="71"/>
      <c r="H150" s="71"/>
      <c r="I150" s="71"/>
      <c r="J150" s="71"/>
      <c r="K150" s="824" t="s">
        <v>1257</v>
      </c>
      <c r="L150" s="824"/>
      <c r="M150" s="824"/>
      <c r="N150" s="71"/>
    </row>
    <row r="151" spans="1:14">
      <c r="A151" s="271"/>
      <c r="B151" s="271"/>
      <c r="C151" s="271"/>
      <c r="D151" s="271"/>
      <c r="E151" s="271"/>
      <c r="F151" s="271"/>
      <c r="G151" s="271" t="s">
        <v>2</v>
      </c>
      <c r="H151" s="271" t="s">
        <v>15</v>
      </c>
      <c r="I151" s="271" t="s">
        <v>3</v>
      </c>
      <c r="J151" s="271" t="s">
        <v>4</v>
      </c>
      <c r="K151" s="271" t="s">
        <v>5</v>
      </c>
      <c r="L151" s="271" t="s">
        <v>12</v>
      </c>
      <c r="M151" s="271" t="s">
        <v>6</v>
      </c>
      <c r="N151" s="123"/>
    </row>
    <row r="152" spans="1:14">
      <c r="A152" s="85">
        <v>7799</v>
      </c>
      <c r="B152" s="813" t="s">
        <v>830</v>
      </c>
      <c r="C152" s="813" t="s">
        <v>1264</v>
      </c>
      <c r="D152" s="813" t="s">
        <v>1265</v>
      </c>
      <c r="E152" s="120" t="s">
        <v>93</v>
      </c>
      <c r="F152" s="98">
        <f>7400*1.0936</f>
        <v>8092.6399999999994</v>
      </c>
      <c r="G152" s="812" t="s">
        <v>209</v>
      </c>
      <c r="H152" s="79"/>
      <c r="I152" s="80">
        <v>25</v>
      </c>
      <c r="J152" s="81">
        <v>350</v>
      </c>
      <c r="K152" s="81">
        <f t="shared" ref="K152:K154" si="33">I152*J152</f>
        <v>8750</v>
      </c>
      <c r="L152" s="102"/>
      <c r="M152" s="102"/>
      <c r="N152" s="71"/>
    </row>
    <row r="153" spans="1:14">
      <c r="A153" s="85"/>
      <c r="B153" s="85"/>
      <c r="C153" s="85"/>
      <c r="D153" s="85"/>
      <c r="E153" s="85"/>
      <c r="F153" s="98"/>
      <c r="G153" s="812" t="s">
        <v>215</v>
      </c>
      <c r="H153" s="109"/>
      <c r="I153" s="80">
        <v>3.5</v>
      </c>
      <c r="J153" s="81">
        <v>750</v>
      </c>
      <c r="K153" s="81">
        <f t="shared" si="33"/>
        <v>2625</v>
      </c>
      <c r="L153" s="102"/>
      <c r="M153" s="102"/>
      <c r="N153" s="71"/>
    </row>
    <row r="154" spans="1:14">
      <c r="A154" s="85"/>
      <c r="B154" s="85"/>
      <c r="C154" s="85"/>
      <c r="D154" s="85"/>
      <c r="E154" s="85"/>
      <c r="F154" s="98"/>
      <c r="G154" s="812" t="s">
        <v>677</v>
      </c>
      <c r="H154" s="813"/>
      <c r="I154" s="96">
        <v>1</v>
      </c>
      <c r="J154" s="81">
        <v>680</v>
      </c>
      <c r="K154" s="94">
        <f t="shared" si="33"/>
        <v>680</v>
      </c>
      <c r="L154" s="79"/>
      <c r="M154" s="102"/>
      <c r="N154" s="71"/>
    </row>
    <row r="155" spans="1:14">
      <c r="A155" s="85"/>
      <c r="B155" s="85"/>
      <c r="C155" s="85"/>
      <c r="D155" s="85"/>
      <c r="E155" s="85"/>
      <c r="F155" s="98"/>
      <c r="G155" s="811" t="s">
        <v>211</v>
      </c>
      <c r="H155" s="79"/>
      <c r="I155" s="113">
        <v>125</v>
      </c>
      <c r="J155" s="81">
        <v>120</v>
      </c>
      <c r="K155" s="81">
        <f>I155*J155</f>
        <v>15000</v>
      </c>
      <c r="L155" s="111"/>
      <c r="M155" s="102"/>
      <c r="N155" s="71"/>
    </row>
    <row r="156" spans="1:14">
      <c r="A156" s="85"/>
      <c r="B156" s="85"/>
      <c r="C156" s="85"/>
      <c r="D156" s="85"/>
      <c r="E156" s="85"/>
      <c r="F156" s="98"/>
      <c r="G156" s="811" t="s">
        <v>45</v>
      </c>
      <c r="H156" s="79"/>
      <c r="I156" s="80">
        <v>7.5</v>
      </c>
      <c r="J156" s="81">
        <v>45</v>
      </c>
      <c r="K156" s="81">
        <f t="shared" ref="K156:K157" si="34">I156*J156</f>
        <v>337.5</v>
      </c>
      <c r="L156" s="111"/>
      <c r="M156" s="102"/>
      <c r="N156" s="71"/>
    </row>
    <row r="157" spans="1:14">
      <c r="A157" s="85"/>
      <c r="B157" s="85"/>
      <c r="C157" s="85"/>
      <c r="D157" s="85"/>
      <c r="E157" s="85"/>
      <c r="F157" s="98"/>
      <c r="G157" s="811" t="s">
        <v>213</v>
      </c>
      <c r="H157" s="79"/>
      <c r="I157" s="80">
        <v>7.5</v>
      </c>
      <c r="J157" s="81">
        <v>348</v>
      </c>
      <c r="K157" s="81">
        <f t="shared" si="34"/>
        <v>2610</v>
      </c>
      <c r="L157" s="111"/>
      <c r="M157" s="102"/>
      <c r="N157" s="71"/>
    </row>
    <row r="158" spans="1:14">
      <c r="A158" s="85"/>
      <c r="B158" s="85"/>
      <c r="C158" s="85"/>
      <c r="D158" s="85"/>
      <c r="E158" s="271" t="s">
        <v>9</v>
      </c>
      <c r="F158" s="110">
        <f>SUM(F152:F157)</f>
        <v>8092.6399999999994</v>
      </c>
      <c r="G158" s="271"/>
      <c r="H158" s="271"/>
      <c r="I158" s="97"/>
      <c r="J158" s="97"/>
      <c r="K158" s="111">
        <f>SUM(K152:K157)</f>
        <v>30002.5</v>
      </c>
      <c r="L158" s="111">
        <f>K158/F158</f>
        <v>3.7073810276992432</v>
      </c>
      <c r="M158" s="102"/>
      <c r="N158" s="71"/>
    </row>
    <row r="159" spans="1:14">
      <c r="A159" s="85">
        <v>7800</v>
      </c>
      <c r="B159" s="813" t="s">
        <v>1131</v>
      </c>
      <c r="C159" s="813" t="s">
        <v>217</v>
      </c>
      <c r="D159" s="813" t="s">
        <v>514</v>
      </c>
      <c r="E159" s="813" t="s">
        <v>1088</v>
      </c>
      <c r="F159" s="90">
        <f>5000*1.0936</f>
        <v>5467.9999999999991</v>
      </c>
      <c r="G159" s="812" t="s">
        <v>209</v>
      </c>
      <c r="H159" s="79"/>
      <c r="I159" s="80">
        <v>0.15</v>
      </c>
      <c r="J159" s="81">
        <v>350</v>
      </c>
      <c r="K159" s="81">
        <f t="shared" ref="K159:K161" si="35">I159*J159</f>
        <v>52.5</v>
      </c>
      <c r="L159" s="102"/>
      <c r="M159" s="102"/>
      <c r="N159" s="71"/>
    </row>
    <row r="160" spans="1:14">
      <c r="A160" s="85"/>
      <c r="B160" s="85"/>
      <c r="C160" s="85"/>
      <c r="D160" s="85"/>
      <c r="E160" s="85"/>
      <c r="F160" s="98"/>
      <c r="G160" s="812" t="s">
        <v>888</v>
      </c>
      <c r="H160" s="109"/>
      <c r="I160" s="80">
        <v>0.2</v>
      </c>
      <c r="J160" s="81">
        <v>690</v>
      </c>
      <c r="K160" s="81">
        <f t="shared" si="35"/>
        <v>138</v>
      </c>
      <c r="L160" s="102"/>
      <c r="M160" s="102"/>
      <c r="N160" s="71"/>
    </row>
    <row r="161" spans="1:14">
      <c r="A161" s="85"/>
      <c r="B161" s="85"/>
      <c r="C161" s="85"/>
      <c r="D161" s="85"/>
      <c r="E161" s="85"/>
      <c r="F161" s="98"/>
      <c r="G161" s="812" t="s">
        <v>123</v>
      </c>
      <c r="H161" s="813"/>
      <c r="I161" s="96">
        <v>0.8</v>
      </c>
      <c r="J161" s="81">
        <v>750</v>
      </c>
      <c r="K161" s="94">
        <f t="shared" si="35"/>
        <v>600</v>
      </c>
      <c r="L161" s="79"/>
      <c r="M161" s="102"/>
      <c r="N161" s="71"/>
    </row>
    <row r="162" spans="1:14">
      <c r="A162" s="85"/>
      <c r="B162" s="85"/>
      <c r="C162" s="85"/>
      <c r="D162" s="85"/>
      <c r="E162" s="85"/>
      <c r="F162" s="98"/>
      <c r="G162" s="811" t="s">
        <v>211</v>
      </c>
      <c r="H162" s="79"/>
      <c r="I162" s="80">
        <v>9</v>
      </c>
      <c r="J162" s="81">
        <v>120</v>
      </c>
      <c r="K162" s="81">
        <f>I162*J162</f>
        <v>1080</v>
      </c>
      <c r="L162" s="102"/>
      <c r="M162" s="102"/>
      <c r="N162" s="71"/>
    </row>
    <row r="163" spans="1:14">
      <c r="A163" s="85"/>
      <c r="B163" s="85"/>
      <c r="C163" s="85"/>
      <c r="D163" s="85"/>
      <c r="E163" s="85"/>
      <c r="F163" s="98"/>
      <c r="G163" s="811" t="s">
        <v>45</v>
      </c>
      <c r="H163" s="79"/>
      <c r="I163" s="80">
        <v>0.5</v>
      </c>
      <c r="J163" s="81">
        <v>45</v>
      </c>
      <c r="K163" s="81">
        <f t="shared" ref="K163:K164" si="36">I163*J163</f>
        <v>22.5</v>
      </c>
      <c r="L163" s="102"/>
      <c r="M163" s="102"/>
      <c r="N163" s="71"/>
    </row>
    <row r="164" spans="1:14">
      <c r="A164" s="85"/>
      <c r="B164" s="85"/>
      <c r="C164" s="85"/>
      <c r="D164" s="85"/>
      <c r="E164" s="85"/>
      <c r="F164" s="98"/>
      <c r="G164" s="811" t="s">
        <v>213</v>
      </c>
      <c r="H164" s="79"/>
      <c r="I164" s="80">
        <v>0.7</v>
      </c>
      <c r="J164" s="81">
        <v>348</v>
      </c>
      <c r="K164" s="81">
        <f t="shared" si="36"/>
        <v>243.6</v>
      </c>
      <c r="L164" s="102"/>
      <c r="M164" s="143"/>
      <c r="N164" s="71"/>
    </row>
    <row r="165" spans="1:14">
      <c r="A165" s="85"/>
      <c r="B165" s="85"/>
      <c r="C165" s="85"/>
      <c r="D165" s="85"/>
      <c r="E165" s="274" t="s">
        <v>9</v>
      </c>
      <c r="F165" s="110">
        <f>SUM(F159:F164)</f>
        <v>5467.9999999999991</v>
      </c>
      <c r="G165" s="274"/>
      <c r="H165" s="274"/>
      <c r="I165" s="97"/>
      <c r="J165" s="97"/>
      <c r="K165" s="111">
        <f>SUM(K159:K164)</f>
        <v>2136.6</v>
      </c>
      <c r="L165" s="111">
        <f>K165/F165</f>
        <v>0.39074615947329927</v>
      </c>
      <c r="M165" s="143"/>
      <c r="N165" s="71"/>
    </row>
    <row r="166" spans="1:14">
      <c r="A166" s="71"/>
      <c r="B166" s="71"/>
      <c r="C166" s="71"/>
      <c r="D166" s="126" t="s">
        <v>30</v>
      </c>
      <c r="E166" s="126"/>
      <c r="F166" s="127">
        <f>F158+F165</f>
        <v>13560.64</v>
      </c>
      <c r="G166" s="128"/>
      <c r="H166" s="128"/>
      <c r="I166" s="128"/>
      <c r="J166" s="128"/>
      <c r="K166" s="127">
        <f>K158+K165</f>
        <v>32139.1</v>
      </c>
      <c r="L166" s="129">
        <f>K166/F166</f>
        <v>2.3700282582532979</v>
      </c>
      <c r="M166" s="71"/>
      <c r="N166" s="71"/>
    </row>
    <row r="167" spans="1:14" s="71" customFormat="1" ht="15" customHeight="1"/>
    <row r="168" spans="1:14" ht="15" customHeight="1"/>
    <row r="169" spans="1:14" ht="15" customHeight="1">
      <c r="B169" s="28"/>
      <c r="C169" s="28"/>
      <c r="D169" s="133" t="s">
        <v>1009</v>
      </c>
      <c r="E169" s="405">
        <f>F108+F166</f>
        <v>51617.919999999998</v>
      </c>
      <c r="F169" s="133"/>
      <c r="G169" s="134">
        <f>K30+K45+K63+K69+K108+K127+K149+K166</f>
        <v>436591.64199999999</v>
      </c>
      <c r="H169" s="135"/>
      <c r="I169" s="135"/>
      <c r="J169" s="135"/>
      <c r="K169" s="135"/>
      <c r="L169" s="134">
        <f>G169/E169</f>
        <v>8.4581409324513661</v>
      </c>
    </row>
    <row r="170" spans="1:14" ht="15" customHeight="1">
      <c r="B170" s="28"/>
      <c r="C170" s="28"/>
      <c r="D170" s="109" t="s">
        <v>855</v>
      </c>
      <c r="E170" s="406"/>
      <c r="F170" s="109"/>
      <c r="G170" s="359">
        <f>K72+K73+K74+K78+K79+K80+K84+K85+K86+K90+K91+K92+K96+K97+K98+K102+K103+K104+K152+K153+K154+K159+K160+K161</f>
        <v>154713.64200000005</v>
      </c>
      <c r="H170" s="370"/>
      <c r="I170" s="359">
        <f>'28'!I233+'29'!G170</f>
        <v>2168078.179</v>
      </c>
      <c r="J170" s="438">
        <f>G170+M183</f>
        <v>156449.37200000006</v>
      </c>
      <c r="K170" s="360"/>
      <c r="L170" s="396"/>
    </row>
    <row r="171" spans="1:14" ht="15" customHeight="1">
      <c r="B171" s="28"/>
      <c r="C171" s="28"/>
      <c r="D171" s="323" t="s">
        <v>854</v>
      </c>
      <c r="E171" s="361"/>
      <c r="F171" s="323"/>
      <c r="G171" s="397">
        <f>G169-G170</f>
        <v>281877.99999999994</v>
      </c>
      <c r="H171" s="398"/>
      <c r="I171" s="359">
        <f>'28'!I234+'29'!G171</f>
        <v>4658000.2810000004</v>
      </c>
      <c r="J171" s="400"/>
      <c r="K171" s="400"/>
      <c r="L171" s="401"/>
    </row>
    <row r="172" spans="1:14" ht="15" customHeight="1">
      <c r="B172" s="28"/>
      <c r="C172" s="28"/>
      <c r="D172" s="109" t="s">
        <v>853</v>
      </c>
      <c r="E172" s="407"/>
      <c r="F172" s="109"/>
      <c r="G172" s="410">
        <f>SUM(G170:G171)</f>
        <v>436591.64199999999</v>
      </c>
      <c r="H172" s="402"/>
      <c r="I172" s="403">
        <f>'01'!G255+'02'!G302+'03'!G395+'04'!G305</f>
        <v>0</v>
      </c>
      <c r="J172" s="402"/>
      <c r="K172" s="402"/>
      <c r="L172" s="404">
        <f>G172/E169</f>
        <v>8.4581409324513661</v>
      </c>
    </row>
    <row r="173" spans="1:14" ht="15" customHeight="1">
      <c r="B173" s="28"/>
      <c r="C173" s="28"/>
      <c r="D173" s="395" t="s">
        <v>906</v>
      </c>
      <c r="E173" s="408"/>
      <c r="F173" s="109"/>
      <c r="G173" s="409">
        <f>M183</f>
        <v>1735.7300000000002</v>
      </c>
      <c r="H173" s="392"/>
      <c r="I173" s="391"/>
      <c r="J173" s="391"/>
      <c r="K173" s="393"/>
    </row>
    <row r="174" spans="1:14" ht="15" customHeight="1">
      <c r="B174" s="28"/>
      <c r="C174" s="28"/>
      <c r="D174" s="29"/>
      <c r="E174" s="29"/>
      <c r="F174" s="29"/>
      <c r="G174" s="29"/>
      <c r="H174" s="30"/>
      <c r="I174" s="29"/>
      <c r="J174" s="29"/>
      <c r="K174" s="29"/>
      <c r="L174" s="29"/>
    </row>
    <row r="175" spans="1:14" ht="15" customHeight="1">
      <c r="B175" s="28"/>
      <c r="C175" s="28"/>
      <c r="D175" s="829" t="s">
        <v>852</v>
      </c>
      <c r="E175" s="829"/>
      <c r="F175" s="357">
        <f>G195</f>
        <v>303490</v>
      </c>
      <c r="G175" s="29"/>
      <c r="H175" s="500" t="s">
        <v>908</v>
      </c>
      <c r="I175" s="832" t="s">
        <v>405</v>
      </c>
      <c r="J175" s="833"/>
      <c r="K175" s="80">
        <f>0.171+0.24</f>
        <v>0.41100000000000003</v>
      </c>
      <c r="L175" s="81">
        <v>1708</v>
      </c>
      <c r="M175" s="81">
        <f t="shared" ref="M175:M178" si="37">K175*L175</f>
        <v>701.98800000000006</v>
      </c>
    </row>
    <row r="176" spans="1:14" ht="15" customHeight="1">
      <c r="B176" s="28"/>
      <c r="C176" s="28"/>
      <c r="D176" s="829" t="s">
        <v>835</v>
      </c>
      <c r="E176" s="829"/>
      <c r="F176" s="357">
        <f>G181+G182</f>
        <v>0</v>
      </c>
      <c r="G176" s="29"/>
      <c r="H176" s="500" t="s">
        <v>909</v>
      </c>
      <c r="I176" s="830" t="s">
        <v>192</v>
      </c>
      <c r="J176" s="831"/>
      <c r="K176" s="80">
        <f>0.132+0.16</f>
        <v>0.29200000000000004</v>
      </c>
      <c r="L176" s="81">
        <v>1126</v>
      </c>
      <c r="M176" s="81">
        <f t="shared" si="37"/>
        <v>328.79200000000003</v>
      </c>
    </row>
    <row r="177" spans="1:13" ht="15" customHeight="1">
      <c r="B177" s="28"/>
      <c r="C177" s="28"/>
      <c r="D177" s="829" t="s">
        <v>836</v>
      </c>
      <c r="E177" s="829"/>
      <c r="F177" s="357">
        <f>SUM(F175:F176)</f>
        <v>303490</v>
      </c>
      <c r="G177" s="29"/>
      <c r="H177" s="500" t="s">
        <v>910</v>
      </c>
      <c r="I177" s="830" t="s">
        <v>193</v>
      </c>
      <c r="J177" s="831"/>
      <c r="K177" s="80">
        <v>0.58499999999999996</v>
      </c>
      <c r="L177" s="81">
        <v>1150</v>
      </c>
      <c r="M177" s="81">
        <f t="shared" si="37"/>
        <v>672.75</v>
      </c>
    </row>
    <row r="178" spans="1:13" ht="15" customHeight="1">
      <c r="B178" s="28"/>
      <c r="C178" s="28"/>
      <c r="D178" s="799" t="s">
        <v>847</v>
      </c>
      <c r="E178" s="799"/>
      <c r="F178" s="357">
        <f>F175-G171</f>
        <v>21612.000000000058</v>
      </c>
      <c r="G178" s="29"/>
      <c r="H178" s="500" t="s">
        <v>908</v>
      </c>
      <c r="I178" s="834" t="s">
        <v>190</v>
      </c>
      <c r="J178" s="835"/>
      <c r="K178" s="80">
        <v>0.05</v>
      </c>
      <c r="L178" s="81">
        <v>644</v>
      </c>
      <c r="M178" s="81">
        <f t="shared" si="37"/>
        <v>32.200000000000003</v>
      </c>
    </row>
    <row r="179" spans="1:13" ht="15" customHeight="1">
      <c r="B179" s="28"/>
      <c r="C179" s="28"/>
      <c r="D179" s="29"/>
      <c r="E179" s="29"/>
      <c r="F179" s="29"/>
      <c r="G179" s="29"/>
      <c r="H179" s="500" t="s">
        <v>912</v>
      </c>
      <c r="I179" s="834" t="s">
        <v>315</v>
      </c>
      <c r="J179" s="835"/>
      <c r="K179" s="80"/>
      <c r="L179" s="81">
        <v>2184</v>
      </c>
      <c r="M179" s="81">
        <f t="shared" ref="M179:M180" si="38">K179*L179</f>
        <v>0</v>
      </c>
    </row>
    <row r="180" spans="1:13" ht="15" customHeight="1">
      <c r="B180" s="836" t="s">
        <v>833</v>
      </c>
      <c r="C180" s="837"/>
      <c r="D180" s="805" t="s">
        <v>844</v>
      </c>
      <c r="E180" s="805" t="s">
        <v>845</v>
      </c>
      <c r="F180" s="805" t="s">
        <v>846</v>
      </c>
      <c r="G180" s="805" t="s">
        <v>5</v>
      </c>
      <c r="H180" s="500" t="s">
        <v>911</v>
      </c>
      <c r="I180" s="830" t="s">
        <v>286</v>
      </c>
      <c r="J180" s="831"/>
      <c r="K180" s="80"/>
      <c r="L180" s="81">
        <v>2065</v>
      </c>
      <c r="M180" s="81">
        <f t="shared" si="38"/>
        <v>0</v>
      </c>
    </row>
    <row r="181" spans="1:13" ht="15" customHeight="1">
      <c r="B181" s="28"/>
      <c r="C181" s="28"/>
      <c r="D181" s="805" t="s">
        <v>837</v>
      </c>
      <c r="E181" s="109">
        <v>15.5</v>
      </c>
      <c r="F181" s="122"/>
      <c r="G181" s="357">
        <f>F181*E181</f>
        <v>0</v>
      </c>
      <c r="H181" s="500" t="s">
        <v>909</v>
      </c>
      <c r="I181" s="838"/>
      <c r="J181" s="839"/>
      <c r="K181" s="2"/>
      <c r="L181" s="2"/>
      <c r="M181" s="388"/>
    </row>
    <row r="182" spans="1:13" ht="15" customHeight="1">
      <c r="B182" s="28"/>
      <c r="C182" s="28"/>
      <c r="D182" s="805" t="s">
        <v>1062</v>
      </c>
      <c r="E182" s="109">
        <v>34</v>
      </c>
      <c r="F182" s="122"/>
      <c r="G182" s="329">
        <f t="shared" ref="G182" si="39">F182*E182</f>
        <v>0</v>
      </c>
      <c r="H182" s="500" t="s">
        <v>911</v>
      </c>
      <c r="I182" s="841"/>
      <c r="J182" s="842"/>
      <c r="K182" s="394"/>
      <c r="L182" s="394"/>
      <c r="M182" s="2"/>
    </row>
    <row r="183" spans="1:13" ht="15" customHeight="1">
      <c r="A183" s="68"/>
      <c r="B183" s="29"/>
      <c r="C183" s="29"/>
      <c r="D183" s="322" t="s">
        <v>843</v>
      </c>
      <c r="E183" s="317"/>
      <c r="F183" s="492">
        <f>SUM(F181:F182)</f>
        <v>0</v>
      </c>
      <c r="G183" s="440">
        <f>SUM(G181:G182)</f>
        <v>0</v>
      </c>
      <c r="H183" s="29"/>
      <c r="I183" s="844" t="s">
        <v>906</v>
      </c>
      <c r="J183" s="845"/>
      <c r="K183" s="490">
        <f>SUM(K175:K182)</f>
        <v>1.3380000000000001</v>
      </c>
      <c r="L183" s="491"/>
      <c r="M183" s="489">
        <f>SUM(M175:M182)</f>
        <v>1735.7300000000002</v>
      </c>
    </row>
    <row r="184" spans="1:13" ht="15" customHeight="1">
      <c r="B184" s="28"/>
      <c r="C184" s="28"/>
      <c r="D184" s="805" t="s">
        <v>1070</v>
      </c>
      <c r="E184" s="109">
        <v>227</v>
      </c>
      <c r="F184" s="122"/>
      <c r="G184" s="357">
        <f t="shared" ref="G184:G194" si="40">F184*E184</f>
        <v>0</v>
      </c>
      <c r="H184" s="29"/>
      <c r="I184" s="29"/>
      <c r="J184" s="29"/>
      <c r="K184" s="29"/>
      <c r="L184" s="29"/>
      <c r="M184" s="263">
        <f>G170+M183</f>
        <v>156449.37200000006</v>
      </c>
    </row>
    <row r="185" spans="1:13" ht="15" customHeight="1">
      <c r="B185" s="28"/>
      <c r="C185" s="28"/>
      <c r="D185" s="805" t="s">
        <v>1065</v>
      </c>
      <c r="E185" s="389">
        <v>165</v>
      </c>
      <c r="F185" s="122">
        <v>120</v>
      </c>
      <c r="G185" s="357">
        <f t="shared" si="40"/>
        <v>19800</v>
      </c>
      <c r="H185" s="29"/>
      <c r="I185" s="29"/>
      <c r="J185" s="29"/>
      <c r="K185" s="29"/>
      <c r="L185" s="29"/>
    </row>
    <row r="186" spans="1:13" ht="15" customHeight="1">
      <c r="B186" s="28"/>
      <c r="C186" s="28"/>
      <c r="D186" s="807" t="s">
        <v>1066</v>
      </c>
      <c r="E186" s="389">
        <v>165</v>
      </c>
      <c r="F186" s="122">
        <v>130</v>
      </c>
      <c r="G186" s="357">
        <f t="shared" si="40"/>
        <v>21450</v>
      </c>
      <c r="H186" s="29"/>
      <c r="I186" s="29"/>
      <c r="J186" s="29"/>
      <c r="K186" s="29"/>
      <c r="L186" s="29"/>
    </row>
    <row r="187" spans="1:13" ht="15" customHeight="1">
      <c r="B187" s="28"/>
      <c r="C187" s="28"/>
      <c r="D187" s="805" t="s">
        <v>1067</v>
      </c>
      <c r="E187" s="389">
        <v>416</v>
      </c>
      <c r="F187" s="122">
        <v>240</v>
      </c>
      <c r="G187" s="357">
        <f t="shared" si="40"/>
        <v>99840</v>
      </c>
      <c r="H187" s="29"/>
      <c r="I187" s="29"/>
      <c r="J187" s="29"/>
      <c r="K187" s="29"/>
      <c r="L187" s="29"/>
    </row>
    <row r="188" spans="1:13" ht="15" customHeight="1">
      <c r="B188" s="28"/>
      <c r="C188" s="28"/>
      <c r="D188" s="805" t="s">
        <v>1241</v>
      </c>
      <c r="E188" s="389">
        <v>46</v>
      </c>
      <c r="F188" s="122"/>
      <c r="G188" s="357">
        <f t="shared" si="40"/>
        <v>0</v>
      </c>
      <c r="H188" s="28"/>
      <c r="I188" s="28"/>
      <c r="J188" s="28"/>
      <c r="K188" s="28"/>
      <c r="L188" s="28"/>
    </row>
    <row r="189" spans="1:13" ht="15" customHeight="1">
      <c r="B189" s="28"/>
      <c r="C189" s="28"/>
      <c r="D189" s="805" t="s">
        <v>1242</v>
      </c>
      <c r="E189" s="109">
        <v>22</v>
      </c>
      <c r="F189" s="122">
        <v>1000</v>
      </c>
      <c r="G189" s="357">
        <f t="shared" si="40"/>
        <v>22000</v>
      </c>
    </row>
    <row r="190" spans="1:13" ht="15" customHeight="1">
      <c r="B190" s="28"/>
      <c r="C190" s="28"/>
      <c r="D190" s="805" t="s">
        <v>1062</v>
      </c>
      <c r="E190" s="109">
        <v>34</v>
      </c>
      <c r="F190" s="122">
        <v>400</v>
      </c>
      <c r="G190" s="357">
        <f t="shared" si="40"/>
        <v>13600</v>
      </c>
    </row>
    <row r="191" spans="1:13" ht="15" customHeight="1">
      <c r="B191" s="28"/>
      <c r="C191" s="28"/>
      <c r="D191" s="805" t="s">
        <v>24</v>
      </c>
      <c r="E191" s="109">
        <v>74</v>
      </c>
      <c r="F191" s="122">
        <v>1000</v>
      </c>
      <c r="G191" s="357">
        <f t="shared" si="40"/>
        <v>74000</v>
      </c>
    </row>
    <row r="192" spans="1:13" ht="15" customHeight="1">
      <c r="B192" s="28"/>
      <c r="C192" s="28"/>
      <c r="D192" s="816" t="s">
        <v>968</v>
      </c>
      <c r="E192" s="109">
        <v>360</v>
      </c>
      <c r="F192" s="122">
        <v>50</v>
      </c>
      <c r="G192" s="357">
        <f t="shared" si="40"/>
        <v>18000</v>
      </c>
    </row>
    <row r="193" spans="1:13" ht="15" customHeight="1">
      <c r="D193" s="816" t="s">
        <v>211</v>
      </c>
      <c r="E193" s="109">
        <v>120</v>
      </c>
      <c r="F193" s="122">
        <v>50</v>
      </c>
      <c r="G193" s="357">
        <f t="shared" si="40"/>
        <v>6000</v>
      </c>
    </row>
    <row r="194" spans="1:13" ht="15" customHeight="1">
      <c r="D194" s="805" t="s">
        <v>839</v>
      </c>
      <c r="E194" s="109">
        <v>120</v>
      </c>
      <c r="F194" s="122">
        <v>240</v>
      </c>
      <c r="G194" s="357">
        <f t="shared" si="40"/>
        <v>28800</v>
      </c>
    </row>
    <row r="195" spans="1:13" s="1" customFormat="1" ht="15" customHeight="1">
      <c r="D195" s="331" t="s">
        <v>843</v>
      </c>
      <c r="E195" s="109"/>
      <c r="F195" s="122">
        <f>SUM(F184:F194)</f>
        <v>3230</v>
      </c>
      <c r="G195" s="357">
        <f>SUM(G185:G194)</f>
        <v>303490</v>
      </c>
    </row>
    <row r="196" spans="1:13" s="1" customFormat="1" ht="15" customHeight="1">
      <c r="D196" s="322" t="s">
        <v>969</v>
      </c>
      <c r="E196" s="317"/>
      <c r="F196" s="492">
        <f>F183+F195</f>
        <v>3230</v>
      </c>
      <c r="G196" s="440">
        <f>G183+G195</f>
        <v>303490</v>
      </c>
    </row>
    <row r="197" spans="1:13" ht="15" customHeight="1"/>
    <row r="198" spans="1:13" ht="15" customHeight="1"/>
    <row r="199" spans="1:13" ht="15" customHeight="1"/>
    <row r="200" spans="1:13" ht="15" customHeight="1"/>
    <row r="201" spans="1:13" ht="15" customHeight="1"/>
    <row r="202" spans="1:13" ht="15" customHeight="1"/>
    <row r="203" spans="1:13" ht="15" customHeight="1"/>
    <row r="204" spans="1:13" ht="15" customHeight="1"/>
    <row r="205" spans="1:13" ht="15" customHeight="1"/>
    <row r="206" spans="1:13" s="64" customFormat="1" ht="15" customHeight="1">
      <c r="A206" s="840" t="s">
        <v>240</v>
      </c>
      <c r="B206" s="840"/>
      <c r="C206" s="840" t="s">
        <v>765</v>
      </c>
      <c r="D206" s="840"/>
      <c r="E206" s="840" t="s">
        <v>764</v>
      </c>
      <c r="F206" s="840"/>
      <c r="G206" s="380" t="s">
        <v>66</v>
      </c>
      <c r="H206" s="840" t="s">
        <v>411</v>
      </c>
      <c r="I206" s="840"/>
      <c r="J206" s="840"/>
      <c r="K206" s="840" t="s">
        <v>68</v>
      </c>
      <c r="L206" s="840"/>
      <c r="M206" s="840"/>
    </row>
  </sheetData>
  <mergeCells count="29">
    <mergeCell ref="K206:M206"/>
    <mergeCell ref="I181:J181"/>
    <mergeCell ref="I182:J182"/>
    <mergeCell ref="I183:J183"/>
    <mergeCell ref="A206:B206"/>
    <mergeCell ref="C206:D206"/>
    <mergeCell ref="E206:F206"/>
    <mergeCell ref="H206:J206"/>
    <mergeCell ref="D177:E177"/>
    <mergeCell ref="I177:J177"/>
    <mergeCell ref="I178:J178"/>
    <mergeCell ref="I179:J179"/>
    <mergeCell ref="B180:C180"/>
    <mergeCell ref="I180:J180"/>
    <mergeCell ref="D175:E175"/>
    <mergeCell ref="D176:E176"/>
    <mergeCell ref="I175:J175"/>
    <mergeCell ref="I176:J176"/>
    <mergeCell ref="K46:M46"/>
    <mergeCell ref="K64:M64"/>
    <mergeCell ref="K70:M70"/>
    <mergeCell ref="K109:M109"/>
    <mergeCell ref="K128:M128"/>
    <mergeCell ref="K150:M150"/>
    <mergeCell ref="A1:N1"/>
    <mergeCell ref="A2:N2"/>
    <mergeCell ref="A3:N3"/>
    <mergeCell ref="K4:M4"/>
    <mergeCell ref="K31:M31"/>
  </mergeCells>
  <pageMargins left="0.45" right="0.2" top="0.25" bottom="0.25" header="0.3" footer="0.3"/>
  <pageSetup scale="8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320"/>
  <sheetViews>
    <sheetView topLeftCell="A277" workbookViewId="0">
      <selection activeCell="J43" sqref="J43"/>
    </sheetView>
  </sheetViews>
  <sheetFormatPr defaultRowHeight="15"/>
  <cols>
    <col min="2" max="2" width="13.28515625" bestFit="1" customWidth="1"/>
    <col min="3" max="3" width="16.140625" bestFit="1" customWidth="1"/>
    <col min="4" max="4" width="19.5703125" customWidth="1"/>
    <col min="5" max="5" width="14" bestFit="1" customWidth="1"/>
    <col min="6" max="6" width="10.5703125" bestFit="1" customWidth="1"/>
    <col min="7" max="7" width="24.42578125" bestFit="1" customWidth="1"/>
    <col min="8" max="8" width="7.7109375" customWidth="1"/>
    <col min="9" max="11" width="11.5703125" bestFit="1" customWidth="1"/>
    <col min="12" max="12" width="11.140625" bestFit="1" customWidth="1"/>
    <col min="13" max="13" width="9.85546875" bestFit="1" customWidth="1"/>
    <col min="14" max="14" width="12.42578125" customWidth="1"/>
  </cols>
  <sheetData>
    <row r="1" spans="1:14" ht="14.1" customHeight="1">
      <c r="A1" s="826" t="s">
        <v>146</v>
      </c>
      <c r="B1" s="826"/>
      <c r="C1" s="826"/>
      <c r="D1" s="826"/>
      <c r="E1" s="826"/>
      <c r="F1" s="826"/>
      <c r="G1" s="826"/>
      <c r="H1" s="826"/>
      <c r="I1" s="826"/>
      <c r="J1" s="826"/>
      <c r="K1" s="826"/>
      <c r="L1" s="826"/>
      <c r="M1" s="826"/>
      <c r="N1" s="383"/>
    </row>
    <row r="2" spans="1:14" ht="15" customHeight="1">
      <c r="A2" s="827" t="s">
        <v>147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384"/>
    </row>
    <row r="3" spans="1:14" s="9" customFormat="1" ht="15" customHeight="1">
      <c r="A3" s="939" t="s">
        <v>148</v>
      </c>
      <c r="B3" s="939"/>
      <c r="C3" s="939"/>
      <c r="D3" s="939"/>
      <c r="E3" s="939"/>
      <c r="F3" s="939"/>
      <c r="G3" s="939"/>
      <c r="H3" s="939"/>
      <c r="I3" s="939"/>
      <c r="J3" s="939"/>
      <c r="K3" s="939"/>
      <c r="L3" s="939"/>
      <c r="M3" s="939"/>
      <c r="N3" s="385"/>
    </row>
    <row r="4" spans="1:14" ht="15" customHeight="1">
      <c r="A4" s="70" t="s">
        <v>21</v>
      </c>
      <c r="B4" s="70"/>
      <c r="C4" s="70"/>
      <c r="D4" s="70"/>
      <c r="E4" s="70"/>
      <c r="F4" s="71"/>
      <c r="G4" s="71"/>
      <c r="H4" s="71"/>
      <c r="I4" s="71"/>
      <c r="J4" s="71"/>
      <c r="K4" s="824" t="s">
        <v>856</v>
      </c>
      <c r="L4" s="824"/>
      <c r="M4" s="824"/>
      <c r="N4" s="71"/>
    </row>
    <row r="5" spans="1:14" ht="15" customHeight="1">
      <c r="A5" s="172" t="s">
        <v>0</v>
      </c>
      <c r="B5" s="172" t="s">
        <v>7</v>
      </c>
      <c r="C5" s="172" t="s">
        <v>13</v>
      </c>
      <c r="D5" s="172" t="s">
        <v>14</v>
      </c>
      <c r="E5" s="172" t="s">
        <v>8</v>
      </c>
      <c r="F5" s="172" t="s">
        <v>1</v>
      </c>
      <c r="G5" s="172" t="s">
        <v>2</v>
      </c>
      <c r="H5" s="172" t="s">
        <v>15</v>
      </c>
      <c r="I5" s="172" t="s">
        <v>3</v>
      </c>
      <c r="J5" s="172" t="s">
        <v>4</v>
      </c>
      <c r="K5" s="172" t="s">
        <v>5</v>
      </c>
      <c r="L5" s="172" t="s">
        <v>12</v>
      </c>
      <c r="M5" s="172" t="s">
        <v>6</v>
      </c>
      <c r="N5" s="71"/>
    </row>
    <row r="6" spans="1:14" ht="15" customHeight="1">
      <c r="A6" s="89">
        <v>1</v>
      </c>
      <c r="B6" s="315" t="s">
        <v>767</v>
      </c>
      <c r="C6" s="315" t="s">
        <v>766</v>
      </c>
      <c r="D6" s="315" t="s">
        <v>857</v>
      </c>
      <c r="E6" s="85"/>
      <c r="F6" s="99">
        <f>3992*1.0936</f>
        <v>4365.6511999999993</v>
      </c>
      <c r="G6" s="517" t="s">
        <v>1070</v>
      </c>
      <c r="H6" s="79"/>
      <c r="I6" s="80">
        <v>5</v>
      </c>
      <c r="J6" s="81">
        <v>227</v>
      </c>
      <c r="K6" s="81">
        <f t="shared" ref="K6:K7" si="0">I6*J6</f>
        <v>1135</v>
      </c>
      <c r="L6" s="102"/>
      <c r="M6" s="156">
        <f>I6+I10+I14+I18</f>
        <v>50</v>
      </c>
      <c r="N6" s="120" t="s">
        <v>173</v>
      </c>
    </row>
    <row r="7" spans="1:14" ht="15" customHeight="1">
      <c r="A7" s="85"/>
      <c r="B7" s="120"/>
      <c r="C7" s="120"/>
      <c r="D7" s="120"/>
      <c r="E7" s="85"/>
      <c r="F7" s="98"/>
      <c r="G7" s="517" t="s">
        <v>1067</v>
      </c>
      <c r="H7" s="79"/>
      <c r="I7" s="80">
        <v>4</v>
      </c>
      <c r="J7" s="81">
        <v>416</v>
      </c>
      <c r="K7" s="81">
        <f t="shared" si="0"/>
        <v>1664</v>
      </c>
      <c r="L7" s="102"/>
      <c r="M7" s="156" t="e">
        <f>I7+I11+I15+I19+I59+I65+I71+#REF!</f>
        <v>#REF!</v>
      </c>
      <c r="N7" s="120" t="s">
        <v>174</v>
      </c>
    </row>
    <row r="8" spans="1:14" ht="15" customHeight="1">
      <c r="A8" s="85"/>
      <c r="B8" s="120"/>
      <c r="C8" s="120"/>
      <c r="D8" s="120"/>
      <c r="E8" s="85"/>
      <c r="F8" s="98"/>
      <c r="G8" s="517" t="s">
        <v>1065</v>
      </c>
      <c r="H8" s="79"/>
      <c r="I8" s="80">
        <v>3</v>
      </c>
      <c r="J8" s="81">
        <v>165</v>
      </c>
      <c r="K8" s="81">
        <f>I8*J8</f>
        <v>495</v>
      </c>
      <c r="L8" s="102"/>
      <c r="M8" s="156" t="e">
        <f>I8+I12+I16+I20+I60+I66+I72+#REF!</f>
        <v>#REF!</v>
      </c>
      <c r="N8" s="120" t="s">
        <v>172</v>
      </c>
    </row>
    <row r="9" spans="1:14" ht="15" customHeight="1">
      <c r="A9" s="85"/>
      <c r="B9" s="120"/>
      <c r="C9" s="120"/>
      <c r="D9" s="120"/>
      <c r="E9" s="172" t="s">
        <v>9</v>
      </c>
      <c r="F9" s="110">
        <f>SUM(F6:F8)</f>
        <v>4365.6511999999993</v>
      </c>
      <c r="G9" s="172"/>
      <c r="H9" s="172"/>
      <c r="I9" s="125"/>
      <c r="J9" s="97"/>
      <c r="K9" s="111">
        <f>SUM(K6:K8)</f>
        <v>3294</v>
      </c>
      <c r="L9" s="111">
        <f>K9/F9</f>
        <v>0.7545266099133161</v>
      </c>
      <c r="M9" s="156" t="e">
        <f>I57+I63+I69+#REF!+I96+I99+I102+#REF!</f>
        <v>#REF!</v>
      </c>
      <c r="N9" s="120" t="s">
        <v>24</v>
      </c>
    </row>
    <row r="10" spans="1:14" ht="15" customHeight="1">
      <c r="A10" s="85">
        <v>2</v>
      </c>
      <c r="B10" s="315" t="s">
        <v>858</v>
      </c>
      <c r="C10" s="315" t="s">
        <v>766</v>
      </c>
      <c r="D10" s="315" t="s">
        <v>857</v>
      </c>
      <c r="E10" s="314"/>
      <c r="F10" s="99">
        <f>4822*1.0936</f>
        <v>5273.3391999999994</v>
      </c>
      <c r="G10" s="517" t="s">
        <v>1070</v>
      </c>
      <c r="H10" s="79"/>
      <c r="I10" s="80">
        <v>6</v>
      </c>
      <c r="J10" s="81">
        <v>227</v>
      </c>
      <c r="K10" s="81">
        <f t="shared" ref="K10:K11" si="1">I10*J10</f>
        <v>1362</v>
      </c>
      <c r="L10" s="102"/>
      <c r="M10" s="156" t="e">
        <f>I58+I64+I70+#REF!</f>
        <v>#REF!</v>
      </c>
      <c r="N10" s="120" t="s">
        <v>175</v>
      </c>
    </row>
    <row r="11" spans="1:14" ht="15" customHeight="1">
      <c r="A11" s="85"/>
      <c r="B11" s="85"/>
      <c r="C11" s="120"/>
      <c r="D11" s="120"/>
      <c r="E11" s="85"/>
      <c r="F11" s="98"/>
      <c r="G11" s="517" t="s">
        <v>1067</v>
      </c>
      <c r="H11" s="79"/>
      <c r="I11" s="80">
        <v>5</v>
      </c>
      <c r="J11" s="81">
        <v>416</v>
      </c>
      <c r="K11" s="81">
        <f t="shared" si="1"/>
        <v>2080</v>
      </c>
      <c r="L11" s="102"/>
      <c r="M11" s="156" t="e">
        <f>I61+I67+I73+#REF!</f>
        <v>#REF!</v>
      </c>
      <c r="N11" s="83" t="s">
        <v>176</v>
      </c>
    </row>
    <row r="12" spans="1:14" ht="15" customHeight="1">
      <c r="A12" s="85"/>
      <c r="B12" s="102"/>
      <c r="C12" s="102"/>
      <c r="D12" s="102"/>
      <c r="E12" s="102"/>
      <c r="F12" s="102"/>
      <c r="G12" s="517" t="s">
        <v>1065</v>
      </c>
      <c r="H12" s="79"/>
      <c r="I12" s="80">
        <v>3</v>
      </c>
      <c r="J12" s="81">
        <v>165</v>
      </c>
      <c r="K12" s="81">
        <f>I12*J12</f>
        <v>495</v>
      </c>
      <c r="L12" s="102"/>
      <c r="M12" s="156" t="e">
        <f>I97+I100+I103+#REF!</f>
        <v>#REF!</v>
      </c>
      <c r="N12" s="84" t="s">
        <v>10</v>
      </c>
    </row>
    <row r="13" spans="1:14" ht="15" customHeight="1">
      <c r="A13" s="85"/>
      <c r="B13" s="102"/>
      <c r="C13" s="102"/>
      <c r="D13" s="102"/>
      <c r="E13" s="172" t="s">
        <v>9</v>
      </c>
      <c r="F13" s="110">
        <f>SUM(F10:F12)</f>
        <v>5273.3391999999994</v>
      </c>
      <c r="G13" s="172"/>
      <c r="H13" s="172"/>
      <c r="I13" s="125"/>
      <c r="J13" s="97"/>
      <c r="K13" s="111">
        <f>SUM(K10:K12)</f>
        <v>3937</v>
      </c>
      <c r="L13" s="111">
        <f>K13/F13</f>
        <v>0.74658576865300086</v>
      </c>
      <c r="M13" s="82"/>
      <c r="N13" s="227"/>
    </row>
    <row r="14" spans="1:14" ht="15" customHeight="1">
      <c r="A14" s="85">
        <v>3</v>
      </c>
      <c r="B14" s="315" t="s">
        <v>859</v>
      </c>
      <c r="C14" s="315" t="s">
        <v>278</v>
      </c>
      <c r="D14" s="315" t="s">
        <v>790</v>
      </c>
      <c r="E14" s="85"/>
      <c r="F14" s="99">
        <f>7725*1.0936</f>
        <v>8448.06</v>
      </c>
      <c r="G14" s="517" t="s">
        <v>1070</v>
      </c>
      <c r="H14" s="79"/>
      <c r="I14" s="80">
        <v>18</v>
      </c>
      <c r="J14" s="81">
        <v>227</v>
      </c>
      <c r="K14" s="81">
        <f t="shared" ref="K14:K15" si="2">I14*J14</f>
        <v>4086</v>
      </c>
      <c r="L14" s="102"/>
      <c r="M14" s="102"/>
      <c r="N14" s="71"/>
    </row>
    <row r="15" spans="1:14" ht="15" customHeight="1">
      <c r="A15" s="85"/>
      <c r="B15" s="120"/>
      <c r="C15" s="120"/>
      <c r="D15" s="120"/>
      <c r="E15" s="85"/>
      <c r="F15" s="98"/>
      <c r="G15" s="517" t="s">
        <v>1067</v>
      </c>
      <c r="H15" s="79"/>
      <c r="I15" s="80">
        <v>12</v>
      </c>
      <c r="J15" s="81">
        <v>416</v>
      </c>
      <c r="K15" s="81">
        <f t="shared" si="2"/>
        <v>4992</v>
      </c>
      <c r="L15" s="102"/>
      <c r="M15" s="102"/>
      <c r="N15" s="71"/>
    </row>
    <row r="16" spans="1:14" ht="15" customHeight="1">
      <c r="A16" s="85"/>
      <c r="B16" s="120"/>
      <c r="C16" s="120"/>
      <c r="D16" s="120"/>
      <c r="E16" s="85"/>
      <c r="F16" s="98"/>
      <c r="G16" s="517" t="s">
        <v>1065</v>
      </c>
      <c r="H16" s="79"/>
      <c r="I16" s="80">
        <v>6</v>
      </c>
      <c r="J16" s="81">
        <v>165</v>
      </c>
      <c r="K16" s="81">
        <f>I16*J16</f>
        <v>990</v>
      </c>
      <c r="L16" s="102"/>
      <c r="M16" s="102"/>
      <c r="N16" s="71"/>
    </row>
    <row r="17" spans="1:14" ht="15" customHeight="1">
      <c r="A17" s="85"/>
      <c r="B17" s="120"/>
      <c r="C17" s="120"/>
      <c r="D17" s="120"/>
      <c r="E17" s="172" t="s">
        <v>9</v>
      </c>
      <c r="F17" s="110">
        <f>SUM(F14:F16)</f>
        <v>8448.06</v>
      </c>
      <c r="G17" s="172"/>
      <c r="H17" s="172"/>
      <c r="I17" s="125"/>
      <c r="J17" s="97"/>
      <c r="K17" s="111">
        <f>SUM(K14:K16)</f>
        <v>10068</v>
      </c>
      <c r="L17" s="111">
        <f>K17/F17</f>
        <v>1.1917528994822482</v>
      </c>
      <c r="M17" s="102"/>
      <c r="N17" s="71"/>
    </row>
    <row r="18" spans="1:14" ht="15" customHeight="1">
      <c r="A18" s="85">
        <v>4</v>
      </c>
      <c r="B18" s="315" t="s">
        <v>859</v>
      </c>
      <c r="C18" s="315" t="s">
        <v>278</v>
      </c>
      <c r="D18" s="315" t="s">
        <v>790</v>
      </c>
      <c r="E18" s="314"/>
      <c r="F18" s="99">
        <f>9175*1.0936</f>
        <v>10033.779999999999</v>
      </c>
      <c r="G18" s="517" t="s">
        <v>1070</v>
      </c>
      <c r="H18" s="79"/>
      <c r="I18" s="80">
        <v>21</v>
      </c>
      <c r="J18" s="81">
        <v>227</v>
      </c>
      <c r="K18" s="81">
        <f t="shared" ref="K18:K19" si="3">I18*J18</f>
        <v>4767</v>
      </c>
      <c r="L18" s="102"/>
      <c r="M18" s="102"/>
      <c r="N18" s="71"/>
    </row>
    <row r="19" spans="1:14" ht="15" customHeight="1">
      <c r="A19" s="85"/>
      <c r="B19" s="120"/>
      <c r="C19" s="120"/>
      <c r="D19" s="120"/>
      <c r="E19" s="85"/>
      <c r="F19" s="160"/>
      <c r="G19" s="517" t="s">
        <v>1067</v>
      </c>
      <c r="H19" s="79"/>
      <c r="I19" s="80">
        <v>14</v>
      </c>
      <c r="J19" s="81">
        <v>416</v>
      </c>
      <c r="K19" s="81">
        <f t="shared" si="3"/>
        <v>5824</v>
      </c>
      <c r="L19" s="102"/>
      <c r="M19" s="102"/>
      <c r="N19" s="71"/>
    </row>
    <row r="20" spans="1:14" ht="15" customHeight="1">
      <c r="A20" s="85"/>
      <c r="B20" s="120"/>
      <c r="C20" s="120"/>
      <c r="D20" s="120"/>
      <c r="E20" s="85"/>
      <c r="F20" s="160"/>
      <c r="G20" s="517" t="s">
        <v>1065</v>
      </c>
      <c r="H20" s="79"/>
      <c r="I20" s="80">
        <v>7</v>
      </c>
      <c r="J20" s="81">
        <v>165</v>
      </c>
      <c r="K20" s="81">
        <f>I20*J20</f>
        <v>1155</v>
      </c>
      <c r="L20" s="102"/>
      <c r="M20" s="102"/>
      <c r="N20" s="71"/>
    </row>
    <row r="21" spans="1:14" ht="15" customHeight="1">
      <c r="A21" s="85"/>
      <c r="B21" s="120"/>
      <c r="C21" s="120"/>
      <c r="D21" s="120"/>
      <c r="E21" s="274" t="s">
        <v>9</v>
      </c>
      <c r="F21" s="110">
        <f>SUM(F18:F20)</f>
        <v>10033.779999999999</v>
      </c>
      <c r="G21" s="274"/>
      <c r="H21" s="274"/>
      <c r="I21" s="125"/>
      <c r="J21" s="97"/>
      <c r="K21" s="111">
        <f>SUM(K18:K20)</f>
        <v>11746</v>
      </c>
      <c r="L21" s="111">
        <f>K21/F21</f>
        <v>1.1706455593006824</v>
      </c>
      <c r="M21" s="102"/>
      <c r="N21" s="71"/>
    </row>
    <row r="22" spans="1:14" ht="15" customHeight="1">
      <c r="A22" s="85">
        <v>5</v>
      </c>
      <c r="B22" s="315" t="s">
        <v>860</v>
      </c>
      <c r="C22" s="315" t="s">
        <v>861</v>
      </c>
      <c r="D22" s="315" t="s">
        <v>862</v>
      </c>
      <c r="E22" s="314"/>
      <c r="F22" s="99">
        <f>3000*1.0936</f>
        <v>3280.7999999999997</v>
      </c>
      <c r="G22" s="517" t="s">
        <v>1070</v>
      </c>
      <c r="H22" s="79"/>
      <c r="I22" s="80">
        <v>8</v>
      </c>
      <c r="J22" s="81">
        <v>227</v>
      </c>
      <c r="K22" s="81">
        <f t="shared" ref="K22:K23" si="4">I22*J22</f>
        <v>1816</v>
      </c>
      <c r="L22" s="102"/>
      <c r="M22" s="102"/>
      <c r="N22" s="71"/>
    </row>
    <row r="23" spans="1:14" ht="15" customHeight="1">
      <c r="A23" s="85"/>
      <c r="B23" s="120"/>
      <c r="C23" s="315" t="s">
        <v>861</v>
      </c>
      <c r="D23" s="315" t="s">
        <v>868</v>
      </c>
      <c r="E23" s="314"/>
      <c r="F23" s="99">
        <f>325*1.0936</f>
        <v>355.41999999999996</v>
      </c>
      <c r="G23" s="517" t="s">
        <v>1067</v>
      </c>
      <c r="H23" s="79"/>
      <c r="I23" s="80">
        <v>5</v>
      </c>
      <c r="J23" s="81">
        <v>416</v>
      </c>
      <c r="K23" s="81">
        <f t="shared" si="4"/>
        <v>2080</v>
      </c>
      <c r="L23" s="102"/>
      <c r="M23" s="102"/>
      <c r="N23" s="71"/>
    </row>
    <row r="24" spans="1:14" ht="15" customHeight="1">
      <c r="A24" s="85"/>
      <c r="B24" s="120"/>
      <c r="C24" s="120"/>
      <c r="D24" s="120"/>
      <c r="E24" s="85"/>
      <c r="F24" s="160"/>
      <c r="G24" s="517" t="s">
        <v>1065</v>
      </c>
      <c r="H24" s="79"/>
      <c r="I24" s="80">
        <v>3</v>
      </c>
      <c r="J24" s="81">
        <v>165</v>
      </c>
      <c r="K24" s="81">
        <f>I24*J24</f>
        <v>495</v>
      </c>
      <c r="L24" s="102"/>
      <c r="M24" s="102"/>
      <c r="N24" s="71"/>
    </row>
    <row r="25" spans="1:14" ht="15" customHeight="1">
      <c r="A25" s="85"/>
      <c r="B25" s="120"/>
      <c r="C25" s="120"/>
      <c r="D25" s="120"/>
      <c r="E25" s="274" t="s">
        <v>9</v>
      </c>
      <c r="F25" s="110">
        <f>SUM(F22:F24)</f>
        <v>3636.22</v>
      </c>
      <c r="G25" s="274"/>
      <c r="H25" s="274"/>
      <c r="I25" s="125"/>
      <c r="J25" s="97"/>
      <c r="K25" s="111">
        <f>SUM(K22:K24)</f>
        <v>4391</v>
      </c>
      <c r="L25" s="111">
        <f>K25/F25</f>
        <v>1.2075726991216154</v>
      </c>
      <c r="M25" s="102"/>
      <c r="N25" s="71"/>
    </row>
    <row r="26" spans="1:14" ht="15" customHeight="1">
      <c r="A26" s="85">
        <v>6</v>
      </c>
      <c r="B26" s="315" t="s">
        <v>863</v>
      </c>
      <c r="C26" s="315" t="s">
        <v>115</v>
      </c>
      <c r="D26" s="315" t="s">
        <v>113</v>
      </c>
      <c r="E26" s="85"/>
      <c r="F26" s="160">
        <f>2487*1.0936</f>
        <v>2719.7831999999999</v>
      </c>
      <c r="G26" s="517" t="s">
        <v>1070</v>
      </c>
      <c r="H26" s="79"/>
      <c r="I26" s="80">
        <v>7</v>
      </c>
      <c r="J26" s="81">
        <v>227</v>
      </c>
      <c r="K26" s="81">
        <f t="shared" ref="K26:K27" si="5">I26*J26</f>
        <v>1589</v>
      </c>
      <c r="L26" s="102"/>
      <c r="M26" s="102"/>
      <c r="N26" s="71"/>
    </row>
    <row r="27" spans="1:14" ht="15" customHeight="1">
      <c r="A27" s="85"/>
      <c r="B27" s="120"/>
      <c r="C27" s="120"/>
      <c r="D27" s="120"/>
      <c r="E27" s="85"/>
      <c r="F27" s="160"/>
      <c r="G27" s="517" t="s">
        <v>1067</v>
      </c>
      <c r="H27" s="79"/>
      <c r="I27" s="80">
        <v>4</v>
      </c>
      <c r="J27" s="81">
        <v>416</v>
      </c>
      <c r="K27" s="81">
        <f t="shared" si="5"/>
        <v>1664</v>
      </c>
      <c r="L27" s="102"/>
      <c r="M27" s="102"/>
      <c r="N27" s="71"/>
    </row>
    <row r="28" spans="1:14" ht="15" customHeight="1">
      <c r="A28" s="85"/>
      <c r="B28" s="120"/>
      <c r="C28" s="120"/>
      <c r="D28" s="120"/>
      <c r="E28" s="85"/>
      <c r="F28" s="160"/>
      <c r="G28" s="517" t="s">
        <v>1065</v>
      </c>
      <c r="H28" s="79"/>
      <c r="I28" s="80">
        <v>3</v>
      </c>
      <c r="J28" s="81">
        <v>165</v>
      </c>
      <c r="K28" s="81">
        <f>I28*J28</f>
        <v>495</v>
      </c>
      <c r="L28" s="102"/>
      <c r="M28" s="102"/>
      <c r="N28" s="71"/>
    </row>
    <row r="29" spans="1:14" ht="15" customHeight="1">
      <c r="A29" s="314"/>
      <c r="B29" s="315"/>
      <c r="C29" s="315"/>
      <c r="D29" s="315"/>
      <c r="E29" s="274" t="s">
        <v>9</v>
      </c>
      <c r="F29" s="110">
        <f>SUM(F26:F28)</f>
        <v>2719.7831999999999</v>
      </c>
      <c r="G29" s="274"/>
      <c r="H29" s="274"/>
      <c r="I29" s="125"/>
      <c r="J29" s="97"/>
      <c r="K29" s="111">
        <f>SUM(K26:K28)</f>
        <v>3748</v>
      </c>
      <c r="L29" s="111">
        <f>K29/F29</f>
        <v>1.3780510152426857</v>
      </c>
      <c r="M29" s="102"/>
      <c r="N29" s="71"/>
    </row>
    <row r="30" spans="1:14" ht="15" customHeight="1">
      <c r="A30" s="314">
        <v>7</v>
      </c>
      <c r="B30" s="315" t="s">
        <v>863</v>
      </c>
      <c r="C30" s="315" t="s">
        <v>115</v>
      </c>
      <c r="D30" s="315" t="s">
        <v>113</v>
      </c>
      <c r="E30" s="314"/>
      <c r="F30" s="160">
        <f>2280*1.0936</f>
        <v>2493.4079999999999</v>
      </c>
      <c r="G30" s="517" t="s">
        <v>1070</v>
      </c>
      <c r="H30" s="79"/>
      <c r="I30" s="80">
        <v>5.5</v>
      </c>
      <c r="J30" s="81">
        <v>227</v>
      </c>
      <c r="K30" s="81">
        <f t="shared" ref="K30:K31" si="6">I30*J30</f>
        <v>1248.5</v>
      </c>
      <c r="L30" s="102"/>
      <c r="M30" s="102"/>
      <c r="N30" s="71"/>
    </row>
    <row r="31" spans="1:14" ht="15" customHeight="1">
      <c r="A31" s="314"/>
      <c r="B31" s="315"/>
      <c r="C31" s="315"/>
      <c r="D31" s="315"/>
      <c r="E31" s="314"/>
      <c r="F31" s="160"/>
      <c r="G31" s="517" t="s">
        <v>1067</v>
      </c>
      <c r="H31" s="79"/>
      <c r="I31" s="80">
        <v>3.5</v>
      </c>
      <c r="J31" s="81">
        <v>416</v>
      </c>
      <c r="K31" s="81">
        <f t="shared" si="6"/>
        <v>1456</v>
      </c>
      <c r="L31" s="102"/>
      <c r="M31" s="102"/>
      <c r="N31" s="71"/>
    </row>
    <row r="32" spans="1:14" ht="15" customHeight="1">
      <c r="A32" s="314"/>
      <c r="B32" s="315"/>
      <c r="C32" s="315"/>
      <c r="D32" s="315"/>
      <c r="E32" s="314"/>
      <c r="F32" s="160"/>
      <c r="G32" s="517" t="s">
        <v>1065</v>
      </c>
      <c r="H32" s="79"/>
      <c r="I32" s="80">
        <v>2</v>
      </c>
      <c r="J32" s="81">
        <v>165</v>
      </c>
      <c r="K32" s="81">
        <f>I32*J32</f>
        <v>330</v>
      </c>
      <c r="L32" s="102"/>
      <c r="M32" s="102"/>
      <c r="N32" s="71"/>
    </row>
    <row r="33" spans="1:14" ht="15" customHeight="1">
      <c r="A33" s="314"/>
      <c r="B33" s="315"/>
      <c r="C33" s="315"/>
      <c r="D33" s="315"/>
      <c r="E33" s="274" t="s">
        <v>9</v>
      </c>
      <c r="F33" s="110">
        <f>SUM(F30:F32)</f>
        <v>2493.4079999999999</v>
      </c>
      <c r="G33" s="274"/>
      <c r="H33" s="274"/>
      <c r="I33" s="125"/>
      <c r="J33" s="97"/>
      <c r="K33" s="111">
        <f>SUM(K30:K32)</f>
        <v>3034.5</v>
      </c>
      <c r="L33" s="111">
        <f>K33/F33</f>
        <v>1.2170090093558696</v>
      </c>
      <c r="M33" s="102"/>
      <c r="N33" s="71"/>
    </row>
    <row r="34" spans="1:14" ht="15" customHeight="1">
      <c r="A34" s="314">
        <v>8</v>
      </c>
      <c r="B34" s="577" t="s">
        <v>1131</v>
      </c>
      <c r="C34" s="315" t="s">
        <v>121</v>
      </c>
      <c r="D34" s="577" t="s">
        <v>120</v>
      </c>
      <c r="E34" s="314"/>
      <c r="F34" s="99">
        <f>2755*1.0936</f>
        <v>3012.8679999999999</v>
      </c>
      <c r="G34" s="517" t="s">
        <v>1070</v>
      </c>
      <c r="H34" s="79"/>
      <c r="I34" s="80">
        <v>3</v>
      </c>
      <c r="J34" s="81">
        <v>227</v>
      </c>
      <c r="K34" s="81">
        <f t="shared" ref="K34:K35" si="7">I34*J34</f>
        <v>681</v>
      </c>
      <c r="L34" s="102"/>
      <c r="M34" s="102"/>
      <c r="N34" s="71"/>
    </row>
    <row r="35" spans="1:14" ht="15" customHeight="1">
      <c r="A35" s="314"/>
      <c r="B35" s="315" t="s">
        <v>269</v>
      </c>
      <c r="C35" s="315"/>
      <c r="D35" s="315"/>
      <c r="E35" s="314"/>
      <c r="F35" s="160">
        <f>250*1.0936</f>
        <v>273.39999999999998</v>
      </c>
      <c r="G35" s="517" t="s">
        <v>1067</v>
      </c>
      <c r="H35" s="79"/>
      <c r="I35" s="80">
        <v>2</v>
      </c>
      <c r="J35" s="81">
        <v>416</v>
      </c>
      <c r="K35" s="81">
        <f t="shared" si="7"/>
        <v>832</v>
      </c>
      <c r="L35" s="102"/>
      <c r="M35" s="102"/>
      <c r="N35" s="71"/>
    </row>
    <row r="36" spans="1:14" ht="15" customHeight="1">
      <c r="A36" s="314"/>
      <c r="B36" s="315"/>
      <c r="C36" s="315"/>
      <c r="D36" s="315"/>
      <c r="E36" s="314"/>
      <c r="F36" s="160"/>
      <c r="G36" s="517" t="s">
        <v>1065</v>
      </c>
      <c r="H36" s="79"/>
      <c r="I36" s="80">
        <v>1</v>
      </c>
      <c r="J36" s="81">
        <v>165</v>
      </c>
      <c r="K36" s="81">
        <f>I36*J36</f>
        <v>165</v>
      </c>
      <c r="L36" s="102"/>
      <c r="M36" s="102"/>
      <c r="N36" s="71"/>
    </row>
    <row r="37" spans="1:14" ht="15" customHeight="1">
      <c r="A37" s="314"/>
      <c r="B37" s="315"/>
      <c r="C37" s="315"/>
      <c r="D37" s="315"/>
      <c r="E37" s="274" t="s">
        <v>9</v>
      </c>
      <c r="F37" s="110">
        <f>SUM(F34:F36)</f>
        <v>3286.268</v>
      </c>
      <c r="G37" s="274"/>
      <c r="H37" s="274"/>
      <c r="I37" s="125"/>
      <c r="J37" s="97"/>
      <c r="K37" s="111">
        <f>SUM(K34:K36)</f>
        <v>1678</v>
      </c>
      <c r="L37" s="111">
        <f>K37/F37</f>
        <v>0.51060960335553884</v>
      </c>
      <c r="M37" s="102"/>
      <c r="N37" s="71"/>
    </row>
    <row r="38" spans="1:14" ht="15" customHeight="1">
      <c r="A38" s="314">
        <v>9</v>
      </c>
      <c r="B38" s="315" t="s">
        <v>865</v>
      </c>
      <c r="C38" s="315" t="s">
        <v>700</v>
      </c>
      <c r="D38" s="315" t="s">
        <v>297</v>
      </c>
      <c r="E38" s="314"/>
      <c r="F38" s="99">
        <f>35515*1.0936</f>
        <v>38839.203999999998</v>
      </c>
      <c r="G38" s="517" t="s">
        <v>1070</v>
      </c>
      <c r="H38" s="79"/>
      <c r="I38" s="80">
        <f>20+32</f>
        <v>52</v>
      </c>
      <c r="J38" s="81">
        <v>227</v>
      </c>
      <c r="K38" s="81">
        <f t="shared" ref="K38:K39" si="8">I38*J38</f>
        <v>11804</v>
      </c>
      <c r="L38" s="102"/>
      <c r="M38" s="102"/>
      <c r="N38" s="71"/>
    </row>
    <row r="39" spans="1:14" ht="15" customHeight="1">
      <c r="A39" s="314"/>
      <c r="B39" s="315"/>
      <c r="C39" s="315"/>
      <c r="D39" s="315"/>
      <c r="E39" s="314"/>
      <c r="F39" s="160"/>
      <c r="G39" s="517" t="s">
        <v>1067</v>
      </c>
      <c r="H39" s="79"/>
      <c r="I39" s="80">
        <f>12+20</f>
        <v>32</v>
      </c>
      <c r="J39" s="81">
        <v>416</v>
      </c>
      <c r="K39" s="81">
        <f t="shared" si="8"/>
        <v>13312</v>
      </c>
      <c r="L39" s="102"/>
      <c r="M39" s="102"/>
      <c r="N39" s="71"/>
    </row>
    <row r="40" spans="1:14" ht="15" customHeight="1">
      <c r="A40" s="314"/>
      <c r="B40" s="315"/>
      <c r="C40" s="315"/>
      <c r="D40" s="315"/>
      <c r="E40" s="314"/>
      <c r="F40" s="160"/>
      <c r="G40" s="517" t="s">
        <v>1065</v>
      </c>
      <c r="H40" s="79"/>
      <c r="I40" s="80">
        <f>16+26</f>
        <v>42</v>
      </c>
      <c r="J40" s="81">
        <v>165</v>
      </c>
      <c r="K40" s="81">
        <f>I40*J40</f>
        <v>6930</v>
      </c>
      <c r="L40" s="102"/>
      <c r="M40" s="102"/>
      <c r="N40" s="71"/>
    </row>
    <row r="41" spans="1:14" ht="15" customHeight="1">
      <c r="A41" s="314"/>
      <c r="B41" s="315"/>
      <c r="C41" s="315"/>
      <c r="D41" s="315"/>
      <c r="E41" s="274" t="s">
        <v>9</v>
      </c>
      <c r="F41" s="110">
        <f>SUM(F38:F40)</f>
        <v>38839.203999999998</v>
      </c>
      <c r="G41" s="274"/>
      <c r="H41" s="274"/>
      <c r="I41" s="125"/>
      <c r="J41" s="97"/>
      <c r="K41" s="111">
        <f>SUM(K38:K40)</f>
        <v>32046</v>
      </c>
      <c r="L41" s="111">
        <f>K41/F41</f>
        <v>0.8250941497153238</v>
      </c>
      <c r="M41" s="102"/>
      <c r="N41" s="71"/>
    </row>
    <row r="42" spans="1:14" ht="15" customHeight="1">
      <c r="A42" s="314">
        <v>10</v>
      </c>
      <c r="B42" s="315" t="s">
        <v>866</v>
      </c>
      <c r="C42" s="315" t="s">
        <v>792</v>
      </c>
      <c r="D42" s="315" t="s">
        <v>867</v>
      </c>
      <c r="E42" s="314"/>
      <c r="F42" s="160">
        <f>6281*1.0936</f>
        <v>6868.9015999999992</v>
      </c>
      <c r="G42" s="517" t="s">
        <v>24</v>
      </c>
      <c r="H42" s="79"/>
      <c r="I42" s="80">
        <v>120</v>
      </c>
      <c r="J42" s="81">
        <v>74</v>
      </c>
      <c r="K42" s="81">
        <f t="shared" ref="K42:K44" si="9">I42*J42</f>
        <v>8880</v>
      </c>
      <c r="L42" s="102"/>
      <c r="M42" s="102"/>
      <c r="N42" s="71"/>
    </row>
    <row r="43" spans="1:14" ht="15" customHeight="1">
      <c r="A43" s="314"/>
      <c r="B43" s="315"/>
      <c r="C43" s="315"/>
      <c r="D43" s="315"/>
      <c r="E43" s="314"/>
      <c r="F43" s="160"/>
      <c r="G43" s="88" t="s">
        <v>18</v>
      </c>
      <c r="H43" s="79"/>
      <c r="I43" s="80">
        <v>55</v>
      </c>
      <c r="J43" s="81">
        <v>46</v>
      </c>
      <c r="K43" s="81">
        <f t="shared" si="9"/>
        <v>2530</v>
      </c>
      <c r="L43" s="102"/>
      <c r="M43" s="102"/>
      <c r="N43" s="71"/>
    </row>
    <row r="44" spans="1:14" ht="15" customHeight="1">
      <c r="A44" s="314"/>
      <c r="B44" s="315"/>
      <c r="C44" s="315"/>
      <c r="D44" s="315"/>
      <c r="E44" s="314"/>
      <c r="F44" s="160"/>
      <c r="G44" s="517" t="s">
        <v>1067</v>
      </c>
      <c r="H44" s="79"/>
      <c r="I44" s="80">
        <v>14</v>
      </c>
      <c r="J44" s="81">
        <v>416</v>
      </c>
      <c r="K44" s="81">
        <f t="shared" si="9"/>
        <v>5824</v>
      </c>
      <c r="L44" s="102"/>
      <c r="M44" s="102"/>
      <c r="N44" s="71"/>
    </row>
    <row r="45" spans="1:14" ht="15" customHeight="1">
      <c r="A45" s="314"/>
      <c r="B45" s="315"/>
      <c r="C45" s="315"/>
      <c r="D45" s="315"/>
      <c r="E45" s="314"/>
      <c r="F45" s="160"/>
      <c r="G45" s="517" t="s">
        <v>1065</v>
      </c>
      <c r="H45" s="79"/>
      <c r="I45" s="80">
        <v>10</v>
      </c>
      <c r="J45" s="81">
        <v>165</v>
      </c>
      <c r="K45" s="81">
        <f>I45*J45</f>
        <v>1650</v>
      </c>
      <c r="L45" s="102"/>
      <c r="M45" s="102"/>
      <c r="N45" s="71"/>
    </row>
    <row r="46" spans="1:14" ht="15" customHeight="1">
      <c r="A46" s="314"/>
      <c r="B46" s="315"/>
      <c r="C46" s="315"/>
      <c r="D46" s="315"/>
      <c r="E46" s="314"/>
      <c r="F46" s="160"/>
      <c r="G46" s="518" t="s">
        <v>1066</v>
      </c>
      <c r="H46" s="79"/>
      <c r="I46" s="80">
        <v>13</v>
      </c>
      <c r="J46" s="81">
        <v>165</v>
      </c>
      <c r="K46" s="81">
        <f t="shared" ref="K46" si="10">I46*J46</f>
        <v>2145</v>
      </c>
      <c r="L46" s="102"/>
      <c r="M46" s="102"/>
      <c r="N46" s="71"/>
    </row>
    <row r="47" spans="1:14" ht="15" customHeight="1">
      <c r="A47" s="314"/>
      <c r="B47" s="315"/>
      <c r="C47" s="315"/>
      <c r="D47" s="315"/>
      <c r="E47" s="274" t="s">
        <v>9</v>
      </c>
      <c r="F47" s="110">
        <f>SUM(F42:F46)</f>
        <v>6868.9015999999992</v>
      </c>
      <c r="G47" s="274"/>
      <c r="H47" s="274"/>
      <c r="I47" s="125"/>
      <c r="J47" s="97"/>
      <c r="K47" s="111">
        <f>SUM(K42:K46)</f>
        <v>21029</v>
      </c>
      <c r="L47" s="111">
        <f>K47/F47</f>
        <v>3.0614792909538844</v>
      </c>
      <c r="M47" s="102"/>
      <c r="N47" s="71"/>
    </row>
    <row r="48" spans="1:14" ht="15" customHeight="1">
      <c r="A48" s="314">
        <v>11</v>
      </c>
      <c r="B48" s="315" t="s">
        <v>269</v>
      </c>
      <c r="C48" s="315"/>
      <c r="D48" s="315"/>
      <c r="E48" s="314"/>
      <c r="F48" s="160">
        <f>1856*1.0936</f>
        <v>2029.7215999999999</v>
      </c>
      <c r="G48" s="517" t="s">
        <v>24</v>
      </c>
      <c r="H48" s="79"/>
      <c r="I48" s="80">
        <v>25</v>
      </c>
      <c r="J48" s="81">
        <v>74</v>
      </c>
      <c r="K48" s="81">
        <f t="shared" ref="K48:K50" si="11">I48*J48</f>
        <v>1850</v>
      </c>
      <c r="L48" s="102"/>
      <c r="M48" s="102"/>
      <c r="N48" s="71"/>
    </row>
    <row r="49" spans="1:14" ht="15" customHeight="1">
      <c r="A49" s="314"/>
      <c r="B49" s="315"/>
      <c r="C49" s="315"/>
      <c r="D49" s="315"/>
      <c r="E49" s="314"/>
      <c r="F49" s="160"/>
      <c r="G49" s="88" t="s">
        <v>18</v>
      </c>
      <c r="H49" s="79"/>
      <c r="I49" s="80">
        <v>11</v>
      </c>
      <c r="J49" s="81">
        <v>46</v>
      </c>
      <c r="K49" s="81">
        <f t="shared" si="11"/>
        <v>506</v>
      </c>
      <c r="L49" s="102"/>
      <c r="M49" s="102"/>
      <c r="N49" s="71"/>
    </row>
    <row r="50" spans="1:14" ht="15" customHeight="1">
      <c r="A50" s="314"/>
      <c r="B50" s="315"/>
      <c r="C50" s="315"/>
      <c r="D50" s="315"/>
      <c r="E50" s="314"/>
      <c r="F50" s="160"/>
      <c r="G50" s="517" t="s">
        <v>1067</v>
      </c>
      <c r="H50" s="79"/>
      <c r="I50" s="80">
        <v>3</v>
      </c>
      <c r="J50" s="81">
        <v>416</v>
      </c>
      <c r="K50" s="81">
        <f t="shared" si="11"/>
        <v>1248</v>
      </c>
      <c r="L50" s="102"/>
      <c r="M50" s="102"/>
      <c r="N50" s="71"/>
    </row>
    <row r="51" spans="1:14" ht="15" customHeight="1">
      <c r="A51" s="314"/>
      <c r="B51" s="315"/>
      <c r="C51" s="315"/>
      <c r="D51" s="315"/>
      <c r="E51" s="314"/>
      <c r="F51" s="160"/>
      <c r="G51" s="517" t="s">
        <v>1065</v>
      </c>
      <c r="H51" s="79"/>
      <c r="I51" s="80">
        <v>2</v>
      </c>
      <c r="J51" s="81">
        <v>165</v>
      </c>
      <c r="K51" s="81">
        <f>I51*J51</f>
        <v>330</v>
      </c>
      <c r="L51" s="102"/>
      <c r="M51" s="102"/>
      <c r="N51" s="71"/>
    </row>
    <row r="52" spans="1:14" ht="15" customHeight="1">
      <c r="A52" s="314"/>
      <c r="B52" s="315"/>
      <c r="C52" s="315"/>
      <c r="D52" s="315"/>
      <c r="E52" s="314"/>
      <c r="F52" s="160"/>
      <c r="G52" s="518" t="s">
        <v>1066</v>
      </c>
      <c r="H52" s="79"/>
      <c r="I52" s="80">
        <v>2.5</v>
      </c>
      <c r="J52" s="81">
        <v>165</v>
      </c>
      <c r="K52" s="81">
        <f t="shared" ref="K52" si="12">I52*J52</f>
        <v>412.5</v>
      </c>
      <c r="L52" s="102"/>
      <c r="M52" s="102"/>
      <c r="N52" s="71"/>
    </row>
    <row r="53" spans="1:14" ht="15" customHeight="1">
      <c r="A53" s="314"/>
      <c r="B53" s="315"/>
      <c r="C53" s="315"/>
      <c r="D53" s="315"/>
      <c r="E53" s="274" t="s">
        <v>9</v>
      </c>
      <c r="F53" s="110">
        <f>SUM(F48:F52)</f>
        <v>2029.7215999999999</v>
      </c>
      <c r="G53" s="274"/>
      <c r="H53" s="274"/>
      <c r="I53" s="125"/>
      <c r="J53" s="97"/>
      <c r="K53" s="111">
        <f>SUM(K48:K52)</f>
        <v>4346.5</v>
      </c>
      <c r="L53" s="111">
        <f>K53/F53</f>
        <v>2.1414266863002296</v>
      </c>
      <c r="M53" s="102"/>
      <c r="N53" s="71"/>
    </row>
    <row r="54" spans="1:14" ht="15" customHeight="1">
      <c r="A54" s="71"/>
      <c r="B54" s="71"/>
      <c r="C54" s="71"/>
      <c r="D54" s="126" t="s">
        <v>30</v>
      </c>
      <c r="E54" s="126"/>
      <c r="F54" s="127">
        <f>F9+F13+F17+F21+F25+F29+F33+F37+F41+F47+F53</f>
        <v>87994.336800000005</v>
      </c>
      <c r="G54" s="128"/>
      <c r="H54" s="128"/>
      <c r="I54" s="128"/>
      <c r="J54" s="128"/>
      <c r="K54" s="127">
        <f>K9+K13+K17+K21+K25+K29+K33+K37+K41+K47+K53</f>
        <v>99318</v>
      </c>
      <c r="L54" s="129">
        <f>K54/F54</f>
        <v>1.128686272455661</v>
      </c>
      <c r="M54" s="71"/>
      <c r="N54" s="71"/>
    </row>
    <row r="55" spans="1:14" ht="15" customHeight="1">
      <c r="A55" s="70" t="s">
        <v>23</v>
      </c>
      <c r="B55" s="70"/>
      <c r="C55" s="70"/>
      <c r="D55" s="70"/>
      <c r="E55" s="70"/>
      <c r="F55" s="71"/>
      <c r="G55" s="71"/>
      <c r="H55" s="71"/>
      <c r="I55" s="71"/>
      <c r="J55" s="71"/>
      <c r="K55" s="824" t="s">
        <v>856</v>
      </c>
      <c r="L55" s="824"/>
      <c r="M55" s="824"/>
      <c r="N55" s="71"/>
    </row>
    <row r="56" spans="1:14" ht="15" customHeight="1">
      <c r="A56" s="172" t="s">
        <v>0</v>
      </c>
      <c r="B56" s="172" t="s">
        <v>7</v>
      </c>
      <c r="C56" s="172" t="s">
        <v>13</v>
      </c>
      <c r="D56" s="172" t="s">
        <v>14</v>
      </c>
      <c r="E56" s="172" t="s">
        <v>8</v>
      </c>
      <c r="F56" s="172" t="s">
        <v>1</v>
      </c>
      <c r="G56" s="172" t="s">
        <v>2</v>
      </c>
      <c r="H56" s="172" t="s">
        <v>15</v>
      </c>
      <c r="I56" s="172" t="s">
        <v>3</v>
      </c>
      <c r="J56" s="172" t="s">
        <v>4</v>
      </c>
      <c r="K56" s="172" t="s">
        <v>5</v>
      </c>
      <c r="L56" s="172" t="s">
        <v>12</v>
      </c>
      <c r="M56" s="172" t="s">
        <v>6</v>
      </c>
      <c r="N56" s="71"/>
    </row>
    <row r="57" spans="1:14" ht="15" customHeight="1">
      <c r="A57" s="120">
        <v>1</v>
      </c>
      <c r="B57" s="315" t="s">
        <v>859</v>
      </c>
      <c r="C57" s="315" t="s">
        <v>278</v>
      </c>
      <c r="D57" s="315" t="s">
        <v>790</v>
      </c>
      <c r="E57" s="314"/>
      <c r="F57" s="99">
        <f>9550*1.0936</f>
        <v>10443.879999999999</v>
      </c>
      <c r="G57" s="517" t="s">
        <v>24</v>
      </c>
      <c r="H57" s="79"/>
      <c r="I57" s="80">
        <v>280</v>
      </c>
      <c r="J57" s="81">
        <v>74</v>
      </c>
      <c r="K57" s="81">
        <f t="shared" ref="K57:K59" si="13">I57*J57</f>
        <v>20720</v>
      </c>
      <c r="L57" s="102"/>
      <c r="M57" s="124"/>
      <c r="N57" s="71"/>
    </row>
    <row r="58" spans="1:14" ht="15" customHeight="1">
      <c r="A58" s="120"/>
      <c r="B58" s="89"/>
      <c r="C58" s="89"/>
      <c r="D58" s="89"/>
      <c r="E58" s="120"/>
      <c r="F58" s="99"/>
      <c r="G58" s="88" t="s">
        <v>18</v>
      </c>
      <c r="H58" s="79"/>
      <c r="I58" s="80">
        <v>90</v>
      </c>
      <c r="J58" s="81">
        <v>46</v>
      </c>
      <c r="K58" s="81">
        <f t="shared" si="13"/>
        <v>4140</v>
      </c>
      <c r="L58" s="102"/>
      <c r="M58" s="102"/>
      <c r="N58" s="71"/>
    </row>
    <row r="59" spans="1:14" ht="15" customHeight="1">
      <c r="A59" s="120"/>
      <c r="B59" s="89"/>
      <c r="C59" s="89"/>
      <c r="D59" s="89"/>
      <c r="E59" s="120"/>
      <c r="F59" s="99"/>
      <c r="G59" s="517" t="s">
        <v>1067</v>
      </c>
      <c r="H59" s="79"/>
      <c r="I59" s="80">
        <v>45</v>
      </c>
      <c r="J59" s="81">
        <v>416</v>
      </c>
      <c r="K59" s="81">
        <f t="shared" si="13"/>
        <v>18720</v>
      </c>
      <c r="L59" s="102"/>
      <c r="M59" s="102"/>
      <c r="N59" s="71"/>
    </row>
    <row r="60" spans="1:14" ht="15" customHeight="1">
      <c r="A60" s="120"/>
      <c r="B60" s="89"/>
      <c r="C60" s="89"/>
      <c r="D60" s="89"/>
      <c r="E60" s="120"/>
      <c r="F60" s="99"/>
      <c r="G60" s="517" t="s">
        <v>1065</v>
      </c>
      <c r="H60" s="79"/>
      <c r="I60" s="80">
        <f>14+18</f>
        <v>32</v>
      </c>
      <c r="J60" s="81">
        <v>165</v>
      </c>
      <c r="K60" s="81">
        <f>I60*J60</f>
        <v>5280</v>
      </c>
      <c r="L60" s="102"/>
      <c r="M60" s="102"/>
      <c r="N60" s="71"/>
    </row>
    <row r="61" spans="1:14" ht="15" customHeight="1">
      <c r="A61" s="120"/>
      <c r="B61" s="89"/>
      <c r="C61" s="89"/>
      <c r="D61" s="89"/>
      <c r="E61" s="120"/>
      <c r="F61" s="99"/>
      <c r="G61" s="518" t="s">
        <v>1066</v>
      </c>
      <c r="H61" s="79"/>
      <c r="I61" s="80">
        <v>35</v>
      </c>
      <c r="J61" s="81">
        <v>165</v>
      </c>
      <c r="K61" s="81">
        <f t="shared" ref="K61" si="14">I61*J61</f>
        <v>5775</v>
      </c>
      <c r="L61" s="102"/>
      <c r="M61" s="102"/>
      <c r="N61" s="71"/>
    </row>
    <row r="62" spans="1:14" ht="15" customHeight="1">
      <c r="A62" s="120"/>
      <c r="B62" s="89"/>
      <c r="C62" s="89"/>
      <c r="D62" s="89"/>
      <c r="E62" s="172" t="s">
        <v>9</v>
      </c>
      <c r="F62" s="110">
        <f>SUM(F55:F61)</f>
        <v>10443.879999999999</v>
      </c>
      <c r="G62" s="172"/>
      <c r="H62" s="172"/>
      <c r="I62" s="125"/>
      <c r="J62" s="97"/>
      <c r="K62" s="111">
        <f>SUM(K57:K61)</f>
        <v>54635</v>
      </c>
      <c r="L62" s="111">
        <f>K62/F62</f>
        <v>5.2312933507470412</v>
      </c>
      <c r="M62" s="102"/>
      <c r="N62" s="71"/>
    </row>
    <row r="63" spans="1:14" ht="15" customHeight="1">
      <c r="A63" s="120">
        <v>2</v>
      </c>
      <c r="B63" s="315" t="s">
        <v>859</v>
      </c>
      <c r="C63" s="315" t="s">
        <v>278</v>
      </c>
      <c r="D63" s="315" t="s">
        <v>790</v>
      </c>
      <c r="E63" s="314"/>
      <c r="F63" s="99">
        <f>8100*1.0936</f>
        <v>8858.16</v>
      </c>
      <c r="G63" s="517" t="s">
        <v>24</v>
      </c>
      <c r="H63" s="79"/>
      <c r="I63" s="80">
        <v>210</v>
      </c>
      <c r="J63" s="81">
        <v>74</v>
      </c>
      <c r="K63" s="81">
        <f t="shared" ref="K63:K65" si="15">I63*J63</f>
        <v>15540</v>
      </c>
      <c r="L63" s="102"/>
      <c r="M63" s="102"/>
      <c r="N63" s="71"/>
    </row>
    <row r="64" spans="1:14" ht="15" customHeight="1">
      <c r="A64" s="120"/>
      <c r="B64" s="120"/>
      <c r="C64" s="120"/>
      <c r="D64" s="120"/>
      <c r="E64" s="85"/>
      <c r="F64" s="98"/>
      <c r="G64" s="88" t="s">
        <v>18</v>
      </c>
      <c r="H64" s="79"/>
      <c r="I64" s="80">
        <v>130</v>
      </c>
      <c r="J64" s="81">
        <v>46</v>
      </c>
      <c r="K64" s="81">
        <f t="shared" si="15"/>
        <v>5980</v>
      </c>
      <c r="L64" s="102"/>
      <c r="M64" s="102"/>
      <c r="N64" s="71"/>
    </row>
    <row r="65" spans="1:14" ht="15" customHeight="1">
      <c r="A65" s="120"/>
      <c r="B65" s="120"/>
      <c r="C65" s="120"/>
      <c r="D65" s="120"/>
      <c r="E65" s="85"/>
      <c r="F65" s="98"/>
      <c r="G65" s="517" t="s">
        <v>1067</v>
      </c>
      <c r="H65" s="79"/>
      <c r="I65" s="80">
        <v>40</v>
      </c>
      <c r="J65" s="81">
        <v>416</v>
      </c>
      <c r="K65" s="81">
        <f t="shared" si="15"/>
        <v>16640</v>
      </c>
      <c r="L65" s="102"/>
      <c r="M65" s="102"/>
      <c r="N65" s="71"/>
    </row>
    <row r="66" spans="1:14" ht="15" customHeight="1">
      <c r="A66" s="120"/>
      <c r="B66" s="120"/>
      <c r="C66" s="120"/>
      <c r="D66" s="120"/>
      <c r="E66" s="85"/>
      <c r="F66" s="98"/>
      <c r="G66" s="517" t="s">
        <v>1065</v>
      </c>
      <c r="H66" s="79"/>
      <c r="I66" s="80">
        <v>25</v>
      </c>
      <c r="J66" s="81">
        <v>165</v>
      </c>
      <c r="K66" s="81">
        <f>I66*J66</f>
        <v>4125</v>
      </c>
      <c r="L66" s="102"/>
      <c r="M66" s="102"/>
      <c r="N66" s="71"/>
    </row>
    <row r="67" spans="1:14" ht="15" customHeight="1">
      <c r="A67" s="120"/>
      <c r="B67" s="120"/>
      <c r="C67" s="120"/>
      <c r="D67" s="120"/>
      <c r="E67" s="85"/>
      <c r="F67" s="98"/>
      <c r="G67" s="518" t="s">
        <v>1066</v>
      </c>
      <c r="H67" s="79"/>
      <c r="I67" s="80">
        <v>30</v>
      </c>
      <c r="J67" s="81">
        <v>165</v>
      </c>
      <c r="K67" s="81">
        <f t="shared" ref="K67" si="16">I67*J67</f>
        <v>4950</v>
      </c>
      <c r="L67" s="102"/>
      <c r="M67" s="102"/>
      <c r="N67" s="71"/>
    </row>
    <row r="68" spans="1:14" ht="15" customHeight="1">
      <c r="A68" s="120"/>
      <c r="B68" s="120"/>
      <c r="C68" s="120"/>
      <c r="D68" s="120"/>
      <c r="E68" s="172" t="s">
        <v>9</v>
      </c>
      <c r="F68" s="110">
        <f>SUM(F63:F67)</f>
        <v>8858.16</v>
      </c>
      <c r="G68" s="172"/>
      <c r="H68" s="172"/>
      <c r="I68" s="125"/>
      <c r="J68" s="97"/>
      <c r="K68" s="111">
        <f>SUM(K63:K67)</f>
        <v>47235</v>
      </c>
      <c r="L68" s="111">
        <f>K68/F68</f>
        <v>5.3323715083042078</v>
      </c>
      <c r="M68" s="102"/>
      <c r="N68" s="71"/>
    </row>
    <row r="69" spans="1:14" ht="15" customHeight="1">
      <c r="A69" s="120">
        <v>3</v>
      </c>
      <c r="B69" s="315" t="s">
        <v>863</v>
      </c>
      <c r="C69" s="315" t="s">
        <v>115</v>
      </c>
      <c r="D69" s="315" t="s">
        <v>113</v>
      </c>
      <c r="E69" s="314"/>
      <c r="F69" s="160">
        <f>2630*1.0936</f>
        <v>2876.1679999999997</v>
      </c>
      <c r="G69" s="517" t="s">
        <v>24</v>
      </c>
      <c r="H69" s="79"/>
      <c r="I69" s="80">
        <v>90</v>
      </c>
      <c r="J69" s="81">
        <v>74</v>
      </c>
      <c r="K69" s="81">
        <f t="shared" ref="K69:K71" si="17">I69*J69</f>
        <v>6660</v>
      </c>
      <c r="L69" s="102"/>
      <c r="M69" s="102"/>
      <c r="N69" s="71"/>
    </row>
    <row r="70" spans="1:14" ht="15" customHeight="1">
      <c r="A70" s="120"/>
      <c r="B70" s="315" t="s">
        <v>863</v>
      </c>
      <c r="C70" s="315" t="s">
        <v>115</v>
      </c>
      <c r="D70" s="315" t="s">
        <v>113</v>
      </c>
      <c r="E70" s="314"/>
      <c r="F70" s="160">
        <f>2410*1.0936</f>
        <v>2635.5759999999996</v>
      </c>
      <c r="G70" s="88" t="s">
        <v>18</v>
      </c>
      <c r="H70" s="79"/>
      <c r="I70" s="80">
        <v>50</v>
      </c>
      <c r="J70" s="81">
        <v>46</v>
      </c>
      <c r="K70" s="81">
        <f t="shared" si="17"/>
        <v>2300</v>
      </c>
      <c r="L70" s="102"/>
      <c r="M70" s="102"/>
      <c r="N70" s="71"/>
    </row>
    <row r="71" spans="1:14" ht="15" customHeight="1">
      <c r="A71" s="120"/>
      <c r="B71" s="120"/>
      <c r="C71" s="120"/>
      <c r="D71" s="120"/>
      <c r="E71" s="85"/>
      <c r="F71" s="99"/>
      <c r="G71" s="517" t="s">
        <v>1067</v>
      </c>
      <c r="H71" s="79"/>
      <c r="I71" s="80">
        <f>16+9</f>
        <v>25</v>
      </c>
      <c r="J71" s="81">
        <v>416</v>
      </c>
      <c r="K71" s="81">
        <f t="shared" si="17"/>
        <v>10400</v>
      </c>
      <c r="L71" s="102"/>
      <c r="M71" s="102"/>
      <c r="N71" s="71"/>
    </row>
    <row r="72" spans="1:14" ht="15" customHeight="1">
      <c r="A72" s="120"/>
      <c r="B72" s="120"/>
      <c r="C72" s="120"/>
      <c r="D72" s="120"/>
      <c r="E72" s="85"/>
      <c r="F72" s="99"/>
      <c r="G72" s="517" t="s">
        <v>1065</v>
      </c>
      <c r="H72" s="79"/>
      <c r="I72" s="80">
        <f>7+10</f>
        <v>17</v>
      </c>
      <c r="J72" s="81">
        <v>165</v>
      </c>
      <c r="K72" s="81">
        <f>I72*J72</f>
        <v>2805</v>
      </c>
      <c r="L72" s="102"/>
      <c r="M72" s="102"/>
      <c r="N72" s="71"/>
    </row>
    <row r="73" spans="1:14" ht="15" customHeight="1">
      <c r="A73" s="120"/>
      <c r="B73" s="120"/>
      <c r="C73" s="120"/>
      <c r="D73" s="120"/>
      <c r="E73" s="85"/>
      <c r="F73" s="99"/>
      <c r="G73" s="518" t="s">
        <v>1066</v>
      </c>
      <c r="H73" s="79"/>
      <c r="I73" s="80">
        <f>11</f>
        <v>11</v>
      </c>
      <c r="J73" s="81">
        <v>165</v>
      </c>
      <c r="K73" s="81">
        <f t="shared" ref="K73" si="18">I73*J73</f>
        <v>1815</v>
      </c>
      <c r="L73" s="102"/>
      <c r="M73" s="102"/>
      <c r="N73" s="71"/>
    </row>
    <row r="74" spans="1:14" ht="15" customHeight="1">
      <c r="A74" s="120"/>
      <c r="B74" s="120"/>
      <c r="C74" s="120"/>
      <c r="D74" s="120"/>
      <c r="E74" s="172" t="s">
        <v>9</v>
      </c>
      <c r="F74" s="110">
        <f>SUM(F69:F73)</f>
        <v>5511.7439999999988</v>
      </c>
      <c r="G74" s="172"/>
      <c r="H74" s="172"/>
      <c r="I74" s="125"/>
      <c r="J74" s="97"/>
      <c r="K74" s="111">
        <f>SUM(K69:K73)</f>
        <v>23980</v>
      </c>
      <c r="L74" s="111">
        <f>K74/F74</f>
        <v>4.3507100474913214</v>
      </c>
      <c r="M74" s="102"/>
      <c r="N74" s="71"/>
    </row>
    <row r="75" spans="1:14" ht="15" customHeight="1">
      <c r="A75" s="315">
        <v>5</v>
      </c>
      <c r="B75" s="315" t="s">
        <v>860</v>
      </c>
      <c r="C75" s="315" t="s">
        <v>861</v>
      </c>
      <c r="D75" s="315" t="s">
        <v>862</v>
      </c>
      <c r="E75" s="314"/>
      <c r="F75" s="99">
        <f>3120*1.0936</f>
        <v>3412.0319999999997</v>
      </c>
      <c r="G75" s="517" t="s">
        <v>24</v>
      </c>
      <c r="H75" s="79"/>
      <c r="I75" s="80">
        <v>50</v>
      </c>
      <c r="J75" s="81">
        <v>74</v>
      </c>
      <c r="K75" s="81">
        <f t="shared" ref="K75:K77" si="19">I75*J75</f>
        <v>3700</v>
      </c>
      <c r="L75" s="102"/>
      <c r="M75" s="102"/>
      <c r="N75" s="71"/>
    </row>
    <row r="76" spans="1:14" ht="15" customHeight="1">
      <c r="A76" s="315"/>
      <c r="B76" s="315"/>
      <c r="C76" s="315"/>
      <c r="D76" s="315"/>
      <c r="E76" s="315"/>
      <c r="F76" s="160"/>
      <c r="G76" s="88" t="s">
        <v>18</v>
      </c>
      <c r="H76" s="79"/>
      <c r="I76" s="80">
        <v>30</v>
      </c>
      <c r="J76" s="81">
        <v>46</v>
      </c>
      <c r="K76" s="81">
        <f t="shared" si="19"/>
        <v>1380</v>
      </c>
      <c r="L76" s="102"/>
      <c r="M76" s="102"/>
      <c r="N76" s="71"/>
    </row>
    <row r="77" spans="1:14" ht="15" customHeight="1">
      <c r="A77" s="315"/>
      <c r="B77" s="315"/>
      <c r="C77" s="315"/>
      <c r="D77" s="315"/>
      <c r="E77" s="315"/>
      <c r="F77" s="160"/>
      <c r="G77" s="517" t="s">
        <v>1067</v>
      </c>
      <c r="H77" s="79"/>
      <c r="I77" s="80">
        <v>13</v>
      </c>
      <c r="J77" s="81">
        <v>416</v>
      </c>
      <c r="K77" s="81">
        <f t="shared" si="19"/>
        <v>5408</v>
      </c>
      <c r="L77" s="102"/>
      <c r="M77" s="102"/>
      <c r="N77" s="71"/>
    </row>
    <row r="78" spans="1:14" ht="15" customHeight="1">
      <c r="A78" s="315"/>
      <c r="B78" s="315"/>
      <c r="C78" s="315"/>
      <c r="D78" s="315"/>
      <c r="E78" s="315"/>
      <c r="F78" s="160"/>
      <c r="G78" s="517" t="s">
        <v>1065</v>
      </c>
      <c r="H78" s="79"/>
      <c r="I78" s="80">
        <v>8</v>
      </c>
      <c r="J78" s="81">
        <v>165</v>
      </c>
      <c r="K78" s="81">
        <f>I78*J78</f>
        <v>1320</v>
      </c>
      <c r="L78" s="102"/>
      <c r="M78" s="102"/>
      <c r="N78" s="71"/>
    </row>
    <row r="79" spans="1:14" ht="15" customHeight="1">
      <c r="A79" s="315"/>
      <c r="B79" s="315"/>
      <c r="C79" s="315"/>
      <c r="D79" s="315"/>
      <c r="E79" s="315"/>
      <c r="F79" s="160"/>
      <c r="G79" s="518" t="s">
        <v>1066</v>
      </c>
      <c r="H79" s="79"/>
      <c r="I79" s="80">
        <v>5</v>
      </c>
      <c r="J79" s="81">
        <v>165</v>
      </c>
      <c r="K79" s="81">
        <f t="shared" ref="K79" si="20">I79*J79</f>
        <v>825</v>
      </c>
      <c r="L79" s="102"/>
      <c r="M79" s="102"/>
      <c r="N79" s="71"/>
    </row>
    <row r="80" spans="1:14" ht="15" customHeight="1">
      <c r="A80" s="315"/>
      <c r="B80" s="315"/>
      <c r="C80" s="315"/>
      <c r="D80" s="315"/>
      <c r="E80" s="274" t="s">
        <v>9</v>
      </c>
      <c r="F80" s="110">
        <f>SUM(F75:F79)</f>
        <v>3412.0319999999997</v>
      </c>
      <c r="G80" s="274"/>
      <c r="H80" s="274"/>
      <c r="I80" s="125"/>
      <c r="J80" s="97"/>
      <c r="K80" s="111">
        <f>SUM(K75:K79)</f>
        <v>12633</v>
      </c>
      <c r="L80" s="111">
        <f>K80/F80</f>
        <v>3.7024857914579936</v>
      </c>
      <c r="M80" s="102"/>
      <c r="N80" s="71"/>
    </row>
    <row r="81" spans="1:14" ht="15" customHeight="1">
      <c r="A81" s="315">
        <v>6</v>
      </c>
      <c r="B81" s="315" t="s">
        <v>277</v>
      </c>
      <c r="C81" s="315" t="s">
        <v>121</v>
      </c>
      <c r="D81" s="315" t="s">
        <v>864</v>
      </c>
      <c r="E81" s="314"/>
      <c r="F81" s="99">
        <f>2870*1.0936</f>
        <v>3138.6319999999996</v>
      </c>
      <c r="G81" s="517" t="s">
        <v>24</v>
      </c>
      <c r="H81" s="79"/>
      <c r="I81" s="80">
        <v>40</v>
      </c>
      <c r="J81" s="81">
        <v>74</v>
      </c>
      <c r="K81" s="81">
        <f t="shared" ref="K81:K83" si="21">I81*J81</f>
        <v>2960</v>
      </c>
      <c r="L81" s="102"/>
      <c r="M81" s="102"/>
      <c r="N81" s="71"/>
    </row>
    <row r="82" spans="1:14" ht="15" customHeight="1">
      <c r="A82" s="315"/>
      <c r="B82" s="315"/>
      <c r="C82" s="315"/>
      <c r="D82" s="315"/>
      <c r="E82" s="315"/>
      <c r="F82" s="160"/>
      <c r="G82" s="88" t="s">
        <v>18</v>
      </c>
      <c r="H82" s="79"/>
      <c r="I82" s="80">
        <v>20</v>
      </c>
      <c r="J82" s="81">
        <v>46</v>
      </c>
      <c r="K82" s="81">
        <f t="shared" si="21"/>
        <v>920</v>
      </c>
      <c r="L82" s="102"/>
      <c r="M82" s="102"/>
      <c r="N82" s="71"/>
    </row>
    <row r="83" spans="1:14" ht="15" customHeight="1">
      <c r="A83" s="315"/>
      <c r="B83" s="315"/>
      <c r="C83" s="315"/>
      <c r="D83" s="315"/>
      <c r="E83" s="315"/>
      <c r="F83" s="160"/>
      <c r="G83" s="517" t="s">
        <v>1067</v>
      </c>
      <c r="H83" s="79"/>
      <c r="I83" s="80">
        <v>10</v>
      </c>
      <c r="J83" s="81">
        <v>416</v>
      </c>
      <c r="K83" s="81">
        <f t="shared" si="21"/>
        <v>4160</v>
      </c>
      <c r="L83" s="102"/>
      <c r="M83" s="102"/>
      <c r="N83" s="71"/>
    </row>
    <row r="84" spans="1:14" ht="15" customHeight="1">
      <c r="A84" s="315"/>
      <c r="B84" s="315"/>
      <c r="C84" s="315"/>
      <c r="D84" s="315"/>
      <c r="E84" s="315"/>
      <c r="F84" s="160"/>
      <c r="G84" s="517" t="s">
        <v>1065</v>
      </c>
      <c r="H84" s="79"/>
      <c r="I84" s="80">
        <v>5</v>
      </c>
      <c r="J84" s="81">
        <v>165</v>
      </c>
      <c r="K84" s="81">
        <f>I84*J84</f>
        <v>825</v>
      </c>
      <c r="L84" s="102"/>
      <c r="M84" s="102"/>
      <c r="N84" s="71"/>
    </row>
    <row r="85" spans="1:14" ht="15" customHeight="1">
      <c r="A85" s="315"/>
      <c r="B85" s="315"/>
      <c r="C85" s="315"/>
      <c r="D85" s="315"/>
      <c r="E85" s="315"/>
      <c r="F85" s="160"/>
      <c r="G85" s="518" t="s">
        <v>1066</v>
      </c>
      <c r="H85" s="79"/>
      <c r="I85" s="80">
        <v>4</v>
      </c>
      <c r="J85" s="81">
        <v>165</v>
      </c>
      <c r="K85" s="81">
        <f t="shared" ref="K85" si="22">I85*J85</f>
        <v>660</v>
      </c>
      <c r="L85" s="102"/>
      <c r="M85" s="102"/>
      <c r="N85" s="71"/>
    </row>
    <row r="86" spans="1:14" ht="15" customHeight="1">
      <c r="A86" s="315"/>
      <c r="B86" s="315"/>
      <c r="C86" s="315"/>
      <c r="D86" s="315"/>
      <c r="E86" s="274" t="s">
        <v>9</v>
      </c>
      <c r="F86" s="110">
        <f>SUM(F81:F85)</f>
        <v>3138.6319999999996</v>
      </c>
      <c r="G86" s="274"/>
      <c r="H86" s="274"/>
      <c r="I86" s="125"/>
      <c r="J86" s="97"/>
      <c r="K86" s="111">
        <f>SUM(K81:K85)</f>
        <v>9525</v>
      </c>
      <c r="L86" s="111">
        <f>K86/F86</f>
        <v>3.0347616413775178</v>
      </c>
      <c r="M86" s="102"/>
      <c r="N86" s="71"/>
    </row>
    <row r="87" spans="1:14" ht="15" customHeight="1">
      <c r="A87" s="315">
        <v>7</v>
      </c>
      <c r="B87" s="315" t="s">
        <v>269</v>
      </c>
      <c r="C87" s="315"/>
      <c r="D87" s="315"/>
      <c r="E87" s="314"/>
      <c r="F87" s="160">
        <f>1341*1.0936</f>
        <v>1466.5175999999999</v>
      </c>
      <c r="G87" s="517" t="s">
        <v>24</v>
      </c>
      <c r="H87" s="79"/>
      <c r="I87" s="80">
        <v>20</v>
      </c>
      <c r="J87" s="81">
        <v>74</v>
      </c>
      <c r="K87" s="81">
        <f t="shared" ref="K87:K89" si="23">I87*J87</f>
        <v>1480</v>
      </c>
      <c r="L87" s="102"/>
      <c r="M87" s="102"/>
      <c r="N87" s="71"/>
    </row>
    <row r="88" spans="1:14" ht="15" customHeight="1">
      <c r="A88" s="315"/>
      <c r="B88" s="315"/>
      <c r="C88" s="315"/>
      <c r="D88" s="315"/>
      <c r="E88" s="315"/>
      <c r="F88" s="160"/>
      <c r="G88" s="88" t="s">
        <v>18</v>
      </c>
      <c r="H88" s="79"/>
      <c r="I88" s="80">
        <v>15</v>
      </c>
      <c r="J88" s="81">
        <v>46</v>
      </c>
      <c r="K88" s="81">
        <f t="shared" si="23"/>
        <v>690</v>
      </c>
      <c r="L88" s="102"/>
      <c r="M88" s="102"/>
      <c r="N88" s="71"/>
    </row>
    <row r="89" spans="1:14" ht="15" customHeight="1">
      <c r="A89" s="315"/>
      <c r="B89" s="315"/>
      <c r="C89" s="315"/>
      <c r="D89" s="315"/>
      <c r="E89" s="315"/>
      <c r="F89" s="160"/>
      <c r="G89" s="517" t="s">
        <v>1067</v>
      </c>
      <c r="H89" s="79"/>
      <c r="I89" s="80">
        <v>10</v>
      </c>
      <c r="J89" s="81">
        <v>416</v>
      </c>
      <c r="K89" s="81">
        <f t="shared" si="23"/>
        <v>4160</v>
      </c>
      <c r="L89" s="102"/>
      <c r="M89" s="102"/>
      <c r="N89" s="71"/>
    </row>
    <row r="90" spans="1:14" ht="15" customHeight="1">
      <c r="A90" s="315"/>
      <c r="B90" s="315"/>
      <c r="C90" s="315"/>
      <c r="D90" s="315"/>
      <c r="E90" s="315"/>
      <c r="F90" s="160"/>
      <c r="G90" s="517" t="s">
        <v>1065</v>
      </c>
      <c r="H90" s="79"/>
      <c r="I90" s="80">
        <v>5</v>
      </c>
      <c r="J90" s="81">
        <v>165</v>
      </c>
      <c r="K90" s="81">
        <f>I90*J90</f>
        <v>825</v>
      </c>
      <c r="L90" s="102"/>
      <c r="M90" s="102"/>
      <c r="N90" s="71"/>
    </row>
    <row r="91" spans="1:14" ht="15" customHeight="1">
      <c r="A91" s="315"/>
      <c r="B91" s="315"/>
      <c r="C91" s="315"/>
      <c r="D91" s="315"/>
      <c r="E91" s="315"/>
      <c r="F91" s="160"/>
      <c r="G91" s="518" t="s">
        <v>1066</v>
      </c>
      <c r="H91" s="79"/>
      <c r="I91" s="80">
        <v>4</v>
      </c>
      <c r="J91" s="81">
        <v>165</v>
      </c>
      <c r="K91" s="81">
        <f t="shared" ref="K91" si="24">I91*J91</f>
        <v>660</v>
      </c>
      <c r="L91" s="102"/>
      <c r="M91" s="102"/>
      <c r="N91" s="71"/>
    </row>
    <row r="92" spans="1:14" ht="15" customHeight="1">
      <c r="A92" s="85"/>
      <c r="B92" s="85"/>
      <c r="C92" s="85"/>
      <c r="D92" s="85"/>
      <c r="E92" s="172" t="s">
        <v>9</v>
      </c>
      <c r="F92" s="110">
        <f>SUM(F87:F91)</f>
        <v>1466.5175999999999</v>
      </c>
      <c r="G92" s="172"/>
      <c r="H92" s="172"/>
      <c r="I92" s="125"/>
      <c r="J92" s="97"/>
      <c r="K92" s="111">
        <f>SUM(K87:K91)</f>
        <v>7815</v>
      </c>
      <c r="L92" s="111">
        <f>K92/F92</f>
        <v>5.328950706080855</v>
      </c>
      <c r="M92" s="102"/>
      <c r="N92" s="71"/>
    </row>
    <row r="93" spans="1:14" ht="15" customHeight="1">
      <c r="A93" s="131"/>
      <c r="B93" s="131"/>
      <c r="C93" s="131"/>
      <c r="D93" s="172" t="s">
        <v>30</v>
      </c>
      <c r="E93" s="172"/>
      <c r="F93" s="127">
        <f>F62+F68+F74+F80+F86+F92</f>
        <v>32830.965599999996</v>
      </c>
      <c r="G93" s="132"/>
      <c r="H93" s="132"/>
      <c r="I93" s="132"/>
      <c r="J93" s="132"/>
      <c r="K93" s="127">
        <f>K62+K68+K74+K80+K86+K92</f>
        <v>155823</v>
      </c>
      <c r="L93" s="129">
        <f>K93/F93</f>
        <v>4.7462204401322881</v>
      </c>
      <c r="M93" s="102"/>
      <c r="N93" s="71"/>
    </row>
    <row r="94" spans="1:14" ht="15" customHeight="1">
      <c r="A94" s="70" t="s">
        <v>22</v>
      </c>
      <c r="B94" s="70"/>
      <c r="C94" s="70"/>
      <c r="D94" s="70"/>
      <c r="E94" s="70"/>
      <c r="F94" s="71"/>
      <c r="G94" s="71"/>
      <c r="H94" s="71"/>
      <c r="I94" s="71"/>
      <c r="J94" s="71"/>
      <c r="K94" s="824" t="s">
        <v>856</v>
      </c>
      <c r="L94" s="824"/>
      <c r="M94" s="824"/>
      <c r="N94" s="71"/>
    </row>
    <row r="95" spans="1:14" ht="15" customHeight="1">
      <c r="A95" s="172" t="s">
        <v>0</v>
      </c>
      <c r="B95" s="172" t="s">
        <v>7</v>
      </c>
      <c r="C95" s="172" t="s">
        <v>13</v>
      </c>
      <c r="D95" s="172" t="s">
        <v>14</v>
      </c>
      <c r="E95" s="172" t="s">
        <v>8</v>
      </c>
      <c r="F95" s="172" t="s">
        <v>1</v>
      </c>
      <c r="G95" s="172" t="s">
        <v>2</v>
      </c>
      <c r="H95" s="172" t="s">
        <v>15</v>
      </c>
      <c r="I95" s="172" t="s">
        <v>3</v>
      </c>
      <c r="J95" s="172" t="s">
        <v>4</v>
      </c>
      <c r="K95" s="172" t="s">
        <v>5</v>
      </c>
      <c r="L95" s="172" t="s">
        <v>12</v>
      </c>
      <c r="M95" s="172" t="s">
        <v>6</v>
      </c>
      <c r="N95" s="71"/>
    </row>
    <row r="96" spans="1:14" ht="15" customHeight="1">
      <c r="A96" s="85">
        <v>1</v>
      </c>
      <c r="B96" s="315" t="s">
        <v>767</v>
      </c>
      <c r="C96" s="315" t="s">
        <v>766</v>
      </c>
      <c r="D96" s="315" t="s">
        <v>465</v>
      </c>
      <c r="E96" s="314"/>
      <c r="F96" s="98">
        <f>4125*1.0936</f>
        <v>4511.0999999999995</v>
      </c>
      <c r="G96" s="120" t="s">
        <v>24</v>
      </c>
      <c r="H96" s="79"/>
      <c r="I96" s="80">
        <v>70</v>
      </c>
      <c r="J96" s="81">
        <v>74</v>
      </c>
      <c r="K96" s="81">
        <f t="shared" ref="K96:K97" si="25">I96*J96</f>
        <v>5180</v>
      </c>
      <c r="L96" s="102"/>
      <c r="M96" s="124"/>
      <c r="N96" s="71"/>
    </row>
    <row r="97" spans="1:14" ht="15" customHeight="1">
      <c r="A97" s="85"/>
      <c r="B97" s="315" t="s">
        <v>269</v>
      </c>
      <c r="C97" s="315"/>
      <c r="D97" s="315"/>
      <c r="E97" s="314"/>
      <c r="F97" s="160">
        <f>120*1.0936</f>
        <v>131.232</v>
      </c>
      <c r="G97" s="84" t="s">
        <v>10</v>
      </c>
      <c r="H97" s="79"/>
      <c r="I97" s="80">
        <v>5</v>
      </c>
      <c r="J97" s="81">
        <v>120</v>
      </c>
      <c r="K97" s="81">
        <f t="shared" si="25"/>
        <v>600</v>
      </c>
      <c r="L97" s="102"/>
      <c r="M97" s="102"/>
      <c r="N97" s="71"/>
    </row>
    <row r="98" spans="1:14" ht="15" customHeight="1">
      <c r="A98" s="85"/>
      <c r="B98" s="120"/>
      <c r="C98" s="120"/>
      <c r="D98" s="120"/>
      <c r="E98" s="172" t="s">
        <v>9</v>
      </c>
      <c r="F98" s="110">
        <f>SUM(F96:F97)</f>
        <v>4642.3319999999994</v>
      </c>
      <c r="G98" s="172"/>
      <c r="H98" s="172"/>
      <c r="I98" s="125"/>
      <c r="J98" s="97"/>
      <c r="K98" s="111">
        <f>SUM(K96:K97)</f>
        <v>5780</v>
      </c>
      <c r="L98" s="111">
        <f>K98/F98</f>
        <v>1.2450639032279467</v>
      </c>
      <c r="M98" s="102"/>
      <c r="N98" s="71"/>
    </row>
    <row r="99" spans="1:14" ht="15" customHeight="1">
      <c r="A99" s="85"/>
      <c r="B99" s="365" t="s">
        <v>904</v>
      </c>
      <c r="C99" s="315" t="s">
        <v>233</v>
      </c>
      <c r="D99" s="315" t="s">
        <v>869</v>
      </c>
      <c r="E99" s="315"/>
      <c r="F99" s="87">
        <f>9960*1.0936</f>
        <v>10892.255999999999</v>
      </c>
      <c r="G99" s="120" t="s">
        <v>24</v>
      </c>
      <c r="H99" s="79"/>
      <c r="I99" s="80">
        <v>160</v>
      </c>
      <c r="J99" s="81">
        <v>74</v>
      </c>
      <c r="K99" s="81">
        <f t="shared" ref="K99:K100" si="26">I99*J99</f>
        <v>11840</v>
      </c>
      <c r="L99" s="102"/>
      <c r="M99" s="102"/>
      <c r="N99" s="71"/>
    </row>
    <row r="100" spans="1:14" ht="15" customHeight="1">
      <c r="A100" s="85"/>
      <c r="B100" s="120"/>
      <c r="C100" s="120"/>
      <c r="D100" s="120"/>
      <c r="E100" s="85"/>
      <c r="F100" s="160"/>
      <c r="G100" s="84" t="s">
        <v>10</v>
      </c>
      <c r="H100" s="79"/>
      <c r="I100" s="80">
        <v>10</v>
      </c>
      <c r="J100" s="81">
        <v>120</v>
      </c>
      <c r="K100" s="81">
        <f t="shared" si="26"/>
        <v>1200</v>
      </c>
      <c r="L100" s="102"/>
      <c r="M100" s="102"/>
      <c r="N100" s="71"/>
    </row>
    <row r="101" spans="1:14" ht="15" customHeight="1">
      <c r="A101" s="85"/>
      <c r="B101" s="120"/>
      <c r="C101" s="120"/>
      <c r="D101" s="120"/>
      <c r="E101" s="172" t="s">
        <v>9</v>
      </c>
      <c r="F101" s="110">
        <f>SUM(F99:F100)</f>
        <v>10892.255999999999</v>
      </c>
      <c r="G101" s="172"/>
      <c r="H101" s="172"/>
      <c r="I101" s="125"/>
      <c r="J101" s="97"/>
      <c r="K101" s="111">
        <f>SUM(K99:K100)</f>
        <v>13040</v>
      </c>
      <c r="L101" s="111">
        <f>K101/F101</f>
        <v>1.1971808227790459</v>
      </c>
      <c r="M101" s="102"/>
      <c r="N101" s="71"/>
    </row>
    <row r="102" spans="1:14" ht="15" customHeight="1">
      <c r="A102" s="85">
        <v>2</v>
      </c>
      <c r="B102" s="315" t="s">
        <v>859</v>
      </c>
      <c r="C102" s="315" t="s">
        <v>278</v>
      </c>
      <c r="D102" s="315" t="s">
        <v>790</v>
      </c>
      <c r="E102" s="314"/>
      <c r="F102" s="99">
        <f>8170*1.0936</f>
        <v>8934.7119999999995</v>
      </c>
      <c r="G102" s="120" t="s">
        <v>24</v>
      </c>
      <c r="H102" s="79"/>
      <c r="I102" s="80">
        <v>150</v>
      </c>
      <c r="J102" s="81">
        <v>74</v>
      </c>
      <c r="K102" s="81">
        <f t="shared" ref="K102:K103" si="27">I102*J102</f>
        <v>11100</v>
      </c>
      <c r="L102" s="102"/>
      <c r="M102" s="102"/>
      <c r="N102" s="71"/>
    </row>
    <row r="103" spans="1:14" ht="15" customHeight="1">
      <c r="A103" s="85"/>
      <c r="B103" s="120"/>
      <c r="C103" s="120"/>
      <c r="D103" s="120"/>
      <c r="E103" s="85"/>
      <c r="F103" s="160"/>
      <c r="G103" s="84" t="s">
        <v>10</v>
      </c>
      <c r="H103" s="79"/>
      <c r="I103" s="80">
        <v>30</v>
      </c>
      <c r="J103" s="81">
        <v>120</v>
      </c>
      <c r="K103" s="81">
        <f t="shared" si="27"/>
        <v>3600</v>
      </c>
      <c r="L103" s="102"/>
      <c r="M103" s="102"/>
      <c r="N103" s="71"/>
    </row>
    <row r="104" spans="1:14" ht="15" customHeight="1">
      <c r="A104" s="85"/>
      <c r="B104" s="120"/>
      <c r="C104" s="120"/>
      <c r="D104" s="120"/>
      <c r="E104" s="172" t="s">
        <v>9</v>
      </c>
      <c r="F104" s="110">
        <f>SUM(F102:F103)</f>
        <v>8934.7119999999995</v>
      </c>
      <c r="G104" s="172"/>
      <c r="H104" s="172"/>
      <c r="I104" s="125"/>
      <c r="J104" s="97"/>
      <c r="K104" s="111">
        <f>SUM(K102:K103)</f>
        <v>14700</v>
      </c>
      <c r="L104" s="111">
        <f>K104/F104</f>
        <v>1.6452684764769139</v>
      </c>
      <c r="M104" s="102"/>
      <c r="N104" s="71"/>
    </row>
    <row r="105" spans="1:14" ht="15" customHeight="1">
      <c r="A105" s="71"/>
      <c r="B105" s="71"/>
      <c r="C105" s="71"/>
      <c r="D105" s="126" t="s">
        <v>30</v>
      </c>
      <c r="E105" s="126"/>
      <c r="F105" s="127">
        <f>F98+F101+F104</f>
        <v>24469.3</v>
      </c>
      <c r="G105" s="128"/>
      <c r="H105" s="128"/>
      <c r="I105" s="128"/>
      <c r="J105" s="128"/>
      <c r="K105" s="127">
        <f>K98+K101+K104</f>
        <v>33520</v>
      </c>
      <c r="L105" s="129">
        <f>K105/F105</f>
        <v>1.3698798085764612</v>
      </c>
      <c r="M105" s="71"/>
      <c r="N105" s="71"/>
    </row>
    <row r="106" spans="1:14" ht="15" customHeight="1">
      <c r="A106" s="70" t="s">
        <v>16</v>
      </c>
      <c r="B106" s="70"/>
      <c r="C106" s="70"/>
      <c r="D106" s="70"/>
      <c r="E106" s="70"/>
      <c r="F106" s="71"/>
      <c r="G106" s="71"/>
      <c r="H106" s="71"/>
      <c r="I106" s="71"/>
      <c r="J106" s="71"/>
      <c r="K106" s="824" t="s">
        <v>856</v>
      </c>
      <c r="L106" s="824"/>
      <c r="M106" s="824"/>
      <c r="N106" s="71"/>
    </row>
    <row r="107" spans="1:14" ht="15" customHeight="1">
      <c r="A107" s="172" t="s">
        <v>0</v>
      </c>
      <c r="B107" s="172" t="s">
        <v>7</v>
      </c>
      <c r="C107" s="172" t="s">
        <v>13</v>
      </c>
      <c r="D107" s="172" t="s">
        <v>14</v>
      </c>
      <c r="E107" s="172" t="s">
        <v>8</v>
      </c>
      <c r="F107" s="172" t="s">
        <v>1</v>
      </c>
      <c r="G107" s="172" t="s">
        <v>2</v>
      </c>
      <c r="H107" s="172" t="s">
        <v>15</v>
      </c>
      <c r="I107" s="172" t="s">
        <v>3</v>
      </c>
      <c r="J107" s="172" t="s">
        <v>4</v>
      </c>
      <c r="K107" s="172" t="s">
        <v>5</v>
      </c>
      <c r="L107" s="172" t="s">
        <v>12</v>
      </c>
      <c r="M107" s="172" t="s">
        <v>6</v>
      </c>
      <c r="N107" s="71"/>
    </row>
    <row r="108" spans="1:14" ht="15" customHeight="1">
      <c r="A108" s="85"/>
      <c r="B108" s="315" t="s">
        <v>767</v>
      </c>
      <c r="C108" s="315" t="s">
        <v>766</v>
      </c>
      <c r="D108" s="315" t="s">
        <v>465</v>
      </c>
      <c r="E108" s="85"/>
      <c r="F108" s="98">
        <f>4305*1.0936</f>
        <v>4707.9479999999994</v>
      </c>
      <c r="G108" s="315" t="s">
        <v>24</v>
      </c>
      <c r="H108" s="79"/>
      <c r="I108" s="80">
        <v>60</v>
      </c>
      <c r="J108" s="81">
        <v>74</v>
      </c>
      <c r="K108" s="81">
        <f t="shared" ref="K108" si="28">I108*J108</f>
        <v>4440</v>
      </c>
      <c r="L108" s="102"/>
      <c r="M108" s="139"/>
      <c r="N108" s="71"/>
    </row>
    <row r="109" spans="1:14" ht="15" customHeight="1">
      <c r="A109" s="85"/>
      <c r="B109" s="85"/>
      <c r="C109" s="85"/>
      <c r="D109" s="85"/>
      <c r="E109" s="85"/>
      <c r="F109" s="98"/>
      <c r="G109" s="120"/>
      <c r="H109" s="79"/>
      <c r="I109" s="80"/>
      <c r="J109" s="81"/>
      <c r="K109" s="81">
        <f t="shared" ref="K109" si="29">I109*J109</f>
        <v>0</v>
      </c>
      <c r="L109" s="102"/>
      <c r="M109" s="102"/>
      <c r="N109" s="71"/>
    </row>
    <row r="110" spans="1:14" ht="15" customHeight="1">
      <c r="A110" s="85"/>
      <c r="B110" s="85"/>
      <c r="C110" s="85"/>
      <c r="D110" s="85"/>
      <c r="E110" s="172" t="s">
        <v>9</v>
      </c>
      <c r="F110" s="110">
        <f>SUM(F108:F109)</f>
        <v>4707.9479999999994</v>
      </c>
      <c r="G110" s="172"/>
      <c r="H110" s="172"/>
      <c r="I110" s="125"/>
      <c r="J110" s="97"/>
      <c r="K110" s="111">
        <f>SUM(K108:K109)</f>
        <v>4440</v>
      </c>
      <c r="L110" s="111">
        <f>K110/F110</f>
        <v>0.94308603238608424</v>
      </c>
      <c r="M110" s="102"/>
      <c r="N110" s="71"/>
    </row>
    <row r="111" spans="1:14" ht="15" customHeight="1">
      <c r="A111" s="224"/>
      <c r="B111" s="224"/>
      <c r="C111" s="224"/>
      <c r="D111" s="126" t="s">
        <v>30</v>
      </c>
      <c r="E111" s="126"/>
      <c r="F111" s="127">
        <f>F110</f>
        <v>4707.9479999999994</v>
      </c>
      <c r="G111" s="128"/>
      <c r="H111" s="128"/>
      <c r="I111" s="128"/>
      <c r="J111" s="128"/>
      <c r="K111" s="127">
        <f>K110</f>
        <v>4440</v>
      </c>
      <c r="L111" s="129">
        <f>K111/F111</f>
        <v>0.94308603238608424</v>
      </c>
      <c r="M111" s="131"/>
      <c r="N111" s="71"/>
    </row>
    <row r="112" spans="1:14" ht="15" customHeight="1">
      <c r="A112" s="70" t="s">
        <v>72</v>
      </c>
      <c r="B112" s="70"/>
      <c r="C112" s="70"/>
      <c r="D112" s="70"/>
      <c r="E112" s="70"/>
      <c r="F112" s="71"/>
      <c r="G112" s="71"/>
      <c r="H112" s="71"/>
      <c r="I112" s="140"/>
      <c r="J112" s="71"/>
      <c r="K112" s="824" t="s">
        <v>856</v>
      </c>
      <c r="L112" s="824"/>
      <c r="M112" s="824"/>
      <c r="N112" s="71"/>
    </row>
    <row r="113" spans="1:14" ht="15" customHeight="1">
      <c r="A113" s="172" t="s">
        <v>0</v>
      </c>
      <c r="B113" s="172" t="s">
        <v>7</v>
      </c>
      <c r="C113" s="172" t="s">
        <v>13</v>
      </c>
      <c r="D113" s="172" t="s">
        <v>14</v>
      </c>
      <c r="E113" s="172" t="s">
        <v>8</v>
      </c>
      <c r="F113" s="172" t="s">
        <v>1</v>
      </c>
      <c r="G113" s="172" t="s">
        <v>2</v>
      </c>
      <c r="H113" s="172" t="s">
        <v>15</v>
      </c>
      <c r="I113" s="141" t="s">
        <v>3</v>
      </c>
      <c r="J113" s="172" t="s">
        <v>4</v>
      </c>
      <c r="K113" s="172" t="s">
        <v>5</v>
      </c>
      <c r="L113" s="172" t="s">
        <v>12</v>
      </c>
      <c r="M113" s="172" t="s">
        <v>6</v>
      </c>
      <c r="N113" s="123"/>
    </row>
    <row r="114" spans="1:14" ht="15" customHeight="1">
      <c r="A114" s="120">
        <v>9486</v>
      </c>
      <c r="B114" s="315" t="s">
        <v>767</v>
      </c>
      <c r="C114" s="89" t="s">
        <v>766</v>
      </c>
      <c r="D114" s="89" t="s">
        <v>465</v>
      </c>
      <c r="E114" s="315" t="s">
        <v>102</v>
      </c>
      <c r="F114" s="98">
        <f>6600*1.0936</f>
        <v>7217.7599999999993</v>
      </c>
      <c r="G114" s="316" t="s">
        <v>405</v>
      </c>
      <c r="H114" s="79"/>
      <c r="I114" s="80">
        <f>2.016+1.138+0.16+0.057+0.2</f>
        <v>3.5710000000000002</v>
      </c>
      <c r="J114" s="81">
        <v>1708</v>
      </c>
      <c r="K114" s="81">
        <f t="shared" ref="K114" si="30">I114*J114</f>
        <v>6099.268</v>
      </c>
      <c r="L114" s="79"/>
      <c r="M114" s="102"/>
      <c r="N114" s="71"/>
    </row>
    <row r="115" spans="1:14" ht="15" customHeight="1">
      <c r="A115" s="85"/>
      <c r="B115" s="120"/>
      <c r="C115" s="120"/>
      <c r="D115" s="120"/>
      <c r="E115" s="120"/>
      <c r="F115" s="87"/>
      <c r="G115" s="91" t="s">
        <v>192</v>
      </c>
      <c r="H115" s="79"/>
      <c r="I115" s="80">
        <f>2.736+1.858+0.42+0.17+0.22+0.1+0.3</f>
        <v>5.8039999999999994</v>
      </c>
      <c r="J115" s="81">
        <v>1126</v>
      </c>
      <c r="K115" s="81">
        <f t="shared" ref="K115:K120" si="31">I115*J115</f>
        <v>6535.3039999999992</v>
      </c>
      <c r="L115" s="102"/>
      <c r="M115" s="102"/>
      <c r="N115" s="71"/>
    </row>
    <row r="116" spans="1:14" ht="15" customHeight="1">
      <c r="A116" s="85"/>
      <c r="B116" s="3"/>
      <c r="C116" s="3"/>
      <c r="D116" s="3"/>
      <c r="E116" s="120"/>
      <c r="F116" s="4"/>
      <c r="G116" s="91" t="s">
        <v>193</v>
      </c>
      <c r="H116" s="79"/>
      <c r="I116" s="80">
        <f>15.84+9.768+2.112+1.216+1.3</f>
        <v>30.236000000000001</v>
      </c>
      <c r="J116" s="81">
        <v>1150</v>
      </c>
      <c r="K116" s="81">
        <f t="shared" si="31"/>
        <v>34771.4</v>
      </c>
      <c r="L116" s="79"/>
      <c r="M116" s="102"/>
      <c r="N116" s="71"/>
    </row>
    <row r="117" spans="1:14" ht="15" customHeight="1">
      <c r="A117" s="367"/>
      <c r="B117" s="3"/>
      <c r="C117" s="3"/>
      <c r="D117" s="3"/>
      <c r="E117" s="365"/>
      <c r="F117" s="4"/>
      <c r="G117" s="93" t="s">
        <v>315</v>
      </c>
      <c r="H117" s="79"/>
      <c r="I117" s="80">
        <f>0.05+0.42</f>
        <v>0.47</v>
      </c>
      <c r="J117" s="81">
        <v>2184</v>
      </c>
      <c r="K117" s="81">
        <f t="shared" si="31"/>
        <v>1026.48</v>
      </c>
      <c r="L117" s="79"/>
      <c r="M117" s="102"/>
      <c r="N117" s="71"/>
    </row>
    <row r="118" spans="1:14" ht="15" customHeight="1">
      <c r="A118" s="367"/>
      <c r="B118" s="3"/>
      <c r="C118" s="3"/>
      <c r="D118" s="3"/>
      <c r="E118" s="365"/>
      <c r="F118" s="4"/>
      <c r="G118" s="91" t="s">
        <v>286</v>
      </c>
      <c r="H118" s="79"/>
      <c r="I118" s="80">
        <f>1+0.2</f>
        <v>1.2</v>
      </c>
      <c r="J118" s="81">
        <v>2065</v>
      </c>
      <c r="K118" s="81">
        <f t="shared" si="31"/>
        <v>2478</v>
      </c>
      <c r="L118" s="79"/>
      <c r="M118" s="102"/>
      <c r="N118" s="71"/>
    </row>
    <row r="119" spans="1:14" ht="15" customHeight="1">
      <c r="A119" s="85"/>
      <c r="B119" s="3"/>
      <c r="C119" s="3"/>
      <c r="D119" s="3"/>
      <c r="E119" s="120"/>
      <c r="F119" s="4"/>
      <c r="G119" s="315" t="s">
        <v>184</v>
      </c>
      <c r="H119" s="315"/>
      <c r="I119" s="80">
        <f>6+4</f>
        <v>10</v>
      </c>
      <c r="J119" s="81">
        <v>336</v>
      </c>
      <c r="K119" s="94">
        <f t="shared" si="31"/>
        <v>3360</v>
      </c>
      <c r="L119" s="102"/>
      <c r="M119" s="102"/>
      <c r="N119" s="71"/>
    </row>
    <row r="120" spans="1:14" ht="15" customHeight="1">
      <c r="A120" s="85"/>
      <c r="B120" s="3"/>
      <c r="C120" s="3"/>
      <c r="D120" s="3"/>
      <c r="E120" s="3"/>
      <c r="F120" s="4"/>
      <c r="G120" s="95" t="s">
        <v>185</v>
      </c>
      <c r="H120" s="79"/>
      <c r="I120" s="96">
        <f>1.2+0.8</f>
        <v>2</v>
      </c>
      <c r="J120" s="81">
        <v>490</v>
      </c>
      <c r="K120" s="81">
        <f t="shared" si="31"/>
        <v>980</v>
      </c>
      <c r="L120" s="102"/>
      <c r="M120" s="102"/>
      <c r="N120" s="71"/>
    </row>
    <row r="121" spans="1:14" ht="15" customHeight="1">
      <c r="A121" s="85"/>
      <c r="B121" s="3"/>
      <c r="C121" s="3"/>
      <c r="D121" s="3"/>
      <c r="E121" s="237" t="s">
        <v>9</v>
      </c>
      <c r="F121" s="110">
        <f>SUM(F114:F120)</f>
        <v>7217.7599999999993</v>
      </c>
      <c r="G121" s="237"/>
      <c r="H121" s="237"/>
      <c r="I121" s="125"/>
      <c r="J121" s="97"/>
      <c r="K121" s="111">
        <f>SUM(K114:K120)</f>
        <v>55250.452000000005</v>
      </c>
      <c r="L121" s="111">
        <f>K121/F121</f>
        <v>7.6547920684533723</v>
      </c>
      <c r="M121" s="102"/>
      <c r="N121" s="71"/>
    </row>
    <row r="122" spans="1:14" ht="15" customHeight="1">
      <c r="A122" s="85">
        <v>9484</v>
      </c>
      <c r="B122" s="315" t="s">
        <v>768</v>
      </c>
      <c r="C122" s="120" t="s">
        <v>121</v>
      </c>
      <c r="D122" s="315" t="s">
        <v>113</v>
      </c>
      <c r="E122" s="315" t="s">
        <v>132</v>
      </c>
      <c r="F122" s="87">
        <f>2620*1.0936</f>
        <v>2865.232</v>
      </c>
      <c r="G122" s="316" t="s">
        <v>405</v>
      </c>
      <c r="H122" s="79"/>
      <c r="I122" s="80">
        <f>0.25+0.56+0.3</f>
        <v>1.1100000000000001</v>
      </c>
      <c r="J122" s="81">
        <v>1708</v>
      </c>
      <c r="K122" s="81">
        <f t="shared" ref="K122:K128" si="32">I122*J122</f>
        <v>1895.88</v>
      </c>
      <c r="L122" s="79"/>
      <c r="M122" s="102"/>
      <c r="N122" s="71"/>
    </row>
    <row r="123" spans="1:14" ht="15" customHeight="1">
      <c r="A123" s="85"/>
      <c r="B123" s="120"/>
      <c r="C123" s="3"/>
      <c r="D123" s="3"/>
      <c r="E123" s="120"/>
      <c r="F123" s="4"/>
      <c r="G123" s="91" t="s">
        <v>192</v>
      </c>
      <c r="H123" s="79"/>
      <c r="I123" s="80">
        <f>1.25+0.88+0.1</f>
        <v>2.23</v>
      </c>
      <c r="J123" s="81">
        <v>1126</v>
      </c>
      <c r="K123" s="81">
        <f t="shared" si="32"/>
        <v>2510.98</v>
      </c>
      <c r="L123" s="102"/>
      <c r="M123" s="102"/>
      <c r="N123" s="71"/>
    </row>
    <row r="124" spans="1:14" ht="15" customHeight="1">
      <c r="A124" s="85"/>
      <c r="B124" s="3"/>
      <c r="C124" s="3"/>
      <c r="D124" s="3"/>
      <c r="E124" s="3"/>
      <c r="F124" s="4"/>
      <c r="G124" s="91" t="s">
        <v>199</v>
      </c>
      <c r="H124" s="79"/>
      <c r="I124" s="80">
        <f>11.65+7.456</f>
        <v>19.106000000000002</v>
      </c>
      <c r="J124" s="81">
        <v>530</v>
      </c>
      <c r="K124" s="81">
        <f t="shared" si="32"/>
        <v>10126.18</v>
      </c>
      <c r="L124" s="79"/>
      <c r="M124" s="102"/>
      <c r="N124" s="71"/>
    </row>
    <row r="125" spans="1:14" ht="15" customHeight="1">
      <c r="A125" s="428"/>
      <c r="B125" s="3"/>
      <c r="C125" s="3"/>
      <c r="D125" s="3"/>
      <c r="E125" s="3"/>
      <c r="F125" s="4"/>
      <c r="G125" s="91" t="s">
        <v>192</v>
      </c>
      <c r="H125" s="79"/>
      <c r="I125" s="80">
        <f>0.5+1.2</f>
        <v>1.7</v>
      </c>
      <c r="J125" s="81">
        <v>1126</v>
      </c>
      <c r="K125" s="81">
        <f t="shared" si="32"/>
        <v>1914.2</v>
      </c>
      <c r="L125" s="79"/>
      <c r="M125" s="102"/>
      <c r="N125" s="71"/>
    </row>
    <row r="126" spans="1:14" ht="15" customHeight="1">
      <c r="A126" s="428"/>
      <c r="B126" s="3"/>
      <c r="C126" s="3"/>
      <c r="D126" s="3"/>
      <c r="E126" s="3"/>
      <c r="F126" s="4"/>
      <c r="G126" s="93" t="s">
        <v>190</v>
      </c>
      <c r="H126" s="79"/>
      <c r="I126" s="80">
        <f>1.05+2.52</f>
        <v>3.5700000000000003</v>
      </c>
      <c r="J126" s="81">
        <v>644</v>
      </c>
      <c r="K126" s="81">
        <f t="shared" si="32"/>
        <v>2299.0800000000004</v>
      </c>
      <c r="L126" s="79"/>
      <c r="M126" s="102"/>
      <c r="N126" s="71"/>
    </row>
    <row r="127" spans="1:14" ht="15" customHeight="1">
      <c r="A127" s="85"/>
      <c r="B127" s="3"/>
      <c r="C127" s="3"/>
      <c r="D127" s="3"/>
      <c r="E127" s="3"/>
      <c r="F127" s="4"/>
      <c r="G127" s="315" t="s">
        <v>184</v>
      </c>
      <c r="H127" s="315"/>
      <c r="I127" s="80">
        <v>5</v>
      </c>
      <c r="J127" s="81">
        <v>336</v>
      </c>
      <c r="K127" s="94">
        <f t="shared" si="32"/>
        <v>1680</v>
      </c>
      <c r="L127" s="102"/>
      <c r="M127" s="102"/>
      <c r="N127" s="71"/>
    </row>
    <row r="128" spans="1:14" ht="15" customHeight="1">
      <c r="A128" s="85"/>
      <c r="B128" s="3"/>
      <c r="C128" s="3"/>
      <c r="D128" s="3"/>
      <c r="E128" s="3"/>
      <c r="F128" s="4"/>
      <c r="G128" s="95" t="s">
        <v>185</v>
      </c>
      <c r="H128" s="79"/>
      <c r="I128" s="96">
        <v>1</v>
      </c>
      <c r="J128" s="81">
        <v>490</v>
      </c>
      <c r="K128" s="81">
        <f t="shared" si="32"/>
        <v>490</v>
      </c>
      <c r="L128" s="102"/>
      <c r="M128" s="102"/>
      <c r="N128" s="71"/>
    </row>
    <row r="129" spans="1:14" ht="15" customHeight="1">
      <c r="A129" s="85"/>
      <c r="B129" s="3"/>
      <c r="C129" s="3"/>
      <c r="D129" s="3"/>
      <c r="E129" s="237" t="s">
        <v>9</v>
      </c>
      <c r="F129" s="110">
        <f>SUM(F122:F128)</f>
        <v>2865.232</v>
      </c>
      <c r="G129" s="237"/>
      <c r="H129" s="237"/>
      <c r="I129" s="125"/>
      <c r="J129" s="97"/>
      <c r="K129" s="111">
        <f>SUM(K122:K128)</f>
        <v>20916.320000000003</v>
      </c>
      <c r="L129" s="111">
        <f>K129/F129</f>
        <v>7.3000441151013264</v>
      </c>
      <c r="M129" s="102"/>
      <c r="N129" s="71"/>
    </row>
    <row r="130" spans="1:14" ht="15" customHeight="1">
      <c r="A130" s="89">
        <v>9482</v>
      </c>
      <c r="B130" s="315" t="s">
        <v>870</v>
      </c>
      <c r="C130" s="315" t="s">
        <v>513</v>
      </c>
      <c r="D130" s="315" t="s">
        <v>74</v>
      </c>
      <c r="E130" s="315" t="s">
        <v>779</v>
      </c>
      <c r="F130" s="87">
        <f>4350*1.0936</f>
        <v>4757.16</v>
      </c>
      <c r="G130" s="316" t="s">
        <v>405</v>
      </c>
      <c r="H130" s="79"/>
      <c r="I130" s="80">
        <f>6.23+3.85+0.237</f>
        <v>10.317</v>
      </c>
      <c r="J130" s="81">
        <v>1708</v>
      </c>
      <c r="K130" s="81">
        <f t="shared" ref="K130:K136" si="33">I130*J130</f>
        <v>17621.436000000002</v>
      </c>
      <c r="L130" s="102"/>
      <c r="M130" s="102"/>
      <c r="N130" s="71"/>
    </row>
    <row r="131" spans="1:14" ht="15" customHeight="1">
      <c r="A131" s="85"/>
      <c r="B131" s="85"/>
      <c r="C131" s="85"/>
      <c r="D131" s="85"/>
      <c r="E131" s="120"/>
      <c r="F131" s="87"/>
      <c r="G131" s="316" t="s">
        <v>183</v>
      </c>
      <c r="H131" s="79"/>
      <c r="I131" s="80">
        <f>1.19+0.69+0.073</f>
        <v>1.9529999999999998</v>
      </c>
      <c r="J131" s="81">
        <v>1600</v>
      </c>
      <c r="K131" s="81">
        <f t="shared" si="33"/>
        <v>3124.7999999999997</v>
      </c>
      <c r="L131" s="102"/>
      <c r="M131" s="102"/>
      <c r="N131" s="71"/>
    </row>
    <row r="132" spans="1:14" ht="15" customHeight="1">
      <c r="A132" s="85"/>
      <c r="B132" s="85"/>
      <c r="C132" s="85"/>
      <c r="D132" s="85"/>
      <c r="E132" s="85"/>
      <c r="F132" s="98"/>
      <c r="G132" s="93" t="s">
        <v>315</v>
      </c>
      <c r="H132" s="79"/>
      <c r="I132" s="80">
        <f>6.65+4.15+0.255</f>
        <v>11.055000000000001</v>
      </c>
      <c r="J132" s="81">
        <v>2184</v>
      </c>
      <c r="K132" s="81">
        <f t="shared" si="33"/>
        <v>24144.120000000003</v>
      </c>
      <c r="L132" s="102"/>
      <c r="M132" s="102"/>
      <c r="N132" s="71"/>
    </row>
    <row r="133" spans="1:14" ht="15" customHeight="1">
      <c r="A133" s="367"/>
      <c r="B133" s="367"/>
      <c r="C133" s="367"/>
      <c r="D133" s="367"/>
      <c r="E133" s="367"/>
      <c r="F133" s="98"/>
      <c r="G133" s="366" t="s">
        <v>460</v>
      </c>
      <c r="H133" s="79"/>
      <c r="I133" s="80">
        <v>0.13</v>
      </c>
      <c r="J133" s="81">
        <v>920</v>
      </c>
      <c r="K133" s="81">
        <f t="shared" si="33"/>
        <v>119.60000000000001</v>
      </c>
      <c r="L133" s="102"/>
      <c r="M133" s="102"/>
      <c r="N133" s="71"/>
    </row>
    <row r="134" spans="1:14" ht="15" customHeight="1">
      <c r="A134" s="386"/>
      <c r="B134" s="386"/>
      <c r="C134" s="386"/>
      <c r="D134" s="386"/>
      <c r="E134" s="386"/>
      <c r="F134" s="98"/>
      <c r="G134" s="91" t="s">
        <v>194</v>
      </c>
      <c r="H134" s="36"/>
      <c r="I134" s="39">
        <v>3.5999999999999997E-2</v>
      </c>
      <c r="J134" s="40">
        <v>879</v>
      </c>
      <c r="K134" s="81">
        <f t="shared" si="33"/>
        <v>31.643999999999998</v>
      </c>
      <c r="L134" s="36"/>
      <c r="M134" s="102"/>
      <c r="N134" s="71"/>
    </row>
    <row r="135" spans="1:14" ht="15" customHeight="1">
      <c r="A135" s="85"/>
      <c r="B135" s="85"/>
      <c r="C135" s="85"/>
      <c r="D135" s="85"/>
      <c r="E135" s="85"/>
      <c r="F135" s="98"/>
      <c r="G135" s="315" t="s">
        <v>184</v>
      </c>
      <c r="H135" s="315"/>
      <c r="I135" s="80">
        <f>7+5</f>
        <v>12</v>
      </c>
      <c r="J135" s="81">
        <v>336</v>
      </c>
      <c r="K135" s="94">
        <f t="shared" si="33"/>
        <v>4032</v>
      </c>
      <c r="L135" s="102"/>
      <c r="M135" s="102"/>
      <c r="N135" s="71"/>
    </row>
    <row r="136" spans="1:14" ht="15" customHeight="1">
      <c r="A136" s="85"/>
      <c r="B136" s="85"/>
      <c r="C136" s="85"/>
      <c r="D136" s="85"/>
      <c r="E136" s="85"/>
      <c r="F136" s="98"/>
      <c r="G136" s="95" t="s">
        <v>185</v>
      </c>
      <c r="H136" s="79"/>
      <c r="I136" s="96">
        <f>1.5+1</f>
        <v>2.5</v>
      </c>
      <c r="J136" s="81">
        <v>490</v>
      </c>
      <c r="K136" s="81">
        <f t="shared" si="33"/>
        <v>1225</v>
      </c>
      <c r="L136" s="102"/>
      <c r="M136" s="102"/>
      <c r="N136" s="71"/>
    </row>
    <row r="137" spans="1:14" ht="15" customHeight="1">
      <c r="A137" s="85"/>
      <c r="B137" s="85"/>
      <c r="C137" s="85"/>
      <c r="D137" s="85"/>
      <c r="E137" s="172" t="s">
        <v>9</v>
      </c>
      <c r="F137" s="110">
        <f>SUM(F130:F136)</f>
        <v>4757.16</v>
      </c>
      <c r="G137" s="172"/>
      <c r="H137" s="172"/>
      <c r="I137" s="125"/>
      <c r="J137" s="97"/>
      <c r="K137" s="111">
        <f>SUM(K130:K136)</f>
        <v>50298.6</v>
      </c>
      <c r="L137" s="111">
        <f>K137/F137</f>
        <v>10.573241177509271</v>
      </c>
      <c r="M137" s="102"/>
      <c r="N137" s="71"/>
    </row>
    <row r="138" spans="1:14" ht="15" customHeight="1">
      <c r="A138" s="120">
        <v>9483</v>
      </c>
      <c r="B138" s="315" t="s">
        <v>871</v>
      </c>
      <c r="C138" s="315" t="s">
        <v>525</v>
      </c>
      <c r="D138" s="315" t="s">
        <v>872</v>
      </c>
      <c r="E138" s="315" t="s">
        <v>102</v>
      </c>
      <c r="F138" s="98">
        <f>290*1.0936</f>
        <v>317.14399999999995</v>
      </c>
      <c r="G138" s="316" t="s">
        <v>405</v>
      </c>
      <c r="H138" s="79"/>
      <c r="I138" s="80">
        <v>0.92</v>
      </c>
      <c r="J138" s="81">
        <v>1708</v>
      </c>
      <c r="K138" s="81">
        <f t="shared" ref="K138:K144" si="34">I138*J138</f>
        <v>1571.3600000000001</v>
      </c>
      <c r="L138" s="79"/>
      <c r="M138" s="102"/>
      <c r="N138" s="71"/>
    </row>
    <row r="139" spans="1:14" ht="15" customHeight="1">
      <c r="A139" s="120"/>
      <c r="B139" s="120"/>
      <c r="C139" s="120"/>
      <c r="D139" s="120"/>
      <c r="E139" s="315"/>
      <c r="F139" s="87"/>
      <c r="G139" s="91" t="s">
        <v>192</v>
      </c>
      <c r="H139" s="79"/>
      <c r="I139" s="80">
        <v>0.31</v>
      </c>
      <c r="J139" s="81">
        <v>1126</v>
      </c>
      <c r="K139" s="81">
        <f t="shared" si="34"/>
        <v>349.06</v>
      </c>
      <c r="L139" s="102"/>
      <c r="M139" s="102"/>
      <c r="N139" s="71"/>
    </row>
    <row r="140" spans="1:14" ht="15" customHeight="1">
      <c r="A140" s="85"/>
      <c r="B140" s="85"/>
      <c r="C140" s="85"/>
      <c r="D140" s="85"/>
      <c r="E140" s="315"/>
      <c r="F140" s="4"/>
      <c r="G140" s="91" t="s">
        <v>193</v>
      </c>
      <c r="H140" s="79"/>
      <c r="I140" s="80">
        <v>5.0999999999999996</v>
      </c>
      <c r="J140" s="81">
        <v>1150</v>
      </c>
      <c r="K140" s="81">
        <f t="shared" si="34"/>
        <v>5865</v>
      </c>
      <c r="L140" s="79"/>
      <c r="M140" s="102"/>
      <c r="N140" s="71"/>
    </row>
    <row r="141" spans="1:14" ht="15" customHeight="1">
      <c r="A141" s="386"/>
      <c r="B141" s="386"/>
      <c r="C141" s="386"/>
      <c r="D141" s="386"/>
      <c r="E141" s="387"/>
      <c r="F141" s="4"/>
      <c r="G141" s="91" t="s">
        <v>346</v>
      </c>
      <c r="H141" s="79"/>
      <c r="I141" s="80">
        <f>0.051+0.036</f>
        <v>8.6999999999999994E-2</v>
      </c>
      <c r="J141" s="81">
        <v>3837</v>
      </c>
      <c r="K141" s="81">
        <f t="shared" si="34"/>
        <v>333.81899999999996</v>
      </c>
      <c r="L141" s="79"/>
      <c r="M141" s="102"/>
      <c r="N141" s="71"/>
    </row>
    <row r="142" spans="1:14" ht="15" customHeight="1">
      <c r="A142" s="386"/>
      <c r="B142" s="386"/>
      <c r="C142" s="386"/>
      <c r="D142" s="386"/>
      <c r="E142" s="387"/>
      <c r="F142" s="4"/>
      <c r="G142" s="91" t="s">
        <v>279</v>
      </c>
      <c r="H142" s="79"/>
      <c r="I142" s="80">
        <f>0.375+0.108</f>
        <v>0.48299999999999998</v>
      </c>
      <c r="J142" s="81">
        <v>689</v>
      </c>
      <c r="K142" s="81">
        <f t="shared" si="34"/>
        <v>332.78699999999998</v>
      </c>
      <c r="L142" s="79"/>
      <c r="M142" s="102"/>
      <c r="N142" s="71"/>
    </row>
    <row r="143" spans="1:14" ht="15" customHeight="1">
      <c r="A143" s="85"/>
      <c r="B143" s="85"/>
      <c r="C143" s="85"/>
      <c r="D143" s="85"/>
      <c r="E143" s="315"/>
      <c r="F143" s="4"/>
      <c r="G143" s="315" t="s">
        <v>184</v>
      </c>
      <c r="H143" s="315"/>
      <c r="I143" s="80">
        <v>1</v>
      </c>
      <c r="J143" s="81">
        <v>336</v>
      </c>
      <c r="K143" s="94">
        <f t="shared" si="34"/>
        <v>336</v>
      </c>
      <c r="L143" s="102"/>
      <c r="M143" s="102"/>
      <c r="N143" s="71"/>
    </row>
    <row r="144" spans="1:14" ht="15" customHeight="1">
      <c r="A144" s="85"/>
      <c r="B144" s="85"/>
      <c r="C144" s="85"/>
      <c r="D144" s="85"/>
      <c r="E144" s="3"/>
      <c r="F144" s="4"/>
      <c r="G144" s="95" t="s">
        <v>185</v>
      </c>
      <c r="H144" s="79"/>
      <c r="I144" s="96">
        <v>0.2</v>
      </c>
      <c r="J144" s="81">
        <v>490</v>
      </c>
      <c r="K144" s="81">
        <f t="shared" si="34"/>
        <v>98</v>
      </c>
      <c r="L144" s="102"/>
      <c r="M144" s="102"/>
      <c r="N144" s="71"/>
    </row>
    <row r="145" spans="1:14" ht="15" customHeight="1">
      <c r="A145" s="85"/>
      <c r="B145" s="85"/>
      <c r="C145" s="85"/>
      <c r="D145" s="85"/>
      <c r="E145" s="172" t="s">
        <v>9</v>
      </c>
      <c r="F145" s="110">
        <f>SUM(F138:F144)</f>
        <v>317.14399999999995</v>
      </c>
      <c r="G145" s="172"/>
      <c r="H145" s="172"/>
      <c r="I145" s="125"/>
      <c r="J145" s="97"/>
      <c r="K145" s="111">
        <f>SUM(K138:K144)</f>
        <v>8886.0259999999998</v>
      </c>
      <c r="L145" s="111">
        <f>K145/F145</f>
        <v>28.01889993189214</v>
      </c>
      <c r="M145" s="102"/>
      <c r="N145" s="71"/>
    </row>
    <row r="146" spans="1:14" ht="15" customHeight="1">
      <c r="A146" s="85">
        <v>9475</v>
      </c>
      <c r="B146" s="315" t="s">
        <v>873</v>
      </c>
      <c r="C146" s="120" t="s">
        <v>121</v>
      </c>
      <c r="D146" s="89" t="s">
        <v>120</v>
      </c>
      <c r="E146" s="249" t="s">
        <v>874</v>
      </c>
      <c r="F146" s="87">
        <f>100*1.0936</f>
        <v>109.35999999999999</v>
      </c>
      <c r="G146" s="93" t="s">
        <v>258</v>
      </c>
      <c r="H146" s="79"/>
      <c r="I146" s="80">
        <v>0.12</v>
      </c>
      <c r="J146" s="81">
        <v>2801</v>
      </c>
      <c r="K146" s="81">
        <f t="shared" ref="K146:K150" si="35">I146*J146</f>
        <v>336.12</v>
      </c>
      <c r="L146" s="102"/>
      <c r="M146" s="102"/>
      <c r="N146" s="71"/>
    </row>
    <row r="147" spans="1:14" ht="15" customHeight="1">
      <c r="A147" s="85"/>
      <c r="B147" s="85"/>
      <c r="C147" s="85"/>
      <c r="D147" s="85"/>
      <c r="E147" s="120"/>
      <c r="F147" s="98"/>
      <c r="G147" s="93" t="s">
        <v>259</v>
      </c>
      <c r="H147" s="79"/>
      <c r="I147" s="80">
        <v>0.06</v>
      </c>
      <c r="J147" s="81">
        <v>2704</v>
      </c>
      <c r="K147" s="81">
        <f t="shared" si="35"/>
        <v>162.23999999999998</v>
      </c>
      <c r="L147" s="102"/>
      <c r="M147" s="102"/>
      <c r="N147" s="71"/>
    </row>
    <row r="148" spans="1:14" ht="15" customHeight="1">
      <c r="A148" s="85"/>
      <c r="B148" s="85"/>
      <c r="C148" s="85"/>
      <c r="D148" s="85"/>
      <c r="E148" s="85"/>
      <c r="F148" s="98"/>
      <c r="G148" s="91" t="s">
        <v>260</v>
      </c>
      <c r="H148" s="79"/>
      <c r="I148" s="80">
        <v>0.09</v>
      </c>
      <c r="J148" s="81">
        <v>4545</v>
      </c>
      <c r="K148" s="81">
        <f t="shared" si="35"/>
        <v>409.05</v>
      </c>
      <c r="L148" s="102"/>
      <c r="M148" s="102"/>
      <c r="N148" s="71"/>
    </row>
    <row r="149" spans="1:14" ht="15" customHeight="1">
      <c r="A149" s="85"/>
      <c r="B149" s="85"/>
      <c r="C149" s="85"/>
      <c r="D149" s="85"/>
      <c r="E149" s="85"/>
      <c r="F149" s="98"/>
      <c r="G149" s="315" t="s">
        <v>184</v>
      </c>
      <c r="H149" s="79"/>
      <c r="I149" s="80">
        <v>0.6</v>
      </c>
      <c r="J149" s="81">
        <v>336</v>
      </c>
      <c r="K149" s="81">
        <f t="shared" si="35"/>
        <v>201.6</v>
      </c>
      <c r="L149" s="102"/>
      <c r="M149" s="102"/>
      <c r="N149" s="71"/>
    </row>
    <row r="150" spans="1:14" ht="15" customHeight="1">
      <c r="A150" s="85"/>
      <c r="B150" s="85"/>
      <c r="C150" s="85"/>
      <c r="D150" s="85"/>
      <c r="E150" s="85"/>
      <c r="F150" s="98"/>
      <c r="G150" s="95" t="s">
        <v>185</v>
      </c>
      <c r="H150" s="79"/>
      <c r="I150" s="96">
        <v>0.12</v>
      </c>
      <c r="J150" s="81">
        <v>490</v>
      </c>
      <c r="K150" s="81">
        <f t="shared" si="35"/>
        <v>58.8</v>
      </c>
      <c r="L150" s="102"/>
      <c r="M150" s="102"/>
      <c r="N150" s="71"/>
    </row>
    <row r="151" spans="1:14" ht="15" customHeight="1">
      <c r="A151" s="85"/>
      <c r="B151" s="85"/>
      <c r="C151" s="85"/>
      <c r="D151" s="85"/>
      <c r="E151" s="172" t="s">
        <v>9</v>
      </c>
      <c r="F151" s="110">
        <f>SUM(F146:F150)</f>
        <v>109.35999999999999</v>
      </c>
      <c r="G151" s="172"/>
      <c r="H151" s="172"/>
      <c r="I151" s="125"/>
      <c r="J151" s="97"/>
      <c r="K151" s="111">
        <f>SUM(K146:K150)</f>
        <v>1167.81</v>
      </c>
      <c r="L151" s="111">
        <f>K151/F151</f>
        <v>10.678584491587419</v>
      </c>
      <c r="M151" s="102"/>
      <c r="N151" s="71"/>
    </row>
    <row r="152" spans="1:14" ht="15" customHeight="1">
      <c r="A152" s="120">
        <v>9472</v>
      </c>
      <c r="B152" s="315" t="s">
        <v>875</v>
      </c>
      <c r="C152" s="89" t="s">
        <v>233</v>
      </c>
      <c r="D152" s="89" t="s">
        <v>813</v>
      </c>
      <c r="E152" s="315" t="s">
        <v>876</v>
      </c>
      <c r="F152" s="87">
        <f>1100*1.0936</f>
        <v>1202.9599999999998</v>
      </c>
      <c r="G152" s="316" t="s">
        <v>405</v>
      </c>
      <c r="H152" s="79"/>
      <c r="I152" s="80">
        <f>1.2+0.408</f>
        <v>1.6079999999999999</v>
      </c>
      <c r="J152" s="81">
        <v>1708</v>
      </c>
      <c r="K152" s="81">
        <f t="shared" ref="K152:K156" si="36">I152*J152</f>
        <v>2746.4639999999999</v>
      </c>
      <c r="L152" s="102"/>
      <c r="M152" s="102"/>
      <c r="N152" s="71"/>
    </row>
    <row r="153" spans="1:14" ht="15" customHeight="1">
      <c r="A153" s="85"/>
      <c r="B153" s="85"/>
      <c r="C153" s="85"/>
      <c r="D153" s="85"/>
      <c r="E153" s="120"/>
      <c r="F153" s="98"/>
      <c r="G153" s="316" t="s">
        <v>183</v>
      </c>
      <c r="H153" s="79"/>
      <c r="I153" s="80">
        <v>0.53</v>
      </c>
      <c r="J153" s="81">
        <v>1600</v>
      </c>
      <c r="K153" s="81">
        <f t="shared" si="36"/>
        <v>848</v>
      </c>
      <c r="L153" s="102"/>
      <c r="M153" s="102"/>
      <c r="N153" s="71"/>
    </row>
    <row r="154" spans="1:14" ht="15" customHeight="1">
      <c r="A154" s="85"/>
      <c r="B154" s="85"/>
      <c r="C154" s="85"/>
      <c r="D154" s="85"/>
      <c r="E154" s="85"/>
      <c r="F154" s="98"/>
      <c r="G154" s="93" t="s">
        <v>315</v>
      </c>
      <c r="H154" s="79"/>
      <c r="I154" s="80">
        <f>2.67+0.42</f>
        <v>3.09</v>
      </c>
      <c r="J154" s="81">
        <v>2184</v>
      </c>
      <c r="K154" s="81">
        <f t="shared" si="36"/>
        <v>6748.5599999999995</v>
      </c>
      <c r="L154" s="102"/>
      <c r="M154" s="102"/>
      <c r="N154" s="71"/>
    </row>
    <row r="155" spans="1:14" ht="15" customHeight="1">
      <c r="A155" s="85"/>
      <c r="B155" s="85"/>
      <c r="C155" s="85"/>
      <c r="D155" s="85"/>
      <c r="E155" s="85"/>
      <c r="F155" s="98"/>
      <c r="G155" s="315" t="s">
        <v>184</v>
      </c>
      <c r="H155" s="315"/>
      <c r="I155" s="80">
        <v>5</v>
      </c>
      <c r="J155" s="81">
        <v>336</v>
      </c>
      <c r="K155" s="94">
        <f t="shared" si="36"/>
        <v>1680</v>
      </c>
      <c r="L155" s="102"/>
      <c r="M155" s="102"/>
      <c r="N155" s="71"/>
    </row>
    <row r="156" spans="1:14" ht="15" customHeight="1">
      <c r="A156" s="85"/>
      <c r="B156" s="85"/>
      <c r="C156" s="85"/>
      <c r="D156" s="85"/>
      <c r="E156" s="85"/>
      <c r="F156" s="98"/>
      <c r="G156" s="95" t="s">
        <v>185</v>
      </c>
      <c r="H156" s="79"/>
      <c r="I156" s="96">
        <v>1</v>
      </c>
      <c r="J156" s="81">
        <v>490</v>
      </c>
      <c r="K156" s="81">
        <f t="shared" si="36"/>
        <v>490</v>
      </c>
      <c r="L156" s="102"/>
      <c r="M156" s="102"/>
      <c r="N156" s="71"/>
    </row>
    <row r="157" spans="1:14" ht="15" customHeight="1">
      <c r="A157" s="85"/>
      <c r="B157" s="85"/>
      <c r="C157" s="85"/>
      <c r="D157" s="85"/>
      <c r="E157" s="172" t="s">
        <v>9</v>
      </c>
      <c r="F157" s="110">
        <f>SUM(F152:F156)</f>
        <v>1202.9599999999998</v>
      </c>
      <c r="G157" s="172"/>
      <c r="H157" s="172"/>
      <c r="I157" s="125"/>
      <c r="J157" s="97"/>
      <c r="K157" s="111">
        <f>SUM(K152:K156)</f>
        <v>12513.023999999999</v>
      </c>
      <c r="L157" s="111">
        <f>K157/F157</f>
        <v>10.401862073551907</v>
      </c>
      <c r="M157" s="102"/>
      <c r="N157" s="71"/>
    </row>
    <row r="158" spans="1:14" ht="15" customHeight="1">
      <c r="A158" s="224"/>
      <c r="B158" s="224"/>
      <c r="C158" s="224"/>
      <c r="D158" s="126" t="s">
        <v>30</v>
      </c>
      <c r="E158" s="126"/>
      <c r="F158" s="127">
        <f>F121+F129+F137+F145+F151+F157</f>
        <v>16469.615999999998</v>
      </c>
      <c r="G158" s="128"/>
      <c r="H158" s="128"/>
      <c r="I158" s="128"/>
      <c r="J158" s="128"/>
      <c r="K158" s="127">
        <f>K121+K129+K137+K145+K151+K157</f>
        <v>149032.23200000002</v>
      </c>
      <c r="L158" s="129">
        <f>K158/F158</f>
        <v>9.0489196590861649</v>
      </c>
      <c r="M158" s="131"/>
      <c r="N158" s="71"/>
    </row>
    <row r="159" spans="1:14" ht="15" customHeight="1">
      <c r="A159" s="70" t="s">
        <v>40</v>
      </c>
      <c r="B159" s="70"/>
      <c r="C159" s="70"/>
      <c r="D159" s="70"/>
      <c r="E159" s="70"/>
      <c r="F159" s="71"/>
      <c r="G159" s="71"/>
      <c r="H159" s="71"/>
      <c r="I159" s="140"/>
      <c r="J159" s="71"/>
      <c r="K159" s="824" t="s">
        <v>856</v>
      </c>
      <c r="L159" s="824"/>
      <c r="M159" s="824"/>
      <c r="N159" s="71"/>
    </row>
    <row r="160" spans="1:14" ht="15" customHeight="1">
      <c r="A160" s="172" t="s">
        <v>0</v>
      </c>
      <c r="B160" s="172" t="s">
        <v>7</v>
      </c>
      <c r="C160" s="172" t="s">
        <v>13</v>
      </c>
      <c r="D160" s="172" t="s">
        <v>14</v>
      </c>
      <c r="E160" s="172" t="s">
        <v>8</v>
      </c>
      <c r="F160" s="172" t="s">
        <v>1</v>
      </c>
      <c r="G160" s="172" t="s">
        <v>2</v>
      </c>
      <c r="H160" s="172" t="s">
        <v>15</v>
      </c>
      <c r="I160" s="141" t="s">
        <v>3</v>
      </c>
      <c r="J160" s="172" t="s">
        <v>4</v>
      </c>
      <c r="K160" s="172" t="s">
        <v>5</v>
      </c>
      <c r="L160" s="172" t="s">
        <v>12</v>
      </c>
      <c r="M160" s="172" t="s">
        <v>6</v>
      </c>
      <c r="N160" s="123"/>
    </row>
    <row r="161" spans="1:14" ht="15" customHeight="1">
      <c r="A161" s="315">
        <v>8964</v>
      </c>
      <c r="B161" s="315" t="s">
        <v>815</v>
      </c>
      <c r="C161" s="89" t="s">
        <v>785</v>
      </c>
      <c r="D161" s="89" t="s">
        <v>801</v>
      </c>
      <c r="E161" s="315" t="s">
        <v>635</v>
      </c>
      <c r="F161" s="87">
        <f>240*1.0936</f>
        <v>262.464</v>
      </c>
      <c r="G161" s="120" t="s">
        <v>27</v>
      </c>
      <c r="H161" s="79"/>
      <c r="I161" s="80">
        <v>100</v>
      </c>
      <c r="J161" s="81">
        <v>22</v>
      </c>
      <c r="K161" s="81">
        <f t="shared" ref="K161:K163" si="37">I161*J161</f>
        <v>2200</v>
      </c>
      <c r="L161" s="85"/>
      <c r="M161" s="85"/>
      <c r="N161" s="223"/>
    </row>
    <row r="162" spans="1:14" ht="15" customHeight="1">
      <c r="A162" s="315"/>
      <c r="B162" s="89"/>
      <c r="C162" s="89"/>
      <c r="D162" s="89"/>
      <c r="E162" s="120"/>
      <c r="F162" s="87"/>
      <c r="G162" s="83" t="s">
        <v>49</v>
      </c>
      <c r="H162" s="79"/>
      <c r="I162" s="80">
        <v>8</v>
      </c>
      <c r="J162" s="81">
        <v>34</v>
      </c>
      <c r="K162" s="81">
        <f t="shared" si="37"/>
        <v>272</v>
      </c>
      <c r="L162" s="85"/>
      <c r="M162" s="85"/>
      <c r="N162" s="223"/>
    </row>
    <row r="163" spans="1:14" ht="15" customHeight="1">
      <c r="A163" s="315"/>
      <c r="B163" s="85"/>
      <c r="C163" s="85"/>
      <c r="D163" s="85"/>
      <c r="E163" s="85"/>
      <c r="F163" s="85"/>
      <c r="G163" s="120" t="s">
        <v>19</v>
      </c>
      <c r="H163" s="79"/>
      <c r="I163" s="80">
        <v>2.4</v>
      </c>
      <c r="J163" s="81">
        <v>74</v>
      </c>
      <c r="K163" s="81">
        <f t="shared" si="37"/>
        <v>177.6</v>
      </c>
      <c r="L163" s="85"/>
      <c r="M163" s="85"/>
      <c r="N163" s="223"/>
    </row>
    <row r="164" spans="1:14" ht="15" customHeight="1">
      <c r="A164" s="315"/>
      <c r="B164" s="85"/>
      <c r="C164" s="85"/>
      <c r="D164" s="85"/>
      <c r="E164" s="172" t="s">
        <v>9</v>
      </c>
      <c r="F164" s="110">
        <f>SUM(F161:F163)</f>
        <v>262.464</v>
      </c>
      <c r="G164" s="172"/>
      <c r="H164" s="172"/>
      <c r="I164" s="125"/>
      <c r="J164" s="97"/>
      <c r="K164" s="111">
        <f>SUM(K161:K163)</f>
        <v>2649.6</v>
      </c>
      <c r="L164" s="111">
        <f>K164/F164</f>
        <v>10.095098756400878</v>
      </c>
      <c r="M164" s="102"/>
      <c r="N164" s="71"/>
    </row>
    <row r="165" spans="1:14" ht="15" customHeight="1">
      <c r="A165" s="315">
        <v>8970</v>
      </c>
      <c r="B165" s="315" t="s">
        <v>786</v>
      </c>
      <c r="C165" s="315" t="s">
        <v>513</v>
      </c>
      <c r="D165" s="315" t="s">
        <v>297</v>
      </c>
      <c r="E165" s="315" t="s">
        <v>787</v>
      </c>
      <c r="F165" s="87">
        <f>5340*1.0936</f>
        <v>5839.8239999999996</v>
      </c>
      <c r="G165" s="120" t="s">
        <v>27</v>
      </c>
      <c r="H165" s="79"/>
      <c r="I165" s="80">
        <v>300</v>
      </c>
      <c r="J165" s="81">
        <v>22</v>
      </c>
      <c r="K165" s="81">
        <f t="shared" ref="K165:K167" si="38">I165*J165</f>
        <v>6600</v>
      </c>
      <c r="L165" s="85"/>
      <c r="M165" s="85"/>
      <c r="N165" s="223"/>
    </row>
    <row r="166" spans="1:14" ht="15" customHeight="1">
      <c r="A166" s="315"/>
      <c r="B166" s="85"/>
      <c r="C166" s="85"/>
      <c r="D166" s="85"/>
      <c r="E166" s="85"/>
      <c r="F166" s="98"/>
      <c r="G166" s="83" t="s">
        <v>49</v>
      </c>
      <c r="H166" s="79"/>
      <c r="I166" s="80">
        <v>24</v>
      </c>
      <c r="J166" s="81">
        <v>34</v>
      </c>
      <c r="K166" s="81">
        <f t="shared" si="38"/>
        <v>816</v>
      </c>
      <c r="L166" s="85"/>
      <c r="M166" s="85"/>
      <c r="N166" s="223"/>
    </row>
    <row r="167" spans="1:14" ht="15" customHeight="1">
      <c r="A167" s="315"/>
      <c r="B167" s="85"/>
      <c r="C167" s="85"/>
      <c r="D167" s="85"/>
      <c r="E167" s="85"/>
      <c r="F167" s="85"/>
      <c r="G167" s="120" t="s">
        <v>19</v>
      </c>
      <c r="H167" s="79"/>
      <c r="I167" s="80">
        <v>7.2</v>
      </c>
      <c r="J167" s="81">
        <v>74</v>
      </c>
      <c r="K167" s="81">
        <f t="shared" si="38"/>
        <v>532.80000000000007</v>
      </c>
      <c r="L167" s="85"/>
      <c r="M167" s="85"/>
      <c r="N167" s="223"/>
    </row>
    <row r="168" spans="1:14" ht="15" customHeight="1">
      <c r="A168" s="315"/>
      <c r="B168" s="85"/>
      <c r="C168" s="85"/>
      <c r="D168" s="85"/>
      <c r="E168" s="172" t="s">
        <v>9</v>
      </c>
      <c r="F168" s="110">
        <f>SUM(F165:F167)</f>
        <v>5839.8239999999996</v>
      </c>
      <c r="G168" s="172"/>
      <c r="H168" s="172"/>
      <c r="I168" s="125"/>
      <c r="J168" s="97"/>
      <c r="K168" s="111">
        <f>SUM(K165:K167)</f>
        <v>7948.8</v>
      </c>
      <c r="L168" s="111">
        <f>K168/F168</f>
        <v>1.3611369109753995</v>
      </c>
      <c r="M168" s="102"/>
      <c r="N168" s="71"/>
    </row>
    <row r="169" spans="1:14" ht="15" customHeight="1">
      <c r="A169" s="315">
        <v>8999</v>
      </c>
      <c r="B169" s="315" t="s">
        <v>767</v>
      </c>
      <c r="C169" s="89" t="s">
        <v>766</v>
      </c>
      <c r="D169" s="89" t="s">
        <v>465</v>
      </c>
      <c r="E169" s="315" t="s">
        <v>102</v>
      </c>
      <c r="F169" s="98">
        <f>3600*1.0936</f>
        <v>3936.9599999999996</v>
      </c>
      <c r="G169" s="120" t="s">
        <v>27</v>
      </c>
      <c r="H169" s="79"/>
      <c r="I169" s="80">
        <v>200</v>
      </c>
      <c r="J169" s="81">
        <v>22</v>
      </c>
      <c r="K169" s="81">
        <f t="shared" ref="K169:K171" si="39">I169*J169</f>
        <v>4400</v>
      </c>
      <c r="L169" s="85"/>
      <c r="M169" s="85"/>
      <c r="N169" s="223"/>
    </row>
    <row r="170" spans="1:14" ht="15" customHeight="1">
      <c r="A170" s="315"/>
      <c r="B170" s="120"/>
      <c r="C170" s="120"/>
      <c r="D170" s="120"/>
      <c r="E170" s="85"/>
      <c r="F170" s="98"/>
      <c r="G170" s="83" t="s">
        <v>49</v>
      </c>
      <c r="H170" s="79"/>
      <c r="I170" s="80">
        <v>16</v>
      </c>
      <c r="J170" s="81">
        <v>34</v>
      </c>
      <c r="K170" s="81">
        <f t="shared" si="39"/>
        <v>544</v>
      </c>
      <c r="L170" s="85"/>
      <c r="M170" s="85"/>
      <c r="N170" s="223"/>
    </row>
    <row r="171" spans="1:14" ht="15" customHeight="1">
      <c r="A171" s="315"/>
      <c r="B171" s="85"/>
      <c r="C171" s="85"/>
      <c r="D171" s="85"/>
      <c r="E171" s="85"/>
      <c r="F171" s="85"/>
      <c r="G171" s="120" t="s">
        <v>19</v>
      </c>
      <c r="H171" s="79"/>
      <c r="I171" s="80">
        <v>4.8</v>
      </c>
      <c r="J171" s="81">
        <v>74</v>
      </c>
      <c r="K171" s="81">
        <f t="shared" si="39"/>
        <v>355.2</v>
      </c>
      <c r="L171" s="85"/>
      <c r="M171" s="85"/>
      <c r="N171" s="223"/>
    </row>
    <row r="172" spans="1:14" ht="15" customHeight="1">
      <c r="A172" s="315"/>
      <c r="B172" s="85"/>
      <c r="C172" s="85"/>
      <c r="D172" s="85"/>
      <c r="E172" s="172" t="s">
        <v>9</v>
      </c>
      <c r="F172" s="110">
        <f>SUM(F169:F171)</f>
        <v>3936.9599999999996</v>
      </c>
      <c r="G172" s="172"/>
      <c r="H172" s="172"/>
      <c r="I172" s="125"/>
      <c r="J172" s="97"/>
      <c r="K172" s="111">
        <f>SUM(K169:K171)</f>
        <v>5299.2</v>
      </c>
      <c r="L172" s="111">
        <f>K172/F172</f>
        <v>1.3460131675201172</v>
      </c>
      <c r="M172" s="85"/>
      <c r="N172" s="223"/>
    </row>
    <row r="173" spans="1:14" ht="15" customHeight="1">
      <c r="A173" s="315">
        <v>8999</v>
      </c>
      <c r="B173" s="315" t="s">
        <v>768</v>
      </c>
      <c r="C173" s="315" t="s">
        <v>121</v>
      </c>
      <c r="D173" s="315" t="s">
        <v>113</v>
      </c>
      <c r="E173" s="315" t="s">
        <v>132</v>
      </c>
      <c r="F173" s="87">
        <f>2620*1.0936</f>
        <v>2865.232</v>
      </c>
      <c r="G173" s="120" t="s">
        <v>27</v>
      </c>
      <c r="H173" s="79"/>
      <c r="I173" s="80">
        <v>225</v>
      </c>
      <c r="J173" s="81">
        <v>22</v>
      </c>
      <c r="K173" s="81">
        <f t="shared" ref="K173:K175" si="40">I173*J173</f>
        <v>4950</v>
      </c>
      <c r="L173" s="85"/>
      <c r="M173" s="85"/>
      <c r="N173" s="223"/>
    </row>
    <row r="174" spans="1:14" ht="15" customHeight="1">
      <c r="A174" s="315"/>
      <c r="B174" s="85"/>
      <c r="C174" s="85"/>
      <c r="D174" s="85"/>
      <c r="E174" s="85"/>
      <c r="F174" s="98"/>
      <c r="G174" s="83" t="s">
        <v>49</v>
      </c>
      <c r="H174" s="79"/>
      <c r="I174" s="80">
        <v>18</v>
      </c>
      <c r="J174" s="81">
        <v>34</v>
      </c>
      <c r="K174" s="81">
        <f t="shared" si="40"/>
        <v>612</v>
      </c>
      <c r="L174" s="85"/>
      <c r="M174" s="85"/>
      <c r="N174" s="223"/>
    </row>
    <row r="175" spans="1:14" ht="15" customHeight="1">
      <c r="A175" s="315"/>
      <c r="B175" s="85"/>
      <c r="C175" s="85"/>
      <c r="D175" s="85"/>
      <c r="E175" s="85"/>
      <c r="F175" s="85"/>
      <c r="G175" s="120" t="s">
        <v>19</v>
      </c>
      <c r="H175" s="79"/>
      <c r="I175" s="80">
        <v>5.4</v>
      </c>
      <c r="J175" s="81">
        <v>74</v>
      </c>
      <c r="K175" s="81">
        <f t="shared" si="40"/>
        <v>399.6</v>
      </c>
      <c r="L175" s="85"/>
      <c r="M175" s="85"/>
      <c r="N175" s="223"/>
    </row>
    <row r="176" spans="1:14" ht="15" customHeight="1">
      <c r="A176" s="315"/>
      <c r="B176" s="314"/>
      <c r="C176" s="314"/>
      <c r="D176" s="314"/>
      <c r="E176" s="274" t="s">
        <v>9</v>
      </c>
      <c r="F176" s="110">
        <f>SUM(F173:F175)</f>
        <v>2865.232</v>
      </c>
      <c r="G176" s="274"/>
      <c r="H176" s="274"/>
      <c r="I176" s="125"/>
      <c r="J176" s="97"/>
      <c r="K176" s="111">
        <f>SUM(K173:K175)</f>
        <v>5961.6</v>
      </c>
      <c r="L176" s="111">
        <f>K176/F176</f>
        <v>2.0806692093345323</v>
      </c>
      <c r="M176" s="314"/>
      <c r="N176" s="313"/>
    </row>
    <row r="177" spans="1:14" ht="15" customHeight="1">
      <c r="A177" s="315">
        <v>8970</v>
      </c>
      <c r="B177" s="315" t="s">
        <v>782</v>
      </c>
      <c r="C177" s="315" t="s">
        <v>233</v>
      </c>
      <c r="D177" s="315" t="s">
        <v>783</v>
      </c>
      <c r="E177" s="315" t="s">
        <v>784</v>
      </c>
      <c r="F177" s="87">
        <f>200*1.0936</f>
        <v>218.71999999999997</v>
      </c>
      <c r="G177" s="315" t="s">
        <v>27</v>
      </c>
      <c r="H177" s="79"/>
      <c r="I177" s="80">
        <f>40+2.2</f>
        <v>42.2</v>
      </c>
      <c r="J177" s="81">
        <v>22</v>
      </c>
      <c r="K177" s="81">
        <f t="shared" ref="K177:K179" si="41">I177*J177</f>
        <v>928.40000000000009</v>
      </c>
      <c r="L177" s="314"/>
      <c r="M177" s="314"/>
      <c r="N177" s="313"/>
    </row>
    <row r="178" spans="1:14" ht="15" customHeight="1">
      <c r="A178" s="315">
        <v>9000</v>
      </c>
      <c r="B178" s="315" t="s">
        <v>875</v>
      </c>
      <c r="C178" s="89" t="s">
        <v>233</v>
      </c>
      <c r="D178" s="89" t="s">
        <v>813</v>
      </c>
      <c r="E178" s="315" t="s">
        <v>876</v>
      </c>
      <c r="F178" s="87">
        <f>1100*1.0936</f>
        <v>1202.9599999999998</v>
      </c>
      <c r="G178" s="316" t="s">
        <v>49</v>
      </c>
      <c r="H178" s="79"/>
      <c r="I178" s="80">
        <f>8+0.55</f>
        <v>8.5500000000000007</v>
      </c>
      <c r="J178" s="81">
        <v>34</v>
      </c>
      <c r="K178" s="81">
        <f t="shared" si="41"/>
        <v>290.70000000000005</v>
      </c>
      <c r="L178" s="314"/>
      <c r="M178" s="314"/>
      <c r="N178" s="313"/>
    </row>
    <row r="179" spans="1:14" ht="15" customHeight="1">
      <c r="A179" s="315"/>
      <c r="B179" s="314"/>
      <c r="C179" s="314"/>
      <c r="D179" s="314"/>
      <c r="E179" s="314"/>
      <c r="F179" s="314"/>
      <c r="G179" s="315" t="s">
        <v>19</v>
      </c>
      <c r="H179" s="79"/>
      <c r="I179" s="80">
        <v>6.55</v>
      </c>
      <c r="J179" s="81">
        <v>74</v>
      </c>
      <c r="K179" s="81">
        <f t="shared" si="41"/>
        <v>484.7</v>
      </c>
      <c r="L179" s="314"/>
      <c r="M179" s="314"/>
      <c r="N179" s="313"/>
    </row>
    <row r="180" spans="1:14" ht="15" customHeight="1">
      <c r="A180" s="315"/>
      <c r="B180" s="314"/>
      <c r="C180" s="314"/>
      <c r="D180" s="314"/>
      <c r="E180" s="274" t="s">
        <v>9</v>
      </c>
      <c r="F180" s="110">
        <f>SUM(F177:F179)</f>
        <v>1421.6799999999998</v>
      </c>
      <c r="G180" s="274"/>
      <c r="H180" s="274"/>
      <c r="I180" s="125"/>
      <c r="J180" s="97"/>
      <c r="K180" s="111">
        <f>SUM(K177:K179)</f>
        <v>1703.8000000000002</v>
      </c>
      <c r="L180" s="111">
        <f>K180/F180</f>
        <v>1.1984412807382818</v>
      </c>
      <c r="M180" s="314"/>
      <c r="N180" s="313"/>
    </row>
    <row r="181" spans="1:14" ht="15" customHeight="1">
      <c r="A181" s="315">
        <v>8999</v>
      </c>
      <c r="B181" s="315" t="s">
        <v>877</v>
      </c>
      <c r="C181" s="89" t="s">
        <v>785</v>
      </c>
      <c r="D181" s="89" t="s">
        <v>801</v>
      </c>
      <c r="E181" s="315" t="s">
        <v>878</v>
      </c>
      <c r="F181" s="87">
        <f>700*1.0936</f>
        <v>765.52</v>
      </c>
      <c r="G181" s="315" t="s">
        <v>27</v>
      </c>
      <c r="H181" s="79"/>
      <c r="I181" s="80">
        <f>11+5</f>
        <v>16</v>
      </c>
      <c r="J181" s="81">
        <v>22</v>
      </c>
      <c r="K181" s="81">
        <f t="shared" ref="K181:K183" si="42">I181*J181</f>
        <v>352</v>
      </c>
      <c r="L181" s="314"/>
      <c r="M181" s="314"/>
      <c r="N181" s="313"/>
    </row>
    <row r="182" spans="1:14" ht="15" customHeight="1">
      <c r="A182" s="315"/>
      <c r="B182" s="314"/>
      <c r="C182" s="314"/>
      <c r="D182" s="314"/>
      <c r="E182" s="314"/>
      <c r="F182" s="314"/>
      <c r="G182" s="316" t="s">
        <v>49</v>
      </c>
      <c r="H182" s="79"/>
      <c r="I182" s="80">
        <f>6.2+2</f>
        <v>8.1999999999999993</v>
      </c>
      <c r="J182" s="81">
        <v>34</v>
      </c>
      <c r="K182" s="81">
        <f t="shared" si="42"/>
        <v>278.79999999999995</v>
      </c>
      <c r="L182" s="314"/>
      <c r="M182" s="314"/>
      <c r="N182" s="313"/>
    </row>
    <row r="183" spans="1:14" ht="15" customHeight="1">
      <c r="A183" s="315"/>
      <c r="B183" s="314"/>
      <c r="C183" s="314"/>
      <c r="D183" s="314"/>
      <c r="E183" s="314"/>
      <c r="F183" s="314"/>
      <c r="G183" s="95" t="s">
        <v>185</v>
      </c>
      <c r="H183" s="79"/>
      <c r="I183" s="80">
        <f>0.65+0.5</f>
        <v>1.1499999999999999</v>
      </c>
      <c r="J183" s="81">
        <v>490</v>
      </c>
      <c r="K183" s="81">
        <f t="shared" si="42"/>
        <v>563.5</v>
      </c>
      <c r="L183" s="314"/>
      <c r="M183" s="314"/>
      <c r="N183" s="313"/>
    </row>
    <row r="184" spans="1:14" ht="15" customHeight="1">
      <c r="A184" s="315"/>
      <c r="B184" s="314"/>
      <c r="C184" s="314"/>
      <c r="D184" s="314"/>
      <c r="E184" s="274" t="s">
        <v>9</v>
      </c>
      <c r="F184" s="110">
        <f>SUM(F181:F183)</f>
        <v>765.52</v>
      </c>
      <c r="G184" s="274"/>
      <c r="H184" s="274"/>
      <c r="I184" s="125"/>
      <c r="J184" s="97"/>
      <c r="K184" s="111">
        <f>SUM(K181:K183)</f>
        <v>1194.3</v>
      </c>
      <c r="L184" s="111">
        <f>K184/F184</f>
        <v>1.5601159995819835</v>
      </c>
      <c r="M184" s="153" t="s">
        <v>829</v>
      </c>
      <c r="N184" s="313"/>
    </row>
    <row r="185" spans="1:14" ht="15" customHeight="1">
      <c r="A185" s="315">
        <v>8964</v>
      </c>
      <c r="B185" s="315" t="s">
        <v>807</v>
      </c>
      <c r="C185" s="315" t="s">
        <v>513</v>
      </c>
      <c r="D185" s="315" t="s">
        <v>297</v>
      </c>
      <c r="E185" s="315" t="s">
        <v>784</v>
      </c>
      <c r="F185" s="87">
        <f>300*1.0936</f>
        <v>328.08</v>
      </c>
      <c r="G185" s="315" t="s">
        <v>27</v>
      </c>
      <c r="H185" s="79"/>
      <c r="I185" s="80">
        <v>19.5</v>
      </c>
      <c r="J185" s="81">
        <v>22</v>
      </c>
      <c r="K185" s="81">
        <f t="shared" ref="K185:K187" si="43">I185*J185</f>
        <v>429</v>
      </c>
      <c r="L185" s="314"/>
      <c r="M185" s="314"/>
      <c r="N185" s="313"/>
    </row>
    <row r="186" spans="1:14" ht="15" customHeight="1">
      <c r="A186" s="315"/>
      <c r="B186" s="314"/>
      <c r="C186" s="314"/>
      <c r="D186" s="314"/>
      <c r="E186" s="314"/>
      <c r="F186" s="314"/>
      <c r="G186" s="316" t="s">
        <v>49</v>
      </c>
      <c r="H186" s="79"/>
      <c r="I186" s="80">
        <v>2.6</v>
      </c>
      <c r="J186" s="81">
        <v>34</v>
      </c>
      <c r="K186" s="81">
        <f t="shared" si="43"/>
        <v>88.4</v>
      </c>
      <c r="L186" s="314"/>
      <c r="M186" s="314"/>
      <c r="N186" s="313"/>
    </row>
    <row r="187" spans="1:14" ht="15" customHeight="1">
      <c r="A187" s="315"/>
      <c r="B187" s="314"/>
      <c r="C187" s="314"/>
      <c r="D187" s="314"/>
      <c r="E187" s="314"/>
      <c r="F187" s="314"/>
      <c r="G187" s="315" t="s">
        <v>19</v>
      </c>
      <c r="H187" s="79"/>
      <c r="I187" s="80">
        <v>0.78</v>
      </c>
      <c r="J187" s="81">
        <v>74</v>
      </c>
      <c r="K187" s="81">
        <f t="shared" si="43"/>
        <v>57.72</v>
      </c>
      <c r="L187" s="314"/>
      <c r="M187" s="314"/>
      <c r="N187" s="313"/>
    </row>
    <row r="188" spans="1:14" ht="15" customHeight="1">
      <c r="A188" s="315"/>
      <c r="B188" s="314"/>
      <c r="C188" s="314"/>
      <c r="D188" s="314"/>
      <c r="E188" s="274" t="s">
        <v>9</v>
      </c>
      <c r="F188" s="110">
        <f>SUM(F185:F187)</f>
        <v>328.08</v>
      </c>
      <c r="G188" s="274"/>
      <c r="H188" s="274"/>
      <c r="I188" s="125"/>
      <c r="J188" s="97"/>
      <c r="K188" s="111">
        <f>SUM(K185:K187)</f>
        <v>575.12</v>
      </c>
      <c r="L188" s="111">
        <f>K188/F188</f>
        <v>1.7529870763228481</v>
      </c>
      <c r="M188" s="314"/>
      <c r="N188" s="313"/>
    </row>
    <row r="189" spans="1:14" ht="15" customHeight="1">
      <c r="A189" s="315">
        <v>8954</v>
      </c>
      <c r="B189" s="315" t="s">
        <v>827</v>
      </c>
      <c r="C189" s="315" t="s">
        <v>233</v>
      </c>
      <c r="D189" s="315" t="s">
        <v>648</v>
      </c>
      <c r="E189" s="315" t="s">
        <v>114</v>
      </c>
      <c r="F189" s="87">
        <f>1290*1.0936</f>
        <v>1410.7439999999999</v>
      </c>
      <c r="G189" s="315" t="s">
        <v>27</v>
      </c>
      <c r="H189" s="79"/>
      <c r="I189" s="80">
        <v>100</v>
      </c>
      <c r="J189" s="81">
        <v>22</v>
      </c>
      <c r="K189" s="81">
        <f t="shared" ref="K189:K191" si="44">I189*J189</f>
        <v>2200</v>
      </c>
      <c r="L189" s="314"/>
      <c r="M189" s="314"/>
      <c r="N189" s="313"/>
    </row>
    <row r="190" spans="1:14" ht="15" customHeight="1">
      <c r="A190" s="315"/>
      <c r="B190" s="314"/>
      <c r="C190" s="314"/>
      <c r="D190" s="314"/>
      <c r="E190" s="314"/>
      <c r="F190" s="314"/>
      <c r="G190" s="316" t="s">
        <v>49</v>
      </c>
      <c r="H190" s="79"/>
      <c r="I190" s="80">
        <v>8</v>
      </c>
      <c r="J190" s="81">
        <v>34</v>
      </c>
      <c r="K190" s="81">
        <f t="shared" si="44"/>
        <v>272</v>
      </c>
      <c r="L190" s="314"/>
      <c r="M190" s="314"/>
      <c r="N190" s="313"/>
    </row>
    <row r="191" spans="1:14" ht="15" customHeight="1">
      <c r="A191" s="315"/>
      <c r="B191" s="314"/>
      <c r="C191" s="314"/>
      <c r="D191" s="314"/>
      <c r="E191" s="314"/>
      <c r="F191" s="314"/>
      <c r="G191" s="315" t="s">
        <v>19</v>
      </c>
      <c r="H191" s="79"/>
      <c r="I191" s="80">
        <v>2.4</v>
      </c>
      <c r="J191" s="81">
        <v>74</v>
      </c>
      <c r="K191" s="81">
        <f t="shared" si="44"/>
        <v>177.6</v>
      </c>
      <c r="L191" s="314"/>
      <c r="M191" s="314"/>
      <c r="N191" s="313"/>
    </row>
    <row r="192" spans="1:14" ht="15" customHeight="1">
      <c r="A192" s="315"/>
      <c r="B192" s="314"/>
      <c r="C192" s="314"/>
      <c r="D192" s="314"/>
      <c r="E192" s="274" t="s">
        <v>9</v>
      </c>
      <c r="F192" s="110">
        <f>SUM(F189:F191)</f>
        <v>1410.7439999999999</v>
      </c>
      <c r="G192" s="274"/>
      <c r="H192" s="274"/>
      <c r="I192" s="125"/>
      <c r="J192" s="97"/>
      <c r="K192" s="111">
        <f>SUM(K189:K191)</f>
        <v>2649.6</v>
      </c>
      <c r="L192" s="111">
        <f>K192/F192</f>
        <v>1.8781579081676052</v>
      </c>
      <c r="M192" s="314"/>
      <c r="N192" s="313"/>
    </row>
    <row r="193" spans="1:14" ht="15" customHeight="1">
      <c r="A193" s="315">
        <v>8955</v>
      </c>
      <c r="B193" s="314" t="s">
        <v>269</v>
      </c>
      <c r="C193" s="314"/>
      <c r="D193" s="314"/>
      <c r="E193" s="314"/>
      <c r="F193" s="87">
        <f>300*1.0936</f>
        <v>328.08</v>
      </c>
      <c r="G193" s="315" t="s">
        <v>27</v>
      </c>
      <c r="H193" s="79"/>
      <c r="I193" s="80">
        <v>75</v>
      </c>
      <c r="J193" s="81">
        <v>22</v>
      </c>
      <c r="K193" s="81">
        <f t="shared" ref="K193:K195" si="45">I193*J193</f>
        <v>1650</v>
      </c>
      <c r="L193" s="314"/>
      <c r="M193" s="314"/>
      <c r="N193" s="313"/>
    </row>
    <row r="194" spans="1:14" ht="15" customHeight="1">
      <c r="A194" s="315"/>
      <c r="B194" s="314"/>
      <c r="C194" s="314"/>
      <c r="D194" s="314"/>
      <c r="E194" s="314"/>
      <c r="F194" s="314"/>
      <c r="G194" s="316" t="s">
        <v>49</v>
      </c>
      <c r="H194" s="79"/>
      <c r="I194" s="80">
        <v>6</v>
      </c>
      <c r="J194" s="81">
        <v>34</v>
      </c>
      <c r="K194" s="81">
        <f t="shared" si="45"/>
        <v>204</v>
      </c>
      <c r="L194" s="314"/>
      <c r="M194" s="314"/>
      <c r="N194" s="313"/>
    </row>
    <row r="195" spans="1:14" ht="15" customHeight="1">
      <c r="A195" s="315"/>
      <c r="B195" s="314"/>
      <c r="C195" s="314"/>
      <c r="D195" s="314"/>
      <c r="E195" s="314"/>
      <c r="F195" s="314"/>
      <c r="G195" s="315" t="s">
        <v>19</v>
      </c>
      <c r="H195" s="79"/>
      <c r="I195" s="80">
        <v>1.8</v>
      </c>
      <c r="J195" s="81">
        <v>74</v>
      </c>
      <c r="K195" s="81">
        <f t="shared" si="45"/>
        <v>133.20000000000002</v>
      </c>
      <c r="L195" s="314"/>
      <c r="M195" s="314"/>
      <c r="N195" s="313"/>
    </row>
    <row r="196" spans="1:14" ht="15" customHeight="1">
      <c r="A196" s="315"/>
      <c r="B196" s="85"/>
      <c r="C196" s="85"/>
      <c r="D196" s="85"/>
      <c r="E196" s="172" t="s">
        <v>9</v>
      </c>
      <c r="F196" s="110">
        <f>SUM(F193:F195)</f>
        <v>328.08</v>
      </c>
      <c r="G196" s="172"/>
      <c r="H196" s="172"/>
      <c r="I196" s="125"/>
      <c r="J196" s="97"/>
      <c r="K196" s="111">
        <f>SUM(K193:K195)</f>
        <v>1987.2</v>
      </c>
      <c r="L196" s="111">
        <f>K196/F196</f>
        <v>6.057059253840527</v>
      </c>
      <c r="M196" s="85"/>
      <c r="N196" s="223"/>
    </row>
    <row r="197" spans="1:14" ht="15" customHeight="1">
      <c r="A197" s="224"/>
      <c r="B197" s="224"/>
      <c r="C197" s="224"/>
      <c r="D197" s="126" t="s">
        <v>30</v>
      </c>
      <c r="E197" s="142"/>
      <c r="F197" s="127">
        <f>F164+F168+F172+F176+F180+F184+F188+F192+F196</f>
        <v>17158.584000000003</v>
      </c>
      <c r="G197" s="128"/>
      <c r="H197" s="128"/>
      <c r="I197" s="128"/>
      <c r="J197" s="128"/>
      <c r="K197" s="127">
        <f>K164+K168+K172+K176+K180+K184+K188+K192+K196</f>
        <v>29969.219999999994</v>
      </c>
      <c r="L197" s="129">
        <f>K197/F197</f>
        <v>1.7466021671718359</v>
      </c>
      <c r="M197" s="131"/>
      <c r="N197" s="71"/>
    </row>
    <row r="198" spans="1:14" ht="15" customHeight="1">
      <c r="A198" s="70" t="s">
        <v>11</v>
      </c>
      <c r="B198" s="70"/>
      <c r="C198" s="70"/>
      <c r="D198" s="70"/>
      <c r="E198" s="70"/>
      <c r="F198" s="71"/>
      <c r="G198" s="71"/>
      <c r="H198" s="71"/>
      <c r="I198" s="71"/>
      <c r="J198" s="71"/>
      <c r="K198" s="824" t="s">
        <v>856</v>
      </c>
      <c r="L198" s="824"/>
      <c r="M198" s="824"/>
      <c r="N198" s="71"/>
    </row>
    <row r="199" spans="1:14" ht="15" customHeight="1">
      <c r="A199" s="172" t="s">
        <v>0</v>
      </c>
      <c r="B199" s="172" t="s">
        <v>7</v>
      </c>
      <c r="C199" s="172" t="s">
        <v>13</v>
      </c>
      <c r="D199" s="172" t="s">
        <v>14</v>
      </c>
      <c r="E199" s="172" t="s">
        <v>8</v>
      </c>
      <c r="F199" s="172" t="s">
        <v>1</v>
      </c>
      <c r="G199" s="172" t="s">
        <v>2</v>
      </c>
      <c r="H199" s="172" t="s">
        <v>15</v>
      </c>
      <c r="I199" s="172" t="s">
        <v>3</v>
      </c>
      <c r="J199" s="172" t="s">
        <v>4</v>
      </c>
      <c r="K199" s="172" t="s">
        <v>5</v>
      </c>
      <c r="L199" s="172" t="s">
        <v>12</v>
      </c>
      <c r="M199" s="172" t="s">
        <v>6</v>
      </c>
      <c r="N199" s="123"/>
    </row>
    <row r="200" spans="1:14" ht="15" customHeight="1">
      <c r="A200" s="120">
        <v>9701</v>
      </c>
      <c r="B200" s="315" t="s">
        <v>769</v>
      </c>
      <c r="C200" s="315" t="s">
        <v>770</v>
      </c>
      <c r="D200" s="315" t="s">
        <v>113</v>
      </c>
      <c r="E200" s="315" t="s">
        <v>879</v>
      </c>
      <c r="F200" s="87">
        <f>6000*1.0936</f>
        <v>6561.5999999999995</v>
      </c>
      <c r="G200" s="316" t="s">
        <v>587</v>
      </c>
      <c r="H200" s="79"/>
      <c r="I200" s="80">
        <v>10</v>
      </c>
      <c r="J200" s="81">
        <v>456</v>
      </c>
      <c r="K200" s="94">
        <f t="shared" ref="K200:K201" si="46">I200*J200</f>
        <v>4560</v>
      </c>
      <c r="L200" s="79"/>
      <c r="M200" s="79"/>
      <c r="N200" s="71"/>
    </row>
    <row r="201" spans="1:14" ht="15" customHeight="1">
      <c r="A201" s="120"/>
      <c r="B201" s="314" t="s">
        <v>269</v>
      </c>
      <c r="C201" s="314"/>
      <c r="D201" s="314"/>
      <c r="E201" s="314"/>
      <c r="F201" s="87">
        <f>50*1.0936</f>
        <v>54.679999999999993</v>
      </c>
      <c r="G201" s="173" t="s">
        <v>799</v>
      </c>
      <c r="H201" s="79"/>
      <c r="I201" s="188">
        <v>2</v>
      </c>
      <c r="J201" s="81">
        <v>350</v>
      </c>
      <c r="K201" s="94">
        <f t="shared" si="46"/>
        <v>700</v>
      </c>
      <c r="L201" s="79"/>
      <c r="M201" s="79"/>
      <c r="N201" s="71"/>
    </row>
    <row r="202" spans="1:14" ht="15" customHeight="1">
      <c r="A202" s="120"/>
      <c r="B202" s="120"/>
      <c r="C202" s="120"/>
      <c r="D202" s="120"/>
      <c r="E202" s="225" t="s">
        <v>9</v>
      </c>
      <c r="F202" s="108">
        <f>SUM(F200:F201)</f>
        <v>6616.28</v>
      </c>
      <c r="G202" s="225"/>
      <c r="H202" s="225"/>
      <c r="I202" s="81"/>
      <c r="J202" s="81"/>
      <c r="K202" s="103">
        <f>SUM(K200:K201)</f>
        <v>5260</v>
      </c>
      <c r="L202" s="103">
        <f>K202/F202</f>
        <v>0.7950086755699578</v>
      </c>
      <c r="M202" s="79"/>
      <c r="N202" s="71"/>
    </row>
    <row r="203" spans="1:14" ht="15" customHeight="1">
      <c r="A203" s="120">
        <v>9704</v>
      </c>
      <c r="B203" s="314" t="s">
        <v>269</v>
      </c>
      <c r="C203" s="314"/>
      <c r="D203" s="314"/>
      <c r="E203" s="314"/>
      <c r="F203" s="87">
        <f>50*1.0936</f>
        <v>54.679999999999993</v>
      </c>
      <c r="G203" s="173" t="s">
        <v>298</v>
      </c>
      <c r="H203" s="79"/>
      <c r="I203" s="80">
        <v>1</v>
      </c>
      <c r="J203" s="81">
        <v>435</v>
      </c>
      <c r="K203" s="94">
        <f t="shared" ref="K203" si="47">I203*J203</f>
        <v>435</v>
      </c>
      <c r="L203" s="79"/>
      <c r="M203" s="79"/>
      <c r="N203" s="71"/>
    </row>
    <row r="204" spans="1:14" ht="15" customHeight="1">
      <c r="A204" s="315"/>
      <c r="B204" s="315"/>
      <c r="C204" s="315"/>
      <c r="D204" s="315"/>
      <c r="E204" s="314"/>
      <c r="F204" s="98"/>
      <c r="G204" s="173" t="s">
        <v>799</v>
      </c>
      <c r="H204" s="79"/>
      <c r="I204" s="188">
        <v>1</v>
      </c>
      <c r="J204" s="81">
        <v>350</v>
      </c>
      <c r="K204" s="94">
        <f t="shared" ref="K204" si="48">I204*J204</f>
        <v>350</v>
      </c>
      <c r="L204" s="36"/>
      <c r="M204" s="79"/>
      <c r="N204" s="71"/>
    </row>
    <row r="205" spans="1:14" ht="15" customHeight="1">
      <c r="A205" s="315"/>
      <c r="B205" s="315"/>
      <c r="C205" s="315"/>
      <c r="D205" s="315"/>
      <c r="E205" s="314"/>
      <c r="F205" s="98"/>
      <c r="G205" s="316" t="s">
        <v>798</v>
      </c>
      <c r="H205" s="79"/>
      <c r="I205" s="81">
        <v>0.3</v>
      </c>
      <c r="J205" s="81">
        <v>248</v>
      </c>
      <c r="K205" s="81">
        <f>I205*J205</f>
        <v>74.399999999999991</v>
      </c>
      <c r="L205" s="79"/>
      <c r="M205" s="79"/>
      <c r="N205" s="71"/>
    </row>
    <row r="206" spans="1:14" ht="15" customHeight="1">
      <c r="A206" s="315"/>
      <c r="B206" s="315"/>
      <c r="C206" s="315"/>
      <c r="D206" s="315"/>
      <c r="E206" s="314"/>
      <c r="F206" s="98"/>
      <c r="G206" s="315" t="s">
        <v>202</v>
      </c>
      <c r="H206" s="79"/>
      <c r="I206" s="188">
        <v>1</v>
      </c>
      <c r="J206" s="81">
        <v>386</v>
      </c>
      <c r="K206" s="81">
        <f t="shared" ref="K206" si="49">I206*J206</f>
        <v>386</v>
      </c>
      <c r="L206" s="36"/>
      <c r="M206" s="79"/>
      <c r="N206" s="71"/>
    </row>
    <row r="207" spans="1:14" ht="15" customHeight="1">
      <c r="A207" s="120"/>
      <c r="B207" s="120"/>
      <c r="C207" s="120"/>
      <c r="D207" s="120"/>
      <c r="E207" s="228" t="s">
        <v>9</v>
      </c>
      <c r="F207" s="108">
        <f>SUM(F203:F206)</f>
        <v>54.679999999999993</v>
      </c>
      <c r="G207" s="228"/>
      <c r="H207" s="228"/>
      <c r="I207" s="81"/>
      <c r="J207" s="81"/>
      <c r="K207" s="103">
        <f>SUM(K203:K206)</f>
        <v>1245.4000000000001</v>
      </c>
      <c r="L207" s="103">
        <f>K207/F207</f>
        <v>22.776152158010245</v>
      </c>
      <c r="M207" s="79"/>
      <c r="N207" s="71"/>
    </row>
    <row r="208" spans="1:14" ht="15" customHeight="1">
      <c r="A208" s="120">
        <v>8059</v>
      </c>
      <c r="B208" s="315" t="s">
        <v>827</v>
      </c>
      <c r="C208" s="315" t="s">
        <v>233</v>
      </c>
      <c r="D208" s="315" t="s">
        <v>648</v>
      </c>
      <c r="E208" s="315" t="s">
        <v>114</v>
      </c>
      <c r="F208" s="87">
        <f>1290*1.0936</f>
        <v>1410.7439999999999</v>
      </c>
      <c r="G208" s="316" t="s">
        <v>206</v>
      </c>
      <c r="H208" s="79"/>
      <c r="I208" s="81">
        <v>1</v>
      </c>
      <c r="J208" s="81">
        <v>375</v>
      </c>
      <c r="K208" s="81">
        <f t="shared" ref="K208" si="50">I208*J208</f>
        <v>375</v>
      </c>
      <c r="L208" s="79"/>
      <c r="M208" s="79"/>
      <c r="N208" s="71"/>
    </row>
    <row r="209" spans="1:14" ht="15" customHeight="1">
      <c r="A209" s="120"/>
      <c r="B209" s="89"/>
      <c r="C209" s="89"/>
      <c r="D209" s="89"/>
      <c r="E209" s="120"/>
      <c r="F209" s="87"/>
      <c r="G209" s="316" t="s">
        <v>798</v>
      </c>
      <c r="H209" s="79"/>
      <c r="I209" s="81">
        <v>0.15</v>
      </c>
      <c r="J209" s="81">
        <v>248</v>
      </c>
      <c r="K209" s="81">
        <f>I209*J209</f>
        <v>37.199999999999996</v>
      </c>
      <c r="L209" s="79"/>
      <c r="M209" s="79"/>
      <c r="N209" s="71"/>
    </row>
    <row r="210" spans="1:14" ht="15" customHeight="1">
      <c r="A210" s="315"/>
      <c r="B210" s="89"/>
      <c r="C210" s="89"/>
      <c r="D210" s="89"/>
      <c r="E210" s="315"/>
      <c r="F210" s="87"/>
      <c r="G210" s="101" t="s">
        <v>880</v>
      </c>
      <c r="H210" s="79"/>
      <c r="I210" s="188">
        <v>1</v>
      </c>
      <c r="J210" s="81">
        <v>456</v>
      </c>
      <c r="K210" s="81">
        <f t="shared" ref="K210" si="51">I210*J210</f>
        <v>456</v>
      </c>
      <c r="L210" s="36"/>
      <c r="M210" s="79"/>
      <c r="N210" s="71"/>
    </row>
    <row r="211" spans="1:14" ht="15" customHeight="1">
      <c r="A211" s="120"/>
      <c r="B211" s="120"/>
      <c r="C211" s="120"/>
      <c r="D211" s="120"/>
      <c r="E211" s="225" t="s">
        <v>9</v>
      </c>
      <c r="F211" s="108">
        <f>SUM(F208:F210)</f>
        <v>1410.7439999999999</v>
      </c>
      <c r="G211" s="225"/>
      <c r="H211" s="225"/>
      <c r="I211" s="81"/>
      <c r="J211" s="81"/>
      <c r="K211" s="103">
        <f>SUM(K208:K210)</f>
        <v>868.2</v>
      </c>
      <c r="L211" s="103">
        <f>K211/F211</f>
        <v>0.61541994862285443</v>
      </c>
      <c r="M211" s="79"/>
      <c r="N211" s="71"/>
    </row>
    <row r="212" spans="1:14" ht="15" customHeight="1">
      <c r="A212" s="120">
        <v>8062</v>
      </c>
      <c r="B212" s="315" t="s">
        <v>786</v>
      </c>
      <c r="C212" s="315" t="s">
        <v>513</v>
      </c>
      <c r="D212" s="315" t="s">
        <v>297</v>
      </c>
      <c r="E212" s="315" t="s">
        <v>787</v>
      </c>
      <c r="F212" s="87">
        <f>5340*1.0936</f>
        <v>5839.8239999999996</v>
      </c>
      <c r="G212" s="173" t="s">
        <v>298</v>
      </c>
      <c r="H212" s="79"/>
      <c r="I212" s="80">
        <f>9+7</f>
        <v>16</v>
      </c>
      <c r="J212" s="81">
        <v>435</v>
      </c>
      <c r="K212" s="94">
        <f t="shared" ref="K212:K214" si="52">I212*J212</f>
        <v>6960</v>
      </c>
      <c r="L212" s="79"/>
      <c r="M212" s="79"/>
      <c r="N212" s="71"/>
    </row>
    <row r="213" spans="1:14" ht="15" customHeight="1">
      <c r="A213" s="120"/>
      <c r="B213" s="89"/>
      <c r="C213" s="89"/>
      <c r="D213" s="89"/>
      <c r="E213" s="120"/>
      <c r="F213" s="87"/>
      <c r="G213" s="173" t="s">
        <v>799</v>
      </c>
      <c r="H213" s="79"/>
      <c r="I213" s="188">
        <f>22+20</f>
        <v>42</v>
      </c>
      <c r="J213" s="81">
        <v>350</v>
      </c>
      <c r="K213" s="94">
        <f t="shared" si="52"/>
        <v>14700</v>
      </c>
      <c r="L213" s="36"/>
      <c r="M213" s="79"/>
      <c r="N213" s="71"/>
    </row>
    <row r="214" spans="1:14" ht="15" customHeight="1">
      <c r="A214" s="120"/>
      <c r="B214" s="89"/>
      <c r="C214" s="89"/>
      <c r="D214" s="89"/>
      <c r="E214" s="120"/>
      <c r="F214" s="87"/>
      <c r="G214" s="316" t="s">
        <v>206</v>
      </c>
      <c r="H214" s="79"/>
      <c r="I214" s="81">
        <f>3+1.5</f>
        <v>4.5</v>
      </c>
      <c r="J214" s="81">
        <v>375</v>
      </c>
      <c r="K214" s="81">
        <f t="shared" si="52"/>
        <v>1687.5</v>
      </c>
      <c r="L214" s="79"/>
      <c r="M214" s="79"/>
      <c r="N214" s="71"/>
    </row>
    <row r="215" spans="1:14" ht="15" customHeight="1">
      <c r="A215" s="315"/>
      <c r="B215" s="89"/>
      <c r="C215" s="89"/>
      <c r="D215" s="89"/>
      <c r="E215" s="273" t="s">
        <v>9</v>
      </c>
      <c r="F215" s="108">
        <f>SUM(F212:F214)</f>
        <v>5839.8239999999996</v>
      </c>
      <c r="G215" s="273"/>
      <c r="H215" s="273"/>
      <c r="I215" s="81"/>
      <c r="J215" s="81"/>
      <c r="K215" s="103">
        <f>SUM(K212:K214)</f>
        <v>23347.5</v>
      </c>
      <c r="L215" s="103">
        <f>K215/F215</f>
        <v>3.9979800761118831</v>
      </c>
      <c r="M215" s="79"/>
      <c r="N215" s="71"/>
    </row>
    <row r="216" spans="1:14" ht="15" customHeight="1">
      <c r="A216" s="315">
        <v>8061</v>
      </c>
      <c r="B216" s="315" t="s">
        <v>815</v>
      </c>
      <c r="C216" s="89" t="s">
        <v>785</v>
      </c>
      <c r="D216" s="89" t="s">
        <v>801</v>
      </c>
      <c r="E216" s="315" t="s">
        <v>635</v>
      </c>
      <c r="F216" s="87">
        <f>1190*1.0936</f>
        <v>1301.3839999999998</v>
      </c>
      <c r="G216" s="173" t="s">
        <v>298</v>
      </c>
      <c r="H216" s="79"/>
      <c r="I216" s="80">
        <v>2.5</v>
      </c>
      <c r="J216" s="81">
        <v>435</v>
      </c>
      <c r="K216" s="94">
        <f t="shared" ref="K216" si="53">I216*J216</f>
        <v>1087.5</v>
      </c>
      <c r="L216" s="79"/>
      <c r="M216" s="79"/>
      <c r="N216" s="71"/>
    </row>
    <row r="217" spans="1:14" ht="15" customHeight="1">
      <c r="A217" s="315"/>
      <c r="B217" s="89"/>
      <c r="C217" s="89"/>
      <c r="D217" s="89"/>
      <c r="E217" s="315"/>
      <c r="F217" s="87"/>
      <c r="G217" s="316" t="s">
        <v>206</v>
      </c>
      <c r="H217" s="79"/>
      <c r="I217" s="81">
        <v>5.5</v>
      </c>
      <c r="J217" s="81">
        <v>375</v>
      </c>
      <c r="K217" s="81">
        <f t="shared" ref="K217" si="54">I217*J217</f>
        <v>2062.5</v>
      </c>
      <c r="L217" s="79"/>
      <c r="M217" s="79"/>
      <c r="N217" s="71"/>
    </row>
    <row r="218" spans="1:14" ht="15" customHeight="1">
      <c r="A218" s="315"/>
      <c r="B218" s="89"/>
      <c r="C218" s="89"/>
      <c r="D218" s="89"/>
      <c r="E218" s="273" t="s">
        <v>9</v>
      </c>
      <c r="F218" s="108">
        <f>SUM(F216:F217)</f>
        <v>1301.3839999999998</v>
      </c>
      <c r="G218" s="273"/>
      <c r="H218" s="273"/>
      <c r="I218" s="81"/>
      <c r="J218" s="81"/>
      <c r="K218" s="103">
        <f>SUM(K216:K217)</f>
        <v>3150</v>
      </c>
      <c r="L218" s="103">
        <f>K218/F218</f>
        <v>2.4205000215155561</v>
      </c>
      <c r="M218" s="79"/>
      <c r="N218" s="71"/>
    </row>
    <row r="219" spans="1:14" ht="15" customHeight="1">
      <c r="A219" s="315">
        <v>9705</v>
      </c>
      <c r="B219" s="315" t="s">
        <v>881</v>
      </c>
      <c r="C219" s="89" t="s">
        <v>882</v>
      </c>
      <c r="D219" s="89" t="s">
        <v>883</v>
      </c>
      <c r="E219" s="315" t="s">
        <v>232</v>
      </c>
      <c r="F219" s="87">
        <f>3940*1.0936</f>
        <v>4308.7839999999997</v>
      </c>
      <c r="G219" s="173" t="s">
        <v>298</v>
      </c>
      <c r="H219" s="79"/>
      <c r="I219" s="80">
        <v>4</v>
      </c>
      <c r="J219" s="81">
        <v>435</v>
      </c>
      <c r="K219" s="94">
        <f t="shared" ref="K219:K220" si="55">I219*J219</f>
        <v>1740</v>
      </c>
      <c r="L219" s="79"/>
      <c r="M219" s="79"/>
      <c r="N219" s="71"/>
    </row>
    <row r="220" spans="1:14" ht="15" customHeight="1">
      <c r="A220" s="315"/>
      <c r="B220" s="315"/>
      <c r="C220" s="89"/>
      <c r="D220" s="89"/>
      <c r="E220" s="315"/>
      <c r="F220" s="87"/>
      <c r="G220" s="173" t="s">
        <v>799</v>
      </c>
      <c r="H220" s="79"/>
      <c r="I220" s="188">
        <v>12</v>
      </c>
      <c r="J220" s="81">
        <v>350</v>
      </c>
      <c r="K220" s="94">
        <f t="shared" si="55"/>
        <v>4200</v>
      </c>
      <c r="L220" s="36"/>
      <c r="M220" s="79"/>
      <c r="N220" s="71"/>
    </row>
    <row r="221" spans="1:14" ht="15" customHeight="1">
      <c r="A221" s="315"/>
      <c r="B221" s="89"/>
      <c r="C221" s="89"/>
      <c r="D221" s="89"/>
      <c r="E221" s="315"/>
      <c r="F221" s="87"/>
      <c r="G221" s="316" t="s">
        <v>798</v>
      </c>
      <c r="H221" s="79"/>
      <c r="I221" s="81">
        <v>3</v>
      </c>
      <c r="J221" s="81">
        <v>248</v>
      </c>
      <c r="K221" s="81">
        <f>I221*J221</f>
        <v>744</v>
      </c>
      <c r="L221" s="79"/>
      <c r="M221" s="79"/>
      <c r="N221" s="71"/>
    </row>
    <row r="222" spans="1:14" ht="15" customHeight="1">
      <c r="A222" s="315"/>
      <c r="B222" s="89"/>
      <c r="C222" s="89"/>
      <c r="D222" s="89"/>
      <c r="E222" s="315"/>
      <c r="F222" s="87"/>
      <c r="G222" s="315" t="s">
        <v>202</v>
      </c>
      <c r="H222" s="79"/>
      <c r="I222" s="188">
        <v>1</v>
      </c>
      <c r="J222" s="81">
        <v>386</v>
      </c>
      <c r="K222" s="81">
        <f t="shared" ref="K222" si="56">I222*J222</f>
        <v>386</v>
      </c>
      <c r="L222" s="36"/>
      <c r="M222" s="79"/>
      <c r="N222" s="71"/>
    </row>
    <row r="223" spans="1:14" ht="15" customHeight="1">
      <c r="A223" s="315"/>
      <c r="B223" s="89"/>
      <c r="C223" s="89"/>
      <c r="D223" s="89"/>
      <c r="E223" s="273" t="s">
        <v>9</v>
      </c>
      <c r="F223" s="108">
        <f>SUM(F219:F222)</f>
        <v>4308.7839999999997</v>
      </c>
      <c r="G223" s="273"/>
      <c r="H223" s="273"/>
      <c r="I223" s="81"/>
      <c r="J223" s="81"/>
      <c r="K223" s="103">
        <f>SUM(K219:K222)</f>
        <v>7070</v>
      </c>
      <c r="L223" s="103">
        <f>K223/F223</f>
        <v>1.6408341657414252</v>
      </c>
      <c r="M223" s="79"/>
      <c r="N223" s="71"/>
    </row>
    <row r="224" spans="1:14" ht="15" customHeight="1">
      <c r="A224" s="315">
        <v>9707</v>
      </c>
      <c r="B224" s="315" t="s">
        <v>884</v>
      </c>
      <c r="C224" s="89" t="s">
        <v>882</v>
      </c>
      <c r="D224" s="89" t="s">
        <v>883</v>
      </c>
      <c r="E224" s="315" t="s">
        <v>694</v>
      </c>
      <c r="F224" s="87">
        <f>5100*1.0936</f>
        <v>5577.36</v>
      </c>
      <c r="G224" s="173" t="s">
        <v>298</v>
      </c>
      <c r="H224" s="79"/>
      <c r="I224" s="80">
        <f>10+4</f>
        <v>14</v>
      </c>
      <c r="J224" s="81">
        <v>435</v>
      </c>
      <c r="K224" s="94">
        <f t="shared" ref="K224:K225" si="57">I224*J224</f>
        <v>6090</v>
      </c>
      <c r="L224" s="79"/>
      <c r="M224" s="79"/>
      <c r="N224" s="71"/>
    </row>
    <row r="225" spans="1:14" ht="15" customHeight="1">
      <c r="A225" s="315"/>
      <c r="B225" s="89"/>
      <c r="C225" s="89"/>
      <c r="D225" s="89"/>
      <c r="E225" s="315"/>
      <c r="F225" s="87"/>
      <c r="G225" s="173" t="s">
        <v>799</v>
      </c>
      <c r="H225" s="79"/>
      <c r="I225" s="188">
        <f>5+8</f>
        <v>13</v>
      </c>
      <c r="J225" s="81">
        <v>350</v>
      </c>
      <c r="K225" s="94">
        <f t="shared" si="57"/>
        <v>4550</v>
      </c>
      <c r="L225" s="36"/>
      <c r="M225" s="79"/>
      <c r="N225" s="71"/>
    </row>
    <row r="226" spans="1:14" ht="15" customHeight="1">
      <c r="A226" s="315"/>
      <c r="B226" s="89"/>
      <c r="C226" s="89"/>
      <c r="D226" s="89"/>
      <c r="E226" s="315"/>
      <c r="F226" s="87"/>
      <c r="G226" s="316" t="s">
        <v>798</v>
      </c>
      <c r="H226" s="79"/>
      <c r="I226" s="81">
        <f>2+1.2</f>
        <v>3.2</v>
      </c>
      <c r="J226" s="81">
        <v>248</v>
      </c>
      <c r="K226" s="81">
        <f>I226*J226</f>
        <v>793.6</v>
      </c>
      <c r="L226" s="79"/>
      <c r="M226" s="79"/>
      <c r="N226" s="71"/>
    </row>
    <row r="227" spans="1:14" ht="15" customHeight="1">
      <c r="A227" s="315"/>
      <c r="B227" s="89"/>
      <c r="C227" s="89"/>
      <c r="D227" s="89"/>
      <c r="E227" s="315"/>
      <c r="F227" s="87"/>
      <c r="G227" s="316" t="s">
        <v>206</v>
      </c>
      <c r="H227" s="79"/>
      <c r="I227" s="81">
        <f>3+5</f>
        <v>8</v>
      </c>
      <c r="J227" s="81">
        <v>375</v>
      </c>
      <c r="K227" s="81">
        <f t="shared" ref="K227" si="58">I227*J227</f>
        <v>3000</v>
      </c>
      <c r="L227" s="79"/>
      <c r="M227" s="79"/>
      <c r="N227" s="71"/>
    </row>
    <row r="228" spans="1:14" ht="15" customHeight="1">
      <c r="A228" s="315"/>
      <c r="B228" s="89"/>
      <c r="C228" s="89"/>
      <c r="D228" s="89"/>
      <c r="E228" s="273" t="s">
        <v>9</v>
      </c>
      <c r="F228" s="108">
        <f>SUM(F224:F227)</f>
        <v>5577.36</v>
      </c>
      <c r="G228" s="273"/>
      <c r="H228" s="273"/>
      <c r="I228" s="81"/>
      <c r="J228" s="81"/>
      <c r="K228" s="103">
        <f>SUM(K224:K227)</f>
        <v>14433.6</v>
      </c>
      <c r="L228" s="103">
        <f>K228/F228</f>
        <v>2.5878910452256982</v>
      </c>
      <c r="M228" s="79"/>
      <c r="N228" s="71"/>
    </row>
    <row r="229" spans="1:14" ht="15" customHeight="1">
      <c r="A229" s="315">
        <v>9703</v>
      </c>
      <c r="B229" s="315" t="s">
        <v>830</v>
      </c>
      <c r="C229" s="89" t="s">
        <v>414</v>
      </c>
      <c r="D229" s="89" t="s">
        <v>885</v>
      </c>
      <c r="E229" s="315" t="s">
        <v>879</v>
      </c>
      <c r="F229" s="87">
        <f>1720*1.0936</f>
        <v>1880.9919999999997</v>
      </c>
      <c r="G229" s="173" t="s">
        <v>298</v>
      </c>
      <c r="H229" s="79"/>
      <c r="I229" s="80">
        <v>3</v>
      </c>
      <c r="J229" s="81">
        <v>435</v>
      </c>
      <c r="K229" s="94">
        <f t="shared" ref="K229:K230" si="59">I229*J229</f>
        <v>1305</v>
      </c>
      <c r="L229" s="79"/>
      <c r="M229" s="79"/>
      <c r="N229" s="71"/>
    </row>
    <row r="230" spans="1:14" ht="15" customHeight="1">
      <c r="A230" s="315"/>
      <c r="B230" s="89"/>
      <c r="C230" s="89"/>
      <c r="D230" s="89"/>
      <c r="E230" s="315" t="s">
        <v>93</v>
      </c>
      <c r="F230" s="87"/>
      <c r="G230" s="316" t="s">
        <v>206</v>
      </c>
      <c r="H230" s="79"/>
      <c r="I230" s="81">
        <v>1.8</v>
      </c>
      <c r="J230" s="81">
        <v>375</v>
      </c>
      <c r="K230" s="81">
        <f t="shared" si="59"/>
        <v>675</v>
      </c>
      <c r="L230" s="36"/>
      <c r="M230" s="79"/>
      <c r="N230" s="71"/>
    </row>
    <row r="231" spans="1:14" ht="15" customHeight="1">
      <c r="A231" s="315"/>
      <c r="B231" s="89"/>
      <c r="C231" s="89"/>
      <c r="D231" s="89"/>
      <c r="E231" s="273" t="s">
        <v>9</v>
      </c>
      <c r="F231" s="108">
        <f>SUM(F229:F230)</f>
        <v>1880.9919999999997</v>
      </c>
      <c r="G231" s="273"/>
      <c r="H231" s="273"/>
      <c r="I231" s="81"/>
      <c r="J231" s="81"/>
      <c r="K231" s="103">
        <f>SUM(K229:K230)</f>
        <v>1980</v>
      </c>
      <c r="L231" s="103">
        <f>K231/F231</f>
        <v>1.0526360558683929</v>
      </c>
      <c r="M231" s="79"/>
      <c r="N231" s="71"/>
    </row>
    <row r="232" spans="1:14" ht="15" customHeight="1">
      <c r="A232" s="71"/>
      <c r="B232" s="71"/>
      <c r="C232" s="71"/>
      <c r="D232" s="126" t="s">
        <v>30</v>
      </c>
      <c r="E232" s="126"/>
      <c r="F232" s="127">
        <f>F202+F207+F211+F215+F218+F223+F228+F231</f>
        <v>26990.047999999995</v>
      </c>
      <c r="G232" s="128"/>
      <c r="H232" s="128"/>
      <c r="I232" s="128"/>
      <c r="J232" s="128"/>
      <c r="K232" s="127">
        <f>K202+K207+K211+K215+K218+K223+K228+K231</f>
        <v>57354.7</v>
      </c>
      <c r="L232" s="129">
        <f>K232/F232</f>
        <v>2.1250314189882138</v>
      </c>
      <c r="M232" s="71"/>
      <c r="N232" s="71"/>
    </row>
    <row r="233" spans="1:14" ht="15" customHeight="1">
      <c r="A233" s="824" t="s">
        <v>42</v>
      </c>
      <c r="B233" s="824"/>
      <c r="C233" s="70"/>
      <c r="D233" s="70"/>
      <c r="E233" s="70"/>
      <c r="F233" s="71"/>
      <c r="G233" s="71"/>
      <c r="H233" s="71"/>
      <c r="I233" s="71"/>
      <c r="J233" s="71"/>
      <c r="K233" s="824" t="s">
        <v>856</v>
      </c>
      <c r="L233" s="824"/>
      <c r="M233" s="824"/>
      <c r="N233" s="71"/>
    </row>
    <row r="234" spans="1:14" ht="15" customHeight="1">
      <c r="A234" s="172" t="s">
        <v>0</v>
      </c>
      <c r="B234" s="172" t="s">
        <v>7</v>
      </c>
      <c r="C234" s="172" t="s">
        <v>13</v>
      </c>
      <c r="D234" s="172" t="s">
        <v>14</v>
      </c>
      <c r="E234" s="172" t="s">
        <v>8</v>
      </c>
      <c r="F234" s="172" t="s">
        <v>1</v>
      </c>
      <c r="G234" s="172" t="s">
        <v>2</v>
      </c>
      <c r="H234" s="172" t="s">
        <v>15</v>
      </c>
      <c r="I234" s="172" t="s">
        <v>3</v>
      </c>
      <c r="J234" s="172" t="s">
        <v>4</v>
      </c>
      <c r="K234" s="172" t="s">
        <v>5</v>
      </c>
      <c r="L234" s="172" t="s">
        <v>12</v>
      </c>
      <c r="M234" s="172" t="s">
        <v>6</v>
      </c>
      <c r="N234" s="123"/>
    </row>
    <row r="235" spans="1:14" ht="15" customHeight="1">
      <c r="A235" s="85">
        <v>7042</v>
      </c>
      <c r="B235" s="315" t="s">
        <v>881</v>
      </c>
      <c r="C235" s="89" t="s">
        <v>882</v>
      </c>
      <c r="D235" s="89" t="s">
        <v>883</v>
      </c>
      <c r="E235" s="315" t="s">
        <v>232</v>
      </c>
      <c r="F235" s="87">
        <f>3940*1.0936</f>
        <v>4308.7839999999997</v>
      </c>
      <c r="G235" s="91" t="s">
        <v>209</v>
      </c>
      <c r="H235" s="79"/>
      <c r="I235" s="80">
        <v>0.2</v>
      </c>
      <c r="J235" s="81">
        <v>350</v>
      </c>
      <c r="K235" s="81">
        <f t="shared" ref="K235" si="60">I235*J235</f>
        <v>70</v>
      </c>
      <c r="L235" s="79"/>
      <c r="M235" s="102"/>
      <c r="N235" s="71"/>
    </row>
    <row r="236" spans="1:14" ht="15" customHeight="1">
      <c r="A236" s="85"/>
      <c r="B236" s="120"/>
      <c r="C236" s="120"/>
      <c r="D236" s="120"/>
      <c r="E236" s="315" t="s">
        <v>93</v>
      </c>
      <c r="F236" s="120"/>
      <c r="G236" s="91" t="s">
        <v>210</v>
      </c>
      <c r="H236" s="109"/>
      <c r="I236" s="80">
        <v>0.05</v>
      </c>
      <c r="J236" s="81">
        <v>890</v>
      </c>
      <c r="K236" s="81">
        <f t="shared" ref="K236:K237" si="61">I236*J236</f>
        <v>44.5</v>
      </c>
      <c r="L236" s="79"/>
      <c r="M236" s="102"/>
      <c r="N236" s="71"/>
    </row>
    <row r="237" spans="1:14" ht="15" customHeight="1">
      <c r="A237" s="85"/>
      <c r="B237" s="85"/>
      <c r="C237" s="85"/>
      <c r="D237" s="85"/>
      <c r="E237" s="85"/>
      <c r="F237" s="98"/>
      <c r="G237" s="91" t="s">
        <v>221</v>
      </c>
      <c r="H237" s="112"/>
      <c r="I237" s="113">
        <v>0.6</v>
      </c>
      <c r="J237" s="81">
        <v>980</v>
      </c>
      <c r="K237" s="81">
        <f t="shared" si="61"/>
        <v>588</v>
      </c>
      <c r="L237" s="79"/>
      <c r="M237" s="102"/>
      <c r="N237" s="71"/>
    </row>
    <row r="238" spans="1:14" ht="15" customHeight="1">
      <c r="A238" s="85"/>
      <c r="B238" s="85"/>
      <c r="C238" s="85"/>
      <c r="D238" s="85"/>
      <c r="E238" s="85"/>
      <c r="F238" s="98"/>
      <c r="G238" s="83" t="s">
        <v>211</v>
      </c>
      <c r="H238" s="79"/>
      <c r="I238" s="80">
        <v>36</v>
      </c>
      <c r="J238" s="81">
        <v>120</v>
      </c>
      <c r="K238" s="81">
        <f>I238*J238</f>
        <v>4320</v>
      </c>
      <c r="L238" s="79"/>
      <c r="M238" s="102"/>
      <c r="N238" s="71"/>
    </row>
    <row r="239" spans="1:14" ht="15" customHeight="1">
      <c r="A239" s="85"/>
      <c r="B239" s="85"/>
      <c r="C239" s="85"/>
      <c r="D239" s="85"/>
      <c r="E239" s="85"/>
      <c r="F239" s="98"/>
      <c r="G239" s="83" t="s">
        <v>212</v>
      </c>
      <c r="H239" s="79"/>
      <c r="I239" s="80">
        <v>2.4</v>
      </c>
      <c r="J239" s="81">
        <v>527</v>
      </c>
      <c r="K239" s="81">
        <f t="shared" ref="K239:K243" si="62">I239*J239</f>
        <v>1264.8</v>
      </c>
      <c r="L239" s="79"/>
      <c r="M239" s="102"/>
      <c r="N239" s="71"/>
    </row>
    <row r="240" spans="1:14" ht="15" customHeight="1">
      <c r="A240" s="85"/>
      <c r="B240" s="85"/>
      <c r="C240" s="85"/>
      <c r="D240" s="85"/>
      <c r="E240" s="85"/>
      <c r="F240" s="98"/>
      <c r="G240" s="83" t="s">
        <v>213</v>
      </c>
      <c r="H240" s="79"/>
      <c r="I240" s="80">
        <v>3.6</v>
      </c>
      <c r="J240" s="81">
        <v>348</v>
      </c>
      <c r="K240" s="81">
        <f t="shared" si="62"/>
        <v>1252.8</v>
      </c>
      <c r="L240" s="79"/>
      <c r="M240" s="102"/>
      <c r="N240" s="71"/>
    </row>
    <row r="241" spans="1:14" ht="15" customHeight="1">
      <c r="A241" s="85"/>
      <c r="B241" s="85"/>
      <c r="C241" s="85"/>
      <c r="D241" s="85"/>
      <c r="E241" s="85"/>
      <c r="F241" s="98"/>
      <c r="G241" s="83" t="s">
        <v>45</v>
      </c>
      <c r="H241" s="79"/>
      <c r="I241" s="80">
        <v>3</v>
      </c>
      <c r="J241" s="81">
        <v>45</v>
      </c>
      <c r="K241" s="81">
        <f t="shared" si="62"/>
        <v>135</v>
      </c>
      <c r="L241" s="79"/>
      <c r="M241" s="102"/>
      <c r="N241" s="71"/>
    </row>
    <row r="242" spans="1:14" ht="15" customHeight="1">
      <c r="A242" s="314"/>
      <c r="B242" s="314"/>
      <c r="C242" s="314"/>
      <c r="D242" s="314"/>
      <c r="E242" s="314"/>
      <c r="F242" s="98"/>
      <c r="G242" s="316" t="s">
        <v>214</v>
      </c>
      <c r="H242" s="79"/>
      <c r="I242" s="80">
        <v>35</v>
      </c>
      <c r="J242" s="81">
        <v>360</v>
      </c>
      <c r="K242" s="81">
        <f t="shared" si="62"/>
        <v>12600</v>
      </c>
      <c r="L242" s="102"/>
      <c r="M242" s="102"/>
      <c r="N242" s="71"/>
    </row>
    <row r="243" spans="1:14" ht="15" customHeight="1">
      <c r="A243" s="314"/>
      <c r="B243" s="314"/>
      <c r="C243" s="314"/>
      <c r="D243" s="314"/>
      <c r="E243" s="314"/>
      <c r="F243" s="98"/>
      <c r="G243" s="315" t="s">
        <v>28</v>
      </c>
      <c r="H243" s="79"/>
      <c r="I243" s="80">
        <v>4</v>
      </c>
      <c r="J243" s="81">
        <v>17</v>
      </c>
      <c r="K243" s="81">
        <f t="shared" si="62"/>
        <v>68</v>
      </c>
      <c r="L243" s="102"/>
      <c r="M243" s="102"/>
      <c r="N243" s="71"/>
    </row>
    <row r="244" spans="1:14" ht="15" customHeight="1">
      <c r="A244" s="85"/>
      <c r="B244" s="85"/>
      <c r="C244" s="85"/>
      <c r="D244" s="85"/>
      <c r="E244" s="172" t="s">
        <v>9</v>
      </c>
      <c r="F244" s="110">
        <f>SUM(F235:F243)</f>
        <v>4308.7839999999997</v>
      </c>
      <c r="G244" s="172"/>
      <c r="H244" s="172"/>
      <c r="I244" s="97"/>
      <c r="J244" s="97"/>
      <c r="K244" s="111">
        <f>SUM(K235:K243)</f>
        <v>20343.099999999999</v>
      </c>
      <c r="L244" s="155">
        <f>K244/F244</f>
        <v>4.7213088425876073</v>
      </c>
      <c r="M244" s="102"/>
      <c r="N244" s="71"/>
    </row>
    <row r="245" spans="1:14" ht="15" customHeight="1">
      <c r="A245" s="85">
        <v>7043</v>
      </c>
      <c r="B245" s="315" t="s">
        <v>218</v>
      </c>
      <c r="C245" s="315" t="s">
        <v>792</v>
      </c>
      <c r="D245" s="315" t="s">
        <v>887</v>
      </c>
      <c r="E245" s="120" t="s">
        <v>93</v>
      </c>
      <c r="F245" s="98">
        <f>80*1.0936</f>
        <v>87.488</v>
      </c>
      <c r="G245" s="91" t="s">
        <v>209</v>
      </c>
      <c r="H245" s="79"/>
      <c r="I245" s="80">
        <v>0.27500000000000002</v>
      </c>
      <c r="J245" s="81">
        <v>350</v>
      </c>
      <c r="K245" s="81">
        <f t="shared" ref="K245:K247" si="63">I245*J245</f>
        <v>96.250000000000014</v>
      </c>
      <c r="L245" s="79"/>
      <c r="M245" s="153"/>
      <c r="N245" s="71"/>
    </row>
    <row r="246" spans="1:14" ht="15" customHeight="1">
      <c r="A246" s="85"/>
      <c r="B246" s="85"/>
      <c r="C246" s="85"/>
      <c r="D246" s="85"/>
      <c r="E246" s="85"/>
      <c r="F246" s="98"/>
      <c r="G246" s="91" t="s">
        <v>210</v>
      </c>
      <c r="H246" s="109"/>
      <c r="I246" s="80">
        <v>0.6</v>
      </c>
      <c r="J246" s="81">
        <v>890</v>
      </c>
      <c r="K246" s="81">
        <f t="shared" si="63"/>
        <v>534</v>
      </c>
      <c r="L246" s="79"/>
      <c r="M246" s="102"/>
      <c r="N246" s="71"/>
    </row>
    <row r="247" spans="1:14" ht="15" customHeight="1">
      <c r="A247" s="85"/>
      <c r="B247" s="85"/>
      <c r="C247" s="85"/>
      <c r="D247" s="85"/>
      <c r="E247" s="85"/>
      <c r="F247" s="98"/>
      <c r="G247" s="91" t="s">
        <v>221</v>
      </c>
      <c r="H247" s="112"/>
      <c r="I247" s="113">
        <v>0.38</v>
      </c>
      <c r="J247" s="81">
        <v>980</v>
      </c>
      <c r="K247" s="81">
        <f t="shared" si="63"/>
        <v>372.4</v>
      </c>
      <c r="L247" s="79"/>
      <c r="M247" s="102"/>
      <c r="N247" s="71"/>
    </row>
    <row r="248" spans="1:14" ht="15" customHeight="1">
      <c r="A248" s="85"/>
      <c r="B248" s="85"/>
      <c r="C248" s="85"/>
      <c r="D248" s="85"/>
      <c r="E248" s="85"/>
      <c r="F248" s="98"/>
      <c r="G248" s="316" t="s">
        <v>211</v>
      </c>
      <c r="H248" s="79"/>
      <c r="I248" s="80">
        <v>2.5</v>
      </c>
      <c r="J248" s="81">
        <v>120</v>
      </c>
      <c r="K248" s="81">
        <f>I248*J248</f>
        <v>300</v>
      </c>
      <c r="L248" s="79"/>
      <c r="M248" s="102"/>
      <c r="N248" s="71"/>
    </row>
    <row r="249" spans="1:14" ht="15" customHeight="1">
      <c r="A249" s="85"/>
      <c r="B249" s="85"/>
      <c r="C249" s="85"/>
      <c r="D249" s="85"/>
      <c r="E249" s="85"/>
      <c r="F249" s="98"/>
      <c r="G249" s="316" t="s">
        <v>212</v>
      </c>
      <c r="H249" s="79"/>
      <c r="I249" s="80">
        <v>0.2</v>
      </c>
      <c r="J249" s="81">
        <v>527</v>
      </c>
      <c r="K249" s="81">
        <f t="shared" ref="K249:K251" si="64">I249*J249</f>
        <v>105.4</v>
      </c>
      <c r="L249" s="79"/>
      <c r="M249" s="102"/>
      <c r="N249" s="71"/>
    </row>
    <row r="250" spans="1:14" ht="15" customHeight="1">
      <c r="A250" s="85"/>
      <c r="B250" s="85"/>
      <c r="C250" s="85"/>
      <c r="D250" s="85"/>
      <c r="E250" s="85"/>
      <c r="F250" s="98"/>
      <c r="G250" s="316" t="s">
        <v>213</v>
      </c>
      <c r="H250" s="79"/>
      <c r="I250" s="80">
        <v>0.2</v>
      </c>
      <c r="J250" s="81">
        <v>348</v>
      </c>
      <c r="K250" s="81">
        <f t="shared" si="64"/>
        <v>69.600000000000009</v>
      </c>
      <c r="L250" s="79"/>
      <c r="M250" s="102"/>
      <c r="N250" s="71"/>
    </row>
    <row r="251" spans="1:14" ht="15" customHeight="1">
      <c r="A251" s="85"/>
      <c r="B251" s="85"/>
      <c r="C251" s="85"/>
      <c r="D251" s="85"/>
      <c r="E251" s="85"/>
      <c r="F251" s="98"/>
      <c r="G251" s="316" t="s">
        <v>45</v>
      </c>
      <c r="H251" s="79"/>
      <c r="I251" s="80">
        <v>0.15</v>
      </c>
      <c r="J251" s="81">
        <v>45</v>
      </c>
      <c r="K251" s="81">
        <f t="shared" si="64"/>
        <v>6.75</v>
      </c>
      <c r="L251" s="79"/>
      <c r="M251" s="102"/>
      <c r="N251" s="71"/>
    </row>
    <row r="252" spans="1:14" ht="15" customHeight="1">
      <c r="A252" s="314"/>
      <c r="B252" s="314"/>
      <c r="C252" s="314"/>
      <c r="D252" s="314"/>
      <c r="E252" s="274" t="s">
        <v>9</v>
      </c>
      <c r="F252" s="110">
        <f>SUM(F245:F251)</f>
        <v>87.488</v>
      </c>
      <c r="G252" s="274"/>
      <c r="H252" s="274"/>
      <c r="I252" s="97"/>
      <c r="J252" s="97"/>
      <c r="K252" s="111">
        <f>SUM(K245:K251)</f>
        <v>1484.4</v>
      </c>
      <c r="L252" s="155">
        <f>K252/F252</f>
        <v>16.96689831748354</v>
      </c>
      <c r="M252" s="102"/>
      <c r="N252" s="71"/>
    </row>
    <row r="253" spans="1:14" ht="15" customHeight="1">
      <c r="A253" s="314">
        <v>7044</v>
      </c>
      <c r="B253" s="315" t="s">
        <v>277</v>
      </c>
      <c r="C253" s="315" t="s">
        <v>233</v>
      </c>
      <c r="D253" s="315" t="s">
        <v>777</v>
      </c>
      <c r="E253" s="315" t="s">
        <v>93</v>
      </c>
      <c r="F253" s="98">
        <f>10*1.0936</f>
        <v>10.936</v>
      </c>
      <c r="G253" s="91" t="s">
        <v>209</v>
      </c>
      <c r="H253" s="79"/>
      <c r="I253" s="80">
        <v>0.08</v>
      </c>
      <c r="J253" s="81">
        <v>350</v>
      </c>
      <c r="K253" s="81">
        <f t="shared" ref="K253:K256" si="65">I253*J253</f>
        <v>28</v>
      </c>
      <c r="L253" s="79"/>
      <c r="M253" s="102"/>
      <c r="N253" s="71"/>
    </row>
    <row r="254" spans="1:14" ht="15" customHeight="1">
      <c r="A254" s="314"/>
      <c r="B254" s="314"/>
      <c r="C254" s="314"/>
      <c r="D254" s="314"/>
      <c r="E254" s="314"/>
      <c r="F254" s="98"/>
      <c r="G254" s="91" t="s">
        <v>210</v>
      </c>
      <c r="H254" s="109"/>
      <c r="I254" s="80">
        <v>0.05</v>
      </c>
      <c r="J254" s="81">
        <v>890</v>
      </c>
      <c r="K254" s="81">
        <f t="shared" si="65"/>
        <v>44.5</v>
      </c>
      <c r="L254" s="79"/>
      <c r="M254" s="102"/>
      <c r="N254" s="71"/>
    </row>
    <row r="255" spans="1:14" ht="15" customHeight="1">
      <c r="A255" s="314"/>
      <c r="B255" s="314"/>
      <c r="C255" s="314"/>
      <c r="D255" s="314"/>
      <c r="E255" s="314"/>
      <c r="F255" s="98"/>
      <c r="G255" s="91" t="s">
        <v>221</v>
      </c>
      <c r="H255" s="112"/>
      <c r="I255" s="113">
        <v>0.08</v>
      </c>
      <c r="J255" s="81">
        <v>980</v>
      </c>
      <c r="K255" s="81">
        <f t="shared" si="65"/>
        <v>78.400000000000006</v>
      </c>
      <c r="L255" s="79"/>
      <c r="M255" s="102"/>
      <c r="N255" s="71"/>
    </row>
    <row r="256" spans="1:14" ht="15" customHeight="1">
      <c r="A256" s="314"/>
      <c r="B256" s="314"/>
      <c r="C256" s="314"/>
      <c r="D256" s="314"/>
      <c r="E256" s="314"/>
      <c r="F256" s="98"/>
      <c r="G256" s="91" t="s">
        <v>123</v>
      </c>
      <c r="H256" s="315"/>
      <c r="I256" s="96">
        <v>0.08</v>
      </c>
      <c r="J256" s="81">
        <v>750</v>
      </c>
      <c r="K256" s="94">
        <f t="shared" si="65"/>
        <v>60</v>
      </c>
      <c r="L256" s="79"/>
      <c r="M256" s="102"/>
      <c r="N256" s="71"/>
    </row>
    <row r="257" spans="1:14" ht="15" customHeight="1">
      <c r="A257" s="314"/>
      <c r="B257" s="314"/>
      <c r="C257" s="314"/>
      <c r="D257" s="314"/>
      <c r="E257" s="314"/>
      <c r="F257" s="98"/>
      <c r="G257" s="316" t="s">
        <v>211</v>
      </c>
      <c r="H257" s="79"/>
      <c r="I257" s="80">
        <v>4.5</v>
      </c>
      <c r="J257" s="81">
        <v>120</v>
      </c>
      <c r="K257" s="81">
        <f>I257*J257</f>
        <v>540</v>
      </c>
      <c r="L257" s="79"/>
      <c r="M257" s="102"/>
      <c r="N257" s="71"/>
    </row>
    <row r="258" spans="1:14" ht="15" customHeight="1">
      <c r="A258" s="314"/>
      <c r="B258" s="314"/>
      <c r="C258" s="314"/>
      <c r="D258" s="314"/>
      <c r="E258" s="314"/>
      <c r="F258" s="98"/>
      <c r="G258" s="316" t="s">
        <v>212</v>
      </c>
      <c r="H258" s="79"/>
      <c r="I258" s="80">
        <v>0.45</v>
      </c>
      <c r="J258" s="81">
        <v>527</v>
      </c>
      <c r="K258" s="81">
        <f t="shared" ref="K258:K260" si="66">I258*J258</f>
        <v>237.15</v>
      </c>
      <c r="L258" s="79"/>
      <c r="M258" s="102"/>
      <c r="N258" s="71"/>
    </row>
    <row r="259" spans="1:14" ht="15" customHeight="1">
      <c r="A259" s="314"/>
      <c r="B259" s="314"/>
      <c r="C259" s="314"/>
      <c r="D259" s="314"/>
      <c r="E259" s="314"/>
      <c r="F259" s="98"/>
      <c r="G259" s="316" t="s">
        <v>213</v>
      </c>
      <c r="H259" s="79"/>
      <c r="I259" s="80">
        <v>0.6</v>
      </c>
      <c r="J259" s="81">
        <v>348</v>
      </c>
      <c r="K259" s="81">
        <f t="shared" si="66"/>
        <v>208.79999999999998</v>
      </c>
      <c r="L259" s="79"/>
      <c r="M259" s="102"/>
      <c r="N259" s="71"/>
    </row>
    <row r="260" spans="1:14" ht="15" customHeight="1">
      <c r="A260" s="314"/>
      <c r="B260" s="314"/>
      <c r="C260" s="314"/>
      <c r="D260" s="314"/>
      <c r="E260" s="314"/>
      <c r="F260" s="98"/>
      <c r="G260" s="316" t="s">
        <v>45</v>
      </c>
      <c r="H260" s="79"/>
      <c r="I260" s="80">
        <v>0.45</v>
      </c>
      <c r="J260" s="81">
        <v>45</v>
      </c>
      <c r="K260" s="81">
        <f t="shared" si="66"/>
        <v>20.25</v>
      </c>
      <c r="L260" s="79"/>
      <c r="M260" s="102"/>
      <c r="N260" s="71"/>
    </row>
    <row r="261" spans="1:14" ht="15" customHeight="1">
      <c r="A261" s="314"/>
      <c r="B261" s="314"/>
      <c r="C261" s="314"/>
      <c r="D261" s="314"/>
      <c r="E261" s="274" t="s">
        <v>9</v>
      </c>
      <c r="F261" s="110">
        <f>SUM(F253:F260)</f>
        <v>10.936</v>
      </c>
      <c r="G261" s="274"/>
      <c r="H261" s="274"/>
      <c r="I261" s="97"/>
      <c r="J261" s="97"/>
      <c r="K261" s="111">
        <f>SUM(K253:K260)</f>
        <v>1217.0999999999999</v>
      </c>
      <c r="L261" s="155">
        <f>K261/F261</f>
        <v>111.29297732260423</v>
      </c>
      <c r="M261" s="102"/>
      <c r="N261" s="71"/>
    </row>
    <row r="262" spans="1:14" ht="15" customHeight="1">
      <c r="A262" s="314">
        <v>7045</v>
      </c>
      <c r="B262" s="315" t="s">
        <v>881</v>
      </c>
      <c r="C262" s="89" t="s">
        <v>882</v>
      </c>
      <c r="D262" s="89" t="s">
        <v>883</v>
      </c>
      <c r="E262" s="315" t="s">
        <v>694</v>
      </c>
      <c r="F262" s="87">
        <f>5620*1.0936</f>
        <v>6146.0319999999992</v>
      </c>
      <c r="G262" s="91" t="s">
        <v>209</v>
      </c>
      <c r="H262" s="79"/>
      <c r="I262" s="80">
        <v>3</v>
      </c>
      <c r="J262" s="81">
        <v>350</v>
      </c>
      <c r="K262" s="81">
        <f t="shared" ref="K262:K268" si="67">I262*J262</f>
        <v>1050</v>
      </c>
      <c r="L262" s="274"/>
      <c r="M262" s="102"/>
      <c r="N262" s="71"/>
    </row>
    <row r="263" spans="1:14" ht="15" customHeight="1">
      <c r="A263" s="314"/>
      <c r="B263" s="315"/>
      <c r="C263" s="315"/>
      <c r="D263" s="315"/>
      <c r="E263" s="315" t="s">
        <v>93</v>
      </c>
      <c r="F263" s="315"/>
      <c r="G263" s="91" t="s">
        <v>123</v>
      </c>
      <c r="H263" s="315"/>
      <c r="I263" s="96">
        <v>1</v>
      </c>
      <c r="J263" s="81">
        <v>750</v>
      </c>
      <c r="K263" s="94">
        <f t="shared" si="67"/>
        <v>750</v>
      </c>
      <c r="L263" s="102"/>
      <c r="M263" s="102"/>
      <c r="N263" s="71"/>
    </row>
    <row r="264" spans="1:14" ht="15" customHeight="1">
      <c r="A264" s="314"/>
      <c r="B264" s="314"/>
      <c r="C264" s="314"/>
      <c r="D264" s="314"/>
      <c r="E264" s="314"/>
      <c r="F264" s="98"/>
      <c r="G264" s="91" t="s">
        <v>886</v>
      </c>
      <c r="H264" s="315"/>
      <c r="I264" s="96">
        <v>0.2</v>
      </c>
      <c r="J264" s="81">
        <v>700</v>
      </c>
      <c r="K264" s="94">
        <f t="shared" si="67"/>
        <v>140</v>
      </c>
      <c r="L264" s="102"/>
      <c r="M264" s="102"/>
      <c r="N264" s="71"/>
    </row>
    <row r="265" spans="1:14" ht="15" customHeight="1">
      <c r="A265" s="314"/>
      <c r="B265" s="314"/>
      <c r="C265" s="314"/>
      <c r="D265" s="314"/>
      <c r="E265" s="314"/>
      <c r="F265" s="98"/>
      <c r="G265" s="91" t="s">
        <v>221</v>
      </c>
      <c r="H265" s="112"/>
      <c r="I265" s="113">
        <v>3.2</v>
      </c>
      <c r="J265" s="81">
        <v>980</v>
      </c>
      <c r="K265" s="81">
        <f t="shared" si="67"/>
        <v>3136</v>
      </c>
      <c r="L265" s="111"/>
      <c r="M265" s="102"/>
      <c r="N265" s="71"/>
    </row>
    <row r="266" spans="1:14" ht="15" customHeight="1">
      <c r="A266" s="314"/>
      <c r="B266" s="314"/>
      <c r="C266" s="314"/>
      <c r="D266" s="314"/>
      <c r="E266" s="314"/>
      <c r="F266" s="98"/>
      <c r="G266" s="91" t="s">
        <v>888</v>
      </c>
      <c r="H266" s="109"/>
      <c r="I266" s="80">
        <v>9.4</v>
      </c>
      <c r="J266" s="81">
        <v>690</v>
      </c>
      <c r="K266" s="81">
        <f t="shared" si="67"/>
        <v>6486</v>
      </c>
      <c r="L266" s="111"/>
      <c r="M266" s="102"/>
      <c r="N266" s="71"/>
    </row>
    <row r="267" spans="1:14" ht="15" customHeight="1">
      <c r="A267" s="314"/>
      <c r="B267" s="314"/>
      <c r="C267" s="314"/>
      <c r="D267" s="314"/>
      <c r="E267" s="314"/>
      <c r="F267" s="98"/>
      <c r="G267" s="91" t="s">
        <v>677</v>
      </c>
      <c r="H267" s="112"/>
      <c r="I267" s="113">
        <v>0.9</v>
      </c>
      <c r="J267" s="81">
        <v>680</v>
      </c>
      <c r="K267" s="81">
        <f t="shared" si="67"/>
        <v>612</v>
      </c>
      <c r="L267" s="111"/>
      <c r="M267" s="102"/>
      <c r="N267" s="71"/>
    </row>
    <row r="268" spans="1:14" ht="15" customHeight="1">
      <c r="A268" s="314"/>
      <c r="B268" s="314"/>
      <c r="C268" s="314"/>
      <c r="D268" s="314"/>
      <c r="E268" s="314"/>
      <c r="F268" s="98"/>
      <c r="G268" s="91" t="s">
        <v>294</v>
      </c>
      <c r="H268" s="112"/>
      <c r="I268" s="113">
        <v>0.2</v>
      </c>
      <c r="J268" s="81">
        <v>753</v>
      </c>
      <c r="K268" s="81">
        <f t="shared" si="67"/>
        <v>150.6</v>
      </c>
      <c r="L268" s="111"/>
      <c r="M268" s="102"/>
      <c r="N268" s="71"/>
    </row>
    <row r="269" spans="1:14" ht="15" customHeight="1">
      <c r="A269" s="314"/>
      <c r="B269" s="314"/>
      <c r="C269" s="314"/>
      <c r="D269" s="314"/>
      <c r="E269" s="314"/>
      <c r="F269" s="98"/>
      <c r="G269" s="316" t="s">
        <v>211</v>
      </c>
      <c r="H269" s="79"/>
      <c r="I269" s="80">
        <v>92</v>
      </c>
      <c r="J269" s="81">
        <v>120</v>
      </c>
      <c r="K269" s="81">
        <f>I269*J269</f>
        <v>11040</v>
      </c>
      <c r="L269" s="274"/>
      <c r="M269" s="102"/>
      <c r="N269" s="71"/>
    </row>
    <row r="270" spans="1:14" ht="15" customHeight="1">
      <c r="A270" s="314"/>
      <c r="B270" s="314"/>
      <c r="C270" s="314"/>
      <c r="D270" s="314"/>
      <c r="E270" s="314"/>
      <c r="F270" s="98"/>
      <c r="G270" s="316" t="s">
        <v>213</v>
      </c>
      <c r="H270" s="79"/>
      <c r="I270" s="80">
        <v>8</v>
      </c>
      <c r="J270" s="81">
        <v>348</v>
      </c>
      <c r="K270" s="81">
        <f t="shared" ref="K270:K272" si="68">I270*J270</f>
        <v>2784</v>
      </c>
      <c r="L270" s="79"/>
      <c r="M270" s="102"/>
      <c r="N270" s="71"/>
    </row>
    <row r="271" spans="1:14" ht="15" customHeight="1">
      <c r="A271" s="314"/>
      <c r="B271" s="314"/>
      <c r="C271" s="314"/>
      <c r="D271" s="314"/>
      <c r="E271" s="314"/>
      <c r="F271" s="98"/>
      <c r="G271" s="316" t="s">
        <v>45</v>
      </c>
      <c r="H271" s="79"/>
      <c r="I271" s="80">
        <v>9</v>
      </c>
      <c r="J271" s="81">
        <v>45</v>
      </c>
      <c r="K271" s="81">
        <f t="shared" si="68"/>
        <v>405</v>
      </c>
      <c r="L271" s="79"/>
      <c r="M271" s="102"/>
      <c r="N271" s="71"/>
    </row>
    <row r="272" spans="1:14" ht="15" customHeight="1">
      <c r="A272" s="314"/>
      <c r="B272" s="314"/>
      <c r="C272" s="314"/>
      <c r="D272" s="314"/>
      <c r="E272" s="314"/>
      <c r="F272" s="98"/>
      <c r="G272" s="316" t="s">
        <v>214</v>
      </c>
      <c r="H272" s="79"/>
      <c r="I272" s="80">
        <v>30</v>
      </c>
      <c r="J272" s="81">
        <v>360</v>
      </c>
      <c r="K272" s="81">
        <f t="shared" si="68"/>
        <v>10800</v>
      </c>
      <c r="L272" s="79"/>
      <c r="M272" s="102"/>
      <c r="N272" s="71"/>
    </row>
    <row r="273" spans="1:14" ht="15" customHeight="1">
      <c r="A273" s="314"/>
      <c r="B273" s="314"/>
      <c r="C273" s="314"/>
      <c r="D273" s="314"/>
      <c r="E273" s="274" t="s">
        <v>9</v>
      </c>
      <c r="F273" s="110">
        <f>SUM(F262:F272)</f>
        <v>6146.0319999999992</v>
      </c>
      <c r="G273" s="274"/>
      <c r="H273" s="274"/>
      <c r="I273" s="97"/>
      <c r="J273" s="97"/>
      <c r="K273" s="111">
        <f>SUM(K262:K272)</f>
        <v>37353.599999999999</v>
      </c>
      <c r="L273" s="155">
        <f>K273/F273</f>
        <v>6.0776774348067182</v>
      </c>
      <c r="M273" s="102"/>
      <c r="N273" s="71"/>
    </row>
    <row r="274" spans="1:14" ht="15" customHeight="1">
      <c r="A274" s="314">
        <v>7046</v>
      </c>
      <c r="B274" s="315" t="s">
        <v>218</v>
      </c>
      <c r="C274" s="315" t="s">
        <v>792</v>
      </c>
      <c r="D274" s="315" t="s">
        <v>889</v>
      </c>
      <c r="E274" s="315" t="s">
        <v>93</v>
      </c>
      <c r="F274" s="98">
        <f>40*1.0936</f>
        <v>43.744</v>
      </c>
      <c r="G274" s="91" t="s">
        <v>209</v>
      </c>
      <c r="H274" s="79"/>
      <c r="I274" s="80">
        <v>0.06</v>
      </c>
      <c r="J274" s="81">
        <v>350</v>
      </c>
      <c r="K274" s="81">
        <f t="shared" ref="K274:K277" si="69">I274*J274</f>
        <v>21</v>
      </c>
      <c r="L274" s="274"/>
      <c r="M274" s="102"/>
      <c r="N274" s="71"/>
    </row>
    <row r="275" spans="1:14" ht="15" customHeight="1">
      <c r="A275" s="314"/>
      <c r="B275" s="314"/>
      <c r="C275" s="314"/>
      <c r="D275" s="314"/>
      <c r="E275" s="314"/>
      <c r="F275" s="98"/>
      <c r="G275" s="91" t="s">
        <v>123</v>
      </c>
      <c r="H275" s="315"/>
      <c r="I275" s="96">
        <v>0.2</v>
      </c>
      <c r="J275" s="81">
        <v>750</v>
      </c>
      <c r="K275" s="94">
        <f t="shared" si="69"/>
        <v>150</v>
      </c>
      <c r="L275" s="102"/>
      <c r="M275" s="102"/>
      <c r="N275" s="71"/>
    </row>
    <row r="276" spans="1:14" ht="15" customHeight="1">
      <c r="A276" s="314"/>
      <c r="B276" s="314"/>
      <c r="C276" s="314"/>
      <c r="D276" s="314"/>
      <c r="E276" s="314"/>
      <c r="F276" s="98"/>
      <c r="G276" s="91" t="s">
        <v>888</v>
      </c>
      <c r="H276" s="109"/>
      <c r="I276" s="80">
        <v>0.2</v>
      </c>
      <c r="J276" s="81">
        <v>690</v>
      </c>
      <c r="K276" s="81">
        <f t="shared" si="69"/>
        <v>138</v>
      </c>
      <c r="L276" s="102"/>
      <c r="M276" s="102"/>
      <c r="N276" s="71"/>
    </row>
    <row r="277" spans="1:14" ht="15" customHeight="1">
      <c r="A277" s="314"/>
      <c r="B277" s="314"/>
      <c r="C277" s="314"/>
      <c r="D277" s="314"/>
      <c r="E277" s="314"/>
      <c r="F277" s="98"/>
      <c r="G277" s="91" t="s">
        <v>221</v>
      </c>
      <c r="H277" s="112"/>
      <c r="I277" s="113">
        <v>3</v>
      </c>
      <c r="J277" s="81">
        <v>980</v>
      </c>
      <c r="K277" s="81">
        <f t="shared" si="69"/>
        <v>2940</v>
      </c>
      <c r="L277" s="111"/>
      <c r="M277" s="102"/>
      <c r="N277" s="71"/>
    </row>
    <row r="278" spans="1:14" ht="15" customHeight="1">
      <c r="A278" s="314"/>
      <c r="B278" s="314"/>
      <c r="C278" s="314"/>
      <c r="D278" s="314"/>
      <c r="E278" s="314"/>
      <c r="F278" s="98"/>
      <c r="G278" s="316" t="s">
        <v>211</v>
      </c>
      <c r="H278" s="79"/>
      <c r="I278" s="80">
        <v>0.3</v>
      </c>
      <c r="J278" s="81">
        <v>120</v>
      </c>
      <c r="K278" s="81">
        <f>I278*J278</f>
        <v>36</v>
      </c>
      <c r="L278" s="79"/>
      <c r="M278" s="102"/>
      <c r="N278" s="71"/>
    </row>
    <row r="279" spans="1:14" ht="15" customHeight="1">
      <c r="A279" s="314"/>
      <c r="B279" s="314"/>
      <c r="C279" s="314"/>
      <c r="D279" s="314"/>
      <c r="E279" s="314"/>
      <c r="F279" s="98"/>
      <c r="G279" s="316" t="s">
        <v>213</v>
      </c>
      <c r="H279" s="79"/>
      <c r="I279" s="80">
        <v>0.3</v>
      </c>
      <c r="J279" s="81">
        <v>348</v>
      </c>
      <c r="K279" s="81">
        <f t="shared" ref="K279:K280" si="70">I279*J279</f>
        <v>104.39999999999999</v>
      </c>
      <c r="L279" s="79"/>
      <c r="M279" s="102"/>
      <c r="N279" s="71"/>
    </row>
    <row r="280" spans="1:14" ht="15" customHeight="1">
      <c r="A280" s="314"/>
      <c r="B280" s="314"/>
      <c r="C280" s="314"/>
      <c r="D280" s="314"/>
      <c r="E280" s="314"/>
      <c r="F280" s="98"/>
      <c r="G280" s="316" t="s">
        <v>45</v>
      </c>
      <c r="H280" s="79"/>
      <c r="I280" s="80">
        <v>0.25</v>
      </c>
      <c r="J280" s="81">
        <v>45</v>
      </c>
      <c r="K280" s="81">
        <f t="shared" si="70"/>
        <v>11.25</v>
      </c>
      <c r="L280" s="79"/>
      <c r="M280" s="102"/>
      <c r="N280" s="71"/>
    </row>
    <row r="281" spans="1:14" ht="15" customHeight="1">
      <c r="A281" s="85"/>
      <c r="B281" s="85"/>
      <c r="C281" s="85"/>
      <c r="D281" s="85"/>
      <c r="E281" s="172" t="s">
        <v>9</v>
      </c>
      <c r="F281" s="110">
        <f>SUM(F274:F280)</f>
        <v>43.744</v>
      </c>
      <c r="G281" s="172"/>
      <c r="H281" s="172"/>
      <c r="I281" s="97"/>
      <c r="J281" s="97"/>
      <c r="K281" s="111">
        <f>SUM(K274:K280)</f>
        <v>3400.65</v>
      </c>
      <c r="L281" s="155">
        <f>K281/F281</f>
        <v>77.739804316020482</v>
      </c>
      <c r="M281" s="153"/>
      <c r="N281" s="71"/>
    </row>
    <row r="282" spans="1:14" ht="15" customHeight="1">
      <c r="A282" s="71"/>
      <c r="B282" s="71"/>
      <c r="C282" s="71"/>
      <c r="D282" s="126" t="s">
        <v>30</v>
      </c>
      <c r="E282" s="126"/>
      <c r="F282" s="127">
        <f>F244+F252+F261+F273+F281</f>
        <v>10596.983999999999</v>
      </c>
      <c r="G282" s="128"/>
      <c r="H282" s="128"/>
      <c r="I282" s="128"/>
      <c r="J282" s="128"/>
      <c r="K282" s="127">
        <f>K244+K252+K261+K273+K281</f>
        <v>63798.85</v>
      </c>
      <c r="L282" s="129">
        <f>K282/F282</f>
        <v>6.0204724287589757</v>
      </c>
      <c r="M282" s="71"/>
      <c r="N282" s="71"/>
    </row>
    <row r="283" spans="1:14" ht="15" customHeight="1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</row>
    <row r="284" spans="1:14" ht="15" customHeight="1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</row>
    <row r="285" spans="1:14" ht="15" customHeight="1">
      <c r="A285" s="71"/>
      <c r="B285" s="28"/>
      <c r="C285" s="28"/>
      <c r="D285" s="133" t="s">
        <v>1009</v>
      </c>
      <c r="E285" s="327">
        <f>F158+F282</f>
        <v>27066.6</v>
      </c>
      <c r="F285" s="133"/>
      <c r="G285" s="134">
        <f>K54+K93+K105+K111+K158+K197+K232+K282</f>
        <v>593256.00199999998</v>
      </c>
      <c r="H285" s="135"/>
      <c r="I285" s="135"/>
      <c r="J285" s="135"/>
      <c r="K285" s="135"/>
      <c r="L285" s="134">
        <f>G285/E285</f>
        <v>21.91837918319996</v>
      </c>
      <c r="M285" s="71"/>
      <c r="N285" s="71"/>
    </row>
    <row r="286" spans="1:14" ht="15" customHeight="1">
      <c r="A286" s="71"/>
      <c r="B286" s="28"/>
      <c r="C286" s="28"/>
      <c r="D286" s="109" t="s">
        <v>855</v>
      </c>
      <c r="E286" s="358"/>
      <c r="F286" s="109"/>
      <c r="G286" s="359">
        <f>K114+K115+K116+K117+K118+K122+K123+K124+K125+K126+K130+K131+K132+K133+K134+K138+K139+K140+K141+K142+K146+K147+K148+K152+K153+K154+K235+K236+K237+K245+K246+K247+K253+K254+K255+K256+K262+K263+K264+K265+K266+K267+K268+K274+K275+K276+K277</f>
        <v>151890.48200000002</v>
      </c>
      <c r="H286" s="370"/>
      <c r="I286" s="359">
        <f>'02'!I192+'03'!G286</f>
        <v>289968.36900000006</v>
      </c>
      <c r="J286" s="416">
        <f>G286+M301</f>
        <v>153379.09400000001</v>
      </c>
      <c r="K286" s="360"/>
      <c r="L286" s="940"/>
      <c r="M286" s="71"/>
      <c r="N286" s="382"/>
    </row>
    <row r="287" spans="1:14" ht="15" customHeight="1">
      <c r="A287" s="71"/>
      <c r="B287" s="28"/>
      <c r="C287" s="28"/>
      <c r="D287" s="323" t="s">
        <v>854</v>
      </c>
      <c r="E287" s="361"/>
      <c r="F287" s="323"/>
      <c r="G287" s="362">
        <f>G285-G286</f>
        <v>441365.51999999996</v>
      </c>
      <c r="H287" s="370"/>
      <c r="I287" s="359">
        <f>'02'!I193+'03'!G287</f>
        <v>637054.61199999996</v>
      </c>
      <c r="J287" s="360"/>
      <c r="K287" s="360"/>
      <c r="L287" s="941"/>
      <c r="M287" s="71"/>
      <c r="N287" s="382"/>
    </row>
    <row r="288" spans="1:14" ht="15" customHeight="1">
      <c r="A288" s="71"/>
      <c r="B288" s="28"/>
      <c r="C288" s="28"/>
      <c r="D288" s="109" t="s">
        <v>853</v>
      </c>
      <c r="E288" s="109"/>
      <c r="F288" s="109"/>
      <c r="G288" s="328">
        <f>SUM(G286:G287)</f>
        <v>593256.00199999998</v>
      </c>
      <c r="H288" s="371"/>
      <c r="I288" s="379">
        <f>'02'!I194+'03'!G288</f>
        <v>927022.98099999991</v>
      </c>
      <c r="J288" s="372"/>
      <c r="K288" s="373"/>
      <c r="L288" s="363">
        <f>G288/E285</f>
        <v>21.91837918319996</v>
      </c>
      <c r="M288" s="71"/>
      <c r="N288" s="71"/>
    </row>
    <row r="289" spans="1:14" ht="15" customHeight="1">
      <c r="A289" s="71"/>
      <c r="B289" s="28"/>
      <c r="C289" s="28"/>
      <c r="D289" s="395" t="s">
        <v>906</v>
      </c>
      <c r="E289" s="408"/>
      <c r="F289" s="317"/>
      <c r="G289" s="465">
        <f>'02'!G195+'03'!M301</f>
        <v>3837.1800000000003</v>
      </c>
      <c r="H289" s="30"/>
      <c r="I289" s="29"/>
      <c r="J289" s="29"/>
      <c r="K289" s="29"/>
      <c r="L289" s="29"/>
      <c r="N289" s="71"/>
    </row>
    <row r="290" spans="1:14" ht="15" customHeight="1">
      <c r="A290" s="71"/>
      <c r="B290" s="28"/>
      <c r="C290" s="28"/>
      <c r="D290" s="29"/>
      <c r="E290" s="29"/>
      <c r="F290" s="29"/>
      <c r="G290" s="29"/>
      <c r="H290" s="30"/>
      <c r="I290" s="29"/>
      <c r="J290" s="29"/>
      <c r="K290" s="29"/>
      <c r="L290" s="29"/>
      <c r="N290" s="71"/>
    </row>
    <row r="291" spans="1:14" ht="15" customHeight="1">
      <c r="A291" s="71"/>
      <c r="B291" s="28"/>
      <c r="C291" s="28"/>
      <c r="D291" s="829" t="s">
        <v>852</v>
      </c>
      <c r="E291" s="829"/>
      <c r="F291" s="357">
        <f>G302</f>
        <v>84560</v>
      </c>
      <c r="G291" s="29"/>
      <c r="H291" s="500" t="s">
        <v>908</v>
      </c>
      <c r="I291" s="832" t="s">
        <v>405</v>
      </c>
      <c r="J291" s="833"/>
      <c r="K291" s="80">
        <f>0.3</f>
        <v>0.3</v>
      </c>
      <c r="L291" s="81">
        <v>1708</v>
      </c>
      <c r="M291" s="81">
        <f t="shared" ref="M291" si="71">K291*L291</f>
        <v>512.4</v>
      </c>
      <c r="N291" s="71"/>
    </row>
    <row r="292" spans="1:14" ht="15" customHeight="1">
      <c r="A292" s="71"/>
      <c r="B292" s="28"/>
      <c r="C292" s="28"/>
      <c r="D292" s="829" t="s">
        <v>835</v>
      </c>
      <c r="E292" s="829"/>
      <c r="F292" s="357"/>
      <c r="G292" s="29"/>
      <c r="H292" s="500" t="s">
        <v>909</v>
      </c>
      <c r="I292" s="830" t="s">
        <v>196</v>
      </c>
      <c r="J292" s="831"/>
      <c r="K292" s="80">
        <f>0.2+0.2+0.06</f>
        <v>0.46</v>
      </c>
      <c r="L292" s="81">
        <v>888</v>
      </c>
      <c r="M292" s="81">
        <f t="shared" ref="M292:M296" si="72">K292*L292</f>
        <v>408.48</v>
      </c>
      <c r="N292" s="71"/>
    </row>
    <row r="293" spans="1:14" ht="15" customHeight="1">
      <c r="A293" s="71"/>
      <c r="B293" s="28"/>
      <c r="C293" s="28"/>
      <c r="D293" s="829" t="s">
        <v>836</v>
      </c>
      <c r="E293" s="829"/>
      <c r="F293" s="357">
        <f>SUM(F291:F292)</f>
        <v>84560</v>
      </c>
      <c r="G293" s="29"/>
      <c r="H293" s="500" t="s">
        <v>910</v>
      </c>
      <c r="I293" s="830" t="s">
        <v>192</v>
      </c>
      <c r="J293" s="831"/>
      <c r="K293" s="80">
        <f>0.1+0.096+0.02+0.03</f>
        <v>0.246</v>
      </c>
      <c r="L293" s="81">
        <v>1126</v>
      </c>
      <c r="M293" s="81">
        <f t="shared" si="72"/>
        <v>276.99599999999998</v>
      </c>
      <c r="N293" s="71"/>
    </row>
    <row r="294" spans="1:14" ht="15" customHeight="1">
      <c r="A294" s="71"/>
      <c r="B294" s="28"/>
      <c r="C294" s="28"/>
      <c r="D294" s="330" t="s">
        <v>847</v>
      </c>
      <c r="E294" s="330"/>
      <c r="F294" s="357">
        <f>F291-G287</f>
        <v>-356805.51999999996</v>
      </c>
      <c r="G294" s="29"/>
      <c r="H294" s="500" t="s">
        <v>908</v>
      </c>
      <c r="I294" s="830" t="s">
        <v>199</v>
      </c>
      <c r="J294" s="831"/>
      <c r="K294" s="80">
        <f>0.1+0.1</f>
        <v>0.2</v>
      </c>
      <c r="L294" s="81">
        <v>530</v>
      </c>
      <c r="M294" s="81">
        <f t="shared" si="72"/>
        <v>106</v>
      </c>
      <c r="N294" s="71"/>
    </row>
    <row r="295" spans="1:14" ht="15" customHeight="1">
      <c r="A295" s="71"/>
      <c r="B295" s="28"/>
      <c r="C295" s="28"/>
      <c r="D295" s="29"/>
      <c r="E295" s="29"/>
      <c r="F295" s="29"/>
      <c r="G295" s="29"/>
      <c r="H295" s="500" t="s">
        <v>912</v>
      </c>
      <c r="I295" s="830" t="s">
        <v>193</v>
      </c>
      <c r="J295" s="831"/>
      <c r="K295" s="80">
        <f>0.15</f>
        <v>0.15</v>
      </c>
      <c r="L295" s="81">
        <v>1150</v>
      </c>
      <c r="M295" s="81">
        <f t="shared" ref="M295" si="73">K295*L295</f>
        <v>172.5</v>
      </c>
      <c r="N295" s="71"/>
    </row>
    <row r="296" spans="1:14" ht="15" customHeight="1">
      <c r="A296" s="71"/>
      <c r="B296" s="836" t="s">
        <v>833</v>
      </c>
      <c r="C296" s="837"/>
      <c r="D296" s="273" t="s">
        <v>844</v>
      </c>
      <c r="E296" s="273" t="s">
        <v>845</v>
      </c>
      <c r="F296" s="273" t="s">
        <v>846</v>
      </c>
      <c r="G296" s="273" t="s">
        <v>5</v>
      </c>
      <c r="H296" s="500" t="s">
        <v>911</v>
      </c>
      <c r="I296" s="834" t="s">
        <v>190</v>
      </c>
      <c r="J296" s="835"/>
      <c r="K296" s="80">
        <v>1.9E-2</v>
      </c>
      <c r="L296" s="81">
        <v>644</v>
      </c>
      <c r="M296" s="81">
        <f t="shared" si="72"/>
        <v>12.235999999999999</v>
      </c>
      <c r="N296" s="71"/>
    </row>
    <row r="297" spans="1:14" ht="15" customHeight="1">
      <c r="A297" s="71"/>
      <c r="B297" s="439"/>
      <c r="C297" s="439"/>
      <c r="D297" s="273"/>
      <c r="E297" s="273"/>
      <c r="F297" s="273"/>
      <c r="G297" s="273"/>
      <c r="H297" s="500" t="s">
        <v>909</v>
      </c>
      <c r="I297" s="419"/>
      <c r="J297" s="420"/>
      <c r="K297" s="80"/>
      <c r="L297" s="81"/>
      <c r="M297" s="81"/>
      <c r="N297" s="71"/>
    </row>
    <row r="298" spans="1:14" s="1" customFormat="1" ht="15" customHeight="1">
      <c r="B298" s="29"/>
      <c r="C298" s="29"/>
      <c r="D298" s="322" t="s">
        <v>843</v>
      </c>
      <c r="E298" s="317"/>
      <c r="F298" s="321">
        <f>SUM(F296:F297)</f>
        <v>0</v>
      </c>
      <c r="G298" s="320">
        <f>SUM(G296:G297)</f>
        <v>0</v>
      </c>
      <c r="H298" s="500" t="s">
        <v>911</v>
      </c>
      <c r="I298" s="417"/>
      <c r="J298" s="418"/>
      <c r="K298" s="394"/>
      <c r="L298" s="394"/>
      <c r="M298" s="437"/>
    </row>
    <row r="299" spans="1:14" ht="15" customHeight="1">
      <c r="A299" s="71"/>
      <c r="B299" s="28"/>
      <c r="C299" s="28"/>
      <c r="D299" s="315" t="s">
        <v>170</v>
      </c>
      <c r="E299" s="81">
        <v>227</v>
      </c>
      <c r="F299" s="332">
        <v>120</v>
      </c>
      <c r="G299" s="329">
        <f>F299*E299</f>
        <v>27240</v>
      </c>
      <c r="H299" s="30"/>
      <c r="I299" s="830"/>
      <c r="J299" s="831"/>
      <c r="K299" s="80"/>
      <c r="L299" s="81"/>
      <c r="M299" s="81"/>
      <c r="N299" s="79"/>
    </row>
    <row r="300" spans="1:14" ht="15" customHeight="1">
      <c r="A300" s="71"/>
      <c r="B300" s="28"/>
      <c r="C300" s="28"/>
      <c r="D300" s="315" t="s">
        <v>171</v>
      </c>
      <c r="E300" s="81">
        <v>416</v>
      </c>
      <c r="F300" s="332">
        <v>120</v>
      </c>
      <c r="G300" s="329">
        <f t="shared" ref="G300:G301" si="74">F300*E300</f>
        <v>49920</v>
      </c>
      <c r="H300" s="30"/>
      <c r="I300" s="841"/>
      <c r="J300" s="842"/>
      <c r="K300" s="394"/>
      <c r="L300" s="394"/>
      <c r="M300" s="2"/>
      <c r="N300" s="71"/>
    </row>
    <row r="301" spans="1:14" ht="15" customHeight="1">
      <c r="A301" s="71"/>
      <c r="B301" s="28"/>
      <c r="C301" s="28"/>
      <c r="D301" s="315" t="s">
        <v>19</v>
      </c>
      <c r="E301" s="381">
        <v>74</v>
      </c>
      <c r="F301" s="332">
        <v>100</v>
      </c>
      <c r="G301" s="329">
        <f t="shared" si="74"/>
        <v>7400</v>
      </c>
      <c r="H301" s="29"/>
      <c r="I301" s="844" t="s">
        <v>906</v>
      </c>
      <c r="J301" s="845"/>
      <c r="K301" s="490">
        <f>SUM(K291:K300)</f>
        <v>1.3749999999999998</v>
      </c>
      <c r="L301" s="491"/>
      <c r="M301" s="489">
        <f>SUM(M291:M300)</f>
        <v>1488.6120000000001</v>
      </c>
      <c r="N301" s="71"/>
    </row>
    <row r="302" spans="1:14" ht="15" customHeight="1">
      <c r="A302" s="71"/>
      <c r="B302" s="28"/>
      <c r="C302" s="28"/>
      <c r="D302" s="331" t="s">
        <v>843</v>
      </c>
      <c r="E302" s="109"/>
      <c r="F302" s="332">
        <f>SUM(F299:F301)</f>
        <v>340</v>
      </c>
      <c r="G302" s="329">
        <f>SUM(G299:G301)</f>
        <v>84560</v>
      </c>
      <c r="H302" s="29"/>
      <c r="I302" s="29"/>
      <c r="J302" s="29"/>
      <c r="K302" s="29"/>
      <c r="L302" s="29"/>
      <c r="M302" s="263">
        <f>G286+M301</f>
        <v>153379.09400000001</v>
      </c>
      <c r="N302" s="71"/>
    </row>
    <row r="303" spans="1:14" ht="15" customHeight="1">
      <c r="B303" s="28"/>
      <c r="C303" s="28"/>
      <c r="D303" s="322" t="s">
        <v>969</v>
      </c>
      <c r="E303" s="317"/>
      <c r="F303" s="321">
        <f>F295+F302</f>
        <v>340</v>
      </c>
      <c r="G303" s="320">
        <f>G295+G302</f>
        <v>84560</v>
      </c>
      <c r="H303" s="28"/>
      <c r="I303" s="28"/>
      <c r="J303" s="28"/>
      <c r="K303" s="28"/>
      <c r="L303" s="28"/>
    </row>
    <row r="304" spans="1:14" ht="15" customHeight="1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</row>
    <row r="305" spans="1:14" ht="15" customHeight="1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</row>
    <row r="306" spans="1:14" ht="15" customHeight="1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</row>
    <row r="307" spans="1:14" ht="15" customHeight="1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</row>
    <row r="308" spans="1:14" ht="15" customHeight="1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</row>
    <row r="309" spans="1:14" ht="15" customHeight="1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</row>
    <row r="310" spans="1:14" ht="15" customHeight="1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</row>
    <row r="311" spans="1:14" ht="15" customHeight="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</row>
    <row r="312" spans="1:14" ht="15" customHeight="1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</row>
    <row r="313" spans="1:14" ht="15" customHeight="1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</row>
    <row r="314" spans="1:14" ht="15" customHeight="1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</row>
    <row r="315" spans="1:14" ht="15" customHeight="1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</row>
    <row r="316" spans="1:14" ht="15" customHeight="1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</row>
    <row r="317" spans="1:14" s="64" customFormat="1" ht="15" customHeight="1">
      <c r="A317" s="840" t="s">
        <v>240</v>
      </c>
      <c r="B317" s="840"/>
      <c r="C317" s="840" t="s">
        <v>765</v>
      </c>
      <c r="D317" s="840"/>
      <c r="E317" s="840" t="s">
        <v>764</v>
      </c>
      <c r="F317" s="840"/>
      <c r="G317" s="380" t="s">
        <v>66</v>
      </c>
      <c r="H317" s="840" t="s">
        <v>411</v>
      </c>
      <c r="I317" s="840"/>
      <c r="J317" s="840"/>
      <c r="K317" s="840" t="s">
        <v>68</v>
      </c>
      <c r="L317" s="840"/>
      <c r="M317" s="840"/>
    </row>
    <row r="320" spans="1:14">
      <c r="A320" s="68">
        <v>1</v>
      </c>
    </row>
  </sheetData>
  <mergeCells count="31">
    <mergeCell ref="K4:M4"/>
    <mergeCell ref="A1:M1"/>
    <mergeCell ref="A2:M2"/>
    <mergeCell ref="A3:M3"/>
    <mergeCell ref="E317:F317"/>
    <mergeCell ref="D291:E291"/>
    <mergeCell ref="D292:E292"/>
    <mergeCell ref="D293:E293"/>
    <mergeCell ref="L286:L287"/>
    <mergeCell ref="A233:B233"/>
    <mergeCell ref="K55:M55"/>
    <mergeCell ref="K94:M94"/>
    <mergeCell ref="K106:M106"/>
    <mergeCell ref="K112:M112"/>
    <mergeCell ref="K159:M159"/>
    <mergeCell ref="K198:M198"/>
    <mergeCell ref="K233:M233"/>
    <mergeCell ref="K317:M317"/>
    <mergeCell ref="H317:J317"/>
    <mergeCell ref="C317:D317"/>
    <mergeCell ref="A317:B317"/>
    <mergeCell ref="B296:C296"/>
    <mergeCell ref="I296:J296"/>
    <mergeCell ref="I299:J299"/>
    <mergeCell ref="I300:J300"/>
    <mergeCell ref="I301:J301"/>
    <mergeCell ref="I291:J291"/>
    <mergeCell ref="I292:J292"/>
    <mergeCell ref="I293:J293"/>
    <mergeCell ref="I294:J294"/>
    <mergeCell ref="I295:J295"/>
  </mergeCells>
  <pageMargins left="0.2" right="0.2" top="0.5" bottom="0.25" header="0.3" footer="0.3"/>
  <pageSetup scale="8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FF0000"/>
  </sheetPr>
  <dimension ref="A1:N240"/>
  <sheetViews>
    <sheetView workbookViewId="0">
      <selection activeCell="G19" sqref="G19"/>
    </sheetView>
  </sheetViews>
  <sheetFormatPr defaultRowHeight="15"/>
  <cols>
    <col min="1" max="1" width="8" customWidth="1"/>
    <col min="2" max="2" width="11.85546875" customWidth="1"/>
    <col min="3" max="3" width="16.140625" bestFit="1" customWidth="1"/>
    <col min="4" max="4" width="19.5703125" customWidth="1"/>
    <col min="5" max="5" width="16" customWidth="1"/>
    <col min="6" max="6" width="11.7109375" customWidth="1"/>
    <col min="7" max="7" width="24.42578125" bestFit="1" customWidth="1"/>
    <col min="8" max="8" width="6.42578125" bestFit="1" customWidth="1"/>
    <col min="9" max="9" width="11.5703125" bestFit="1" customWidth="1"/>
    <col min="10" max="10" width="13.28515625" customWidth="1"/>
    <col min="11" max="11" width="11.7109375" bestFit="1" customWidth="1"/>
    <col min="12" max="12" width="9.5703125" bestFit="1" customWidth="1"/>
    <col min="13" max="13" width="10.140625" bestFit="1" customWidth="1"/>
    <col min="14" max="14" width="12" customWidth="1"/>
  </cols>
  <sheetData>
    <row r="1" spans="1:14" ht="18.75">
      <c r="A1" s="846" t="s">
        <v>146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351"/>
    </row>
    <row r="2" spans="1:14" s="28" customFormat="1" ht="15" customHeight="1">
      <c r="A2" s="880" t="s">
        <v>147</v>
      </c>
      <c r="B2" s="880"/>
      <c r="C2" s="880"/>
      <c r="D2" s="880"/>
      <c r="E2" s="880"/>
      <c r="F2" s="880"/>
      <c r="G2" s="880"/>
      <c r="H2" s="880"/>
      <c r="I2" s="880"/>
      <c r="J2" s="880"/>
      <c r="K2" s="880"/>
      <c r="L2" s="880"/>
      <c r="M2" s="880"/>
      <c r="N2" s="325"/>
    </row>
    <row r="3" spans="1:14" s="65" customFormat="1" ht="15" customHeight="1">
      <c r="A3" s="866" t="s">
        <v>148</v>
      </c>
      <c r="B3" s="866"/>
      <c r="C3" s="866"/>
      <c r="D3" s="866"/>
      <c r="E3" s="866"/>
      <c r="F3" s="866"/>
      <c r="G3" s="866"/>
      <c r="H3" s="866"/>
      <c r="I3" s="866"/>
      <c r="J3" s="866"/>
      <c r="K3" s="866"/>
      <c r="L3" s="866"/>
      <c r="M3" s="866"/>
      <c r="N3" s="326"/>
    </row>
    <row r="4" spans="1:14" s="28" customFormat="1" ht="15" customHeight="1">
      <c r="A4" s="106" t="s">
        <v>21</v>
      </c>
      <c r="B4" s="106"/>
      <c r="C4" s="106"/>
      <c r="D4" s="106"/>
      <c r="E4" s="106"/>
      <c r="F4" s="107"/>
      <c r="G4" s="107"/>
      <c r="H4" s="107"/>
      <c r="I4" s="107"/>
      <c r="J4" s="107"/>
      <c r="K4" s="867" t="s">
        <v>851</v>
      </c>
      <c r="L4" s="867"/>
      <c r="M4" s="867"/>
      <c r="N4" s="107"/>
    </row>
    <row r="5" spans="1:14" s="28" customFormat="1" ht="15" customHeight="1">
      <c r="A5" s="37" t="s">
        <v>0</v>
      </c>
      <c r="B5" s="37" t="s">
        <v>7</v>
      </c>
      <c r="C5" s="37" t="s">
        <v>13</v>
      </c>
      <c r="D5" s="37" t="s">
        <v>14</v>
      </c>
      <c r="E5" s="37" t="s">
        <v>8</v>
      </c>
      <c r="F5" s="37" t="s">
        <v>1</v>
      </c>
      <c r="G5" s="37" t="s">
        <v>2</v>
      </c>
      <c r="H5" s="37" t="s">
        <v>15</v>
      </c>
      <c r="I5" s="37" t="s">
        <v>3</v>
      </c>
      <c r="J5" s="37" t="s">
        <v>4</v>
      </c>
      <c r="K5" s="37" t="s">
        <v>5</v>
      </c>
      <c r="L5" s="37" t="s">
        <v>12</v>
      </c>
      <c r="M5" s="37" t="s">
        <v>6</v>
      </c>
    </row>
    <row r="6" spans="1:14" s="28" customFormat="1" ht="15" customHeight="1">
      <c r="A6" s="89">
        <v>1</v>
      </c>
      <c r="B6" s="114" t="s">
        <v>445</v>
      </c>
      <c r="C6" s="89" t="s">
        <v>319</v>
      </c>
      <c r="D6" s="89" t="s">
        <v>318</v>
      </c>
      <c r="E6" s="25"/>
      <c r="F6" s="99"/>
      <c r="G6" s="517" t="s">
        <v>1070</v>
      </c>
      <c r="H6" s="79"/>
      <c r="I6" s="80"/>
      <c r="J6" s="81">
        <v>227</v>
      </c>
      <c r="K6" s="81">
        <f t="shared" ref="K6:K7" si="0">I6*J6</f>
        <v>0</v>
      </c>
      <c r="L6" s="36"/>
      <c r="M6" s="156">
        <f>I6+I10</f>
        <v>0</v>
      </c>
      <c r="N6" s="310" t="s">
        <v>173</v>
      </c>
    </row>
    <row r="7" spans="1:14" s="28" customFormat="1" ht="15" customHeight="1">
      <c r="A7" s="89"/>
      <c r="B7" s="114" t="s">
        <v>446</v>
      </c>
      <c r="C7" s="89" t="s">
        <v>287</v>
      </c>
      <c r="D7" s="89" t="s">
        <v>429</v>
      </c>
      <c r="E7" s="25"/>
      <c r="F7" s="99"/>
      <c r="G7" s="517" t="s">
        <v>1067</v>
      </c>
      <c r="H7" s="79"/>
      <c r="I7" s="80"/>
      <c r="J7" s="81">
        <v>416</v>
      </c>
      <c r="K7" s="81">
        <f t="shared" si="0"/>
        <v>0</v>
      </c>
      <c r="L7" s="36"/>
      <c r="M7" s="156" t="e">
        <f>I7+I11+I19+#REF!+#REF!+#REF!</f>
        <v>#REF!</v>
      </c>
      <c r="N7" s="310" t="s">
        <v>174</v>
      </c>
    </row>
    <row r="8" spans="1:14" s="28" customFormat="1" ht="15" customHeight="1">
      <c r="A8" s="89"/>
      <c r="B8" s="114"/>
      <c r="C8" s="89"/>
      <c r="D8" s="89"/>
      <c r="E8" s="25"/>
      <c r="F8" s="99"/>
      <c r="G8" s="517" t="s">
        <v>1065</v>
      </c>
      <c r="H8" s="79"/>
      <c r="I8" s="80"/>
      <c r="J8" s="81">
        <v>165</v>
      </c>
      <c r="K8" s="81">
        <f>I8*J8</f>
        <v>0</v>
      </c>
      <c r="L8" s="36"/>
      <c r="M8" s="156" t="e">
        <f>I8+I12+I20+#REF!+#REF!+#REF!</f>
        <v>#REF!</v>
      </c>
      <c r="N8" s="310" t="s">
        <v>172</v>
      </c>
    </row>
    <row r="9" spans="1:14" s="28" customFormat="1" ht="15" customHeight="1">
      <c r="A9" s="89"/>
      <c r="B9" s="114"/>
      <c r="C9" s="89"/>
      <c r="D9" s="89"/>
      <c r="E9" s="37" t="s">
        <v>9</v>
      </c>
      <c r="F9" s="41">
        <f>SUM(F6:F8)</f>
        <v>0</v>
      </c>
      <c r="G9" s="37"/>
      <c r="H9" s="37"/>
      <c r="I9" s="39"/>
      <c r="J9" s="40"/>
      <c r="K9" s="42">
        <f>SUM(K6:K8)</f>
        <v>0</v>
      </c>
      <c r="L9" s="42" t="e">
        <f>K9/F9</f>
        <v>#DIV/0!</v>
      </c>
      <c r="M9" s="156" t="e">
        <f>I17+#REF!+#REF!+#REF!+I26</f>
        <v>#REF!</v>
      </c>
      <c r="N9" s="310" t="s">
        <v>24</v>
      </c>
    </row>
    <row r="10" spans="1:14" s="28" customFormat="1" ht="15" customHeight="1">
      <c r="A10" s="25"/>
      <c r="B10" s="114" t="s">
        <v>447</v>
      </c>
      <c r="C10" s="89" t="s">
        <v>454</v>
      </c>
      <c r="D10" s="89" t="s">
        <v>448</v>
      </c>
      <c r="E10" s="25"/>
      <c r="F10" s="99"/>
      <c r="G10" s="517" t="s">
        <v>1070</v>
      </c>
      <c r="H10" s="79"/>
      <c r="I10" s="80"/>
      <c r="J10" s="81">
        <v>227</v>
      </c>
      <c r="K10" s="81">
        <f t="shared" ref="K10:K11" si="1">I10*J10</f>
        <v>0</v>
      </c>
      <c r="L10" s="36"/>
      <c r="M10" s="156" t="e">
        <f>I18+#REF!+#REF!+#REF!</f>
        <v>#REF!</v>
      </c>
      <c r="N10" s="310" t="s">
        <v>175</v>
      </c>
    </row>
    <row r="11" spans="1:14" s="28" customFormat="1" ht="15" customHeight="1">
      <c r="A11" s="25"/>
      <c r="B11" s="310" t="s">
        <v>449</v>
      </c>
      <c r="C11" s="310" t="s">
        <v>121</v>
      </c>
      <c r="D11" s="310" t="s">
        <v>334</v>
      </c>
      <c r="E11" s="25"/>
      <c r="F11" s="99"/>
      <c r="G11" s="517" t="s">
        <v>1067</v>
      </c>
      <c r="H11" s="79"/>
      <c r="I11" s="80"/>
      <c r="J11" s="81">
        <v>416</v>
      </c>
      <c r="K11" s="81">
        <f t="shared" si="1"/>
        <v>0</v>
      </c>
      <c r="L11" s="36"/>
      <c r="M11" s="156" t="e">
        <f>I21+#REF!+#REF!+#REF!</f>
        <v>#REF!</v>
      </c>
      <c r="N11" s="311" t="s">
        <v>176</v>
      </c>
    </row>
    <row r="12" spans="1:14" s="28" customFormat="1" ht="15" customHeight="1">
      <c r="A12" s="25"/>
      <c r="B12" s="310"/>
      <c r="C12" s="310"/>
      <c r="D12" s="310"/>
      <c r="E12" s="25"/>
      <c r="F12" s="99"/>
      <c r="G12" s="517" t="s">
        <v>1065</v>
      </c>
      <c r="H12" s="79"/>
      <c r="I12" s="80"/>
      <c r="J12" s="81">
        <v>165</v>
      </c>
      <c r="K12" s="81">
        <f>I12*J12</f>
        <v>0</v>
      </c>
      <c r="L12" s="36"/>
      <c r="M12" s="156">
        <f>I27</f>
        <v>0</v>
      </c>
      <c r="N12" s="84" t="s">
        <v>10</v>
      </c>
    </row>
    <row r="13" spans="1:14" s="28" customFormat="1" ht="15" customHeight="1">
      <c r="A13" s="25"/>
      <c r="B13" s="86"/>
      <c r="C13" s="86"/>
      <c r="D13" s="86"/>
      <c r="E13" s="37" t="s">
        <v>9</v>
      </c>
      <c r="F13" s="115">
        <f>SUM(F10:F12)</f>
        <v>0</v>
      </c>
      <c r="G13" s="37"/>
      <c r="H13" s="37"/>
      <c r="I13" s="39"/>
      <c r="J13" s="40"/>
      <c r="K13" s="42">
        <f>SUM(K10:K12)</f>
        <v>0</v>
      </c>
      <c r="L13" s="42" t="e">
        <f>K13/F13</f>
        <v>#DIV/0!</v>
      </c>
      <c r="M13" s="36"/>
    </row>
    <row r="14" spans="1:14" s="28" customFormat="1" ht="15" customHeight="1">
      <c r="D14" s="43" t="s">
        <v>30</v>
      </c>
      <c r="E14" s="43"/>
      <c r="F14" s="45">
        <f>F9+F13</f>
        <v>0</v>
      </c>
      <c r="G14" s="46"/>
      <c r="H14" s="46"/>
      <c r="I14" s="46"/>
      <c r="J14" s="46"/>
      <c r="K14" s="45">
        <f>K9+K13</f>
        <v>0</v>
      </c>
      <c r="L14" s="61" t="e">
        <f>K14/F14</f>
        <v>#DIV/0!</v>
      </c>
    </row>
    <row r="15" spans="1:14" s="28" customFormat="1" ht="15" customHeight="1">
      <c r="A15" s="29" t="s">
        <v>23</v>
      </c>
      <c r="B15" s="29"/>
      <c r="C15" s="29"/>
      <c r="D15" s="29"/>
      <c r="E15" s="29"/>
      <c r="K15" s="867" t="s">
        <v>851</v>
      </c>
      <c r="L15" s="867"/>
      <c r="M15" s="867"/>
    </row>
    <row r="16" spans="1:14" s="28" customFormat="1" ht="15" customHeight="1">
      <c r="A16" s="37" t="s">
        <v>0</v>
      </c>
      <c r="B16" s="37" t="s">
        <v>7</v>
      </c>
      <c r="C16" s="37" t="s">
        <v>13</v>
      </c>
      <c r="D16" s="37" t="s">
        <v>14</v>
      </c>
      <c r="E16" s="37" t="s">
        <v>8</v>
      </c>
      <c r="F16" s="37" t="s">
        <v>1</v>
      </c>
      <c r="G16" s="37" t="s">
        <v>2</v>
      </c>
      <c r="H16" s="37" t="s">
        <v>15</v>
      </c>
      <c r="I16" s="37" t="s">
        <v>3</v>
      </c>
      <c r="J16" s="37" t="s">
        <v>4</v>
      </c>
      <c r="K16" s="37" t="s">
        <v>5</v>
      </c>
      <c r="L16" s="37" t="s">
        <v>12</v>
      </c>
      <c r="M16" s="37" t="s">
        <v>6</v>
      </c>
    </row>
    <row r="17" spans="1:13" s="28" customFormat="1" ht="15" customHeight="1">
      <c r="A17" s="310">
        <v>1</v>
      </c>
      <c r="B17" s="310" t="s">
        <v>424</v>
      </c>
      <c r="C17" s="310" t="s">
        <v>386</v>
      </c>
      <c r="D17" s="310" t="s">
        <v>425</v>
      </c>
      <c r="E17" s="25"/>
      <c r="F17" s="90"/>
      <c r="G17" s="517" t="s">
        <v>24</v>
      </c>
      <c r="H17" s="79"/>
      <c r="I17" s="80"/>
      <c r="J17" s="81">
        <v>74</v>
      </c>
      <c r="K17" s="81">
        <f t="shared" ref="K17:K19" si="2">I17*J17</f>
        <v>0</v>
      </c>
      <c r="L17" s="36"/>
      <c r="M17" s="352"/>
    </row>
    <row r="18" spans="1:13" s="28" customFormat="1" ht="15" customHeight="1">
      <c r="A18" s="310"/>
      <c r="B18" s="89" t="s">
        <v>450</v>
      </c>
      <c r="C18" s="310" t="s">
        <v>386</v>
      </c>
      <c r="D18" s="89" t="s">
        <v>426</v>
      </c>
      <c r="E18" s="25"/>
      <c r="F18" s="90"/>
      <c r="G18" s="88" t="s">
        <v>18</v>
      </c>
      <c r="H18" s="79"/>
      <c r="I18" s="80"/>
      <c r="J18" s="81">
        <v>46</v>
      </c>
      <c r="K18" s="81">
        <f t="shared" si="2"/>
        <v>0</v>
      </c>
      <c r="L18" s="36"/>
      <c r="M18" s="36"/>
    </row>
    <row r="19" spans="1:13" s="28" customFormat="1" ht="15" customHeight="1">
      <c r="A19" s="310"/>
      <c r="B19" s="89" t="s">
        <v>450</v>
      </c>
      <c r="C19" s="310" t="s">
        <v>386</v>
      </c>
      <c r="D19" s="89" t="s">
        <v>427</v>
      </c>
      <c r="E19" s="86"/>
      <c r="F19" s="90"/>
      <c r="G19" s="517" t="s">
        <v>1067</v>
      </c>
      <c r="H19" s="79"/>
      <c r="I19" s="80"/>
      <c r="J19" s="81">
        <v>416</v>
      </c>
      <c r="K19" s="81">
        <f t="shared" si="2"/>
        <v>0</v>
      </c>
      <c r="L19" s="36"/>
      <c r="M19" s="36"/>
    </row>
    <row r="20" spans="1:13" s="28" customFormat="1" ht="15" customHeight="1">
      <c r="A20" s="310"/>
      <c r="B20" s="89" t="s">
        <v>219</v>
      </c>
      <c r="C20" s="310" t="s">
        <v>349</v>
      </c>
      <c r="D20" s="89" t="s">
        <v>391</v>
      </c>
      <c r="E20" s="86"/>
      <c r="F20" s="90"/>
      <c r="G20" s="517" t="s">
        <v>1065</v>
      </c>
      <c r="H20" s="79"/>
      <c r="I20" s="80"/>
      <c r="J20" s="81">
        <v>165</v>
      </c>
      <c r="K20" s="81">
        <f>I20*J20</f>
        <v>0</v>
      </c>
      <c r="L20" s="36"/>
      <c r="M20" s="36"/>
    </row>
    <row r="21" spans="1:13" s="28" customFormat="1" ht="15" customHeight="1">
      <c r="A21" s="310"/>
      <c r="B21" s="89"/>
      <c r="C21" s="310"/>
      <c r="D21" s="89"/>
      <c r="E21" s="86"/>
      <c r="F21" s="90"/>
      <c r="G21" s="518" t="s">
        <v>1066</v>
      </c>
      <c r="H21" s="79"/>
      <c r="I21" s="80"/>
      <c r="J21" s="81">
        <v>165</v>
      </c>
      <c r="K21" s="81">
        <f t="shared" ref="K21" si="3">I21*J21</f>
        <v>0</v>
      </c>
      <c r="L21" s="36"/>
      <c r="M21" s="36"/>
    </row>
    <row r="22" spans="1:13" s="28" customFormat="1" ht="15" customHeight="1">
      <c r="A22" s="25"/>
      <c r="B22" s="25"/>
      <c r="C22" s="25"/>
      <c r="D22" s="25"/>
      <c r="E22" s="37" t="s">
        <v>9</v>
      </c>
      <c r="F22" s="41">
        <f>SUM(F17:F21)</f>
        <v>0</v>
      </c>
      <c r="G22" s="37"/>
      <c r="H22" s="37"/>
      <c r="I22" s="39"/>
      <c r="J22" s="40"/>
      <c r="K22" s="42">
        <f>SUM(K17:K21)</f>
        <v>0</v>
      </c>
      <c r="L22" s="42" t="e">
        <f>K22/F22</f>
        <v>#DIV/0!</v>
      </c>
      <c r="M22" s="36"/>
    </row>
    <row r="23" spans="1:13" s="28" customFormat="1" ht="15" customHeight="1">
      <c r="A23" s="48"/>
      <c r="B23" s="48"/>
      <c r="C23" s="48"/>
      <c r="D23" s="37" t="s">
        <v>30</v>
      </c>
      <c r="E23" s="37"/>
      <c r="F23" s="45">
        <f>F22</f>
        <v>0</v>
      </c>
      <c r="G23" s="353"/>
      <c r="H23" s="353"/>
      <c r="I23" s="353"/>
      <c r="J23" s="353"/>
      <c r="K23" s="45">
        <f>K22</f>
        <v>0</v>
      </c>
      <c r="L23" s="61" t="e">
        <f>K23/F23</f>
        <v>#DIV/0!</v>
      </c>
      <c r="M23" s="36"/>
    </row>
    <row r="24" spans="1:13" s="28" customFormat="1" ht="15" customHeight="1">
      <c r="A24" s="29" t="s">
        <v>22</v>
      </c>
      <c r="B24" s="29"/>
      <c r="C24" s="29"/>
      <c r="D24" s="29"/>
      <c r="E24" s="29"/>
      <c r="K24" s="867" t="s">
        <v>851</v>
      </c>
      <c r="L24" s="867"/>
      <c r="M24" s="867"/>
    </row>
    <row r="25" spans="1:13" s="28" customFormat="1" ht="15" customHeight="1">
      <c r="A25" s="37" t="s">
        <v>0</v>
      </c>
      <c r="B25" s="37" t="s">
        <v>7</v>
      </c>
      <c r="C25" s="37" t="s">
        <v>13</v>
      </c>
      <c r="D25" s="37" t="s">
        <v>14</v>
      </c>
      <c r="E25" s="37" t="s">
        <v>8</v>
      </c>
      <c r="F25" s="37" t="s">
        <v>1</v>
      </c>
      <c r="G25" s="37" t="s">
        <v>2</v>
      </c>
      <c r="H25" s="37" t="s">
        <v>15</v>
      </c>
      <c r="I25" s="37" t="s">
        <v>3</v>
      </c>
      <c r="J25" s="37" t="s">
        <v>4</v>
      </c>
      <c r="K25" s="37" t="s">
        <v>5</v>
      </c>
      <c r="L25" s="37" t="s">
        <v>12</v>
      </c>
      <c r="M25" s="37" t="s">
        <v>6</v>
      </c>
    </row>
    <row r="26" spans="1:13" s="28" customFormat="1" ht="15" customHeight="1">
      <c r="A26" s="25">
        <v>1</v>
      </c>
      <c r="B26" s="310"/>
      <c r="C26" s="310"/>
      <c r="D26" s="310"/>
      <c r="E26" s="25"/>
      <c r="F26" s="222"/>
      <c r="G26" s="310" t="s">
        <v>24</v>
      </c>
      <c r="H26" s="79"/>
      <c r="I26" s="80"/>
      <c r="J26" s="81">
        <v>74</v>
      </c>
      <c r="K26" s="81">
        <f t="shared" ref="K26:K27" si="4">I26*J26</f>
        <v>0</v>
      </c>
      <c r="L26" s="36"/>
      <c r="M26" s="352"/>
    </row>
    <row r="27" spans="1:13" s="28" customFormat="1" ht="15" customHeight="1">
      <c r="A27" s="25"/>
      <c r="B27" s="310"/>
      <c r="C27" s="310"/>
      <c r="D27" s="310"/>
      <c r="E27" s="310"/>
      <c r="F27" s="222"/>
      <c r="G27" s="84" t="s">
        <v>10</v>
      </c>
      <c r="H27" s="79"/>
      <c r="I27" s="80"/>
      <c r="J27" s="81">
        <v>120</v>
      </c>
      <c r="K27" s="81">
        <f t="shared" si="4"/>
        <v>0</v>
      </c>
      <c r="L27" s="36"/>
      <c r="M27" s="352"/>
    </row>
    <row r="28" spans="1:13" s="28" customFormat="1" ht="15" customHeight="1">
      <c r="A28" s="25"/>
      <c r="B28" s="89"/>
      <c r="C28" s="310"/>
      <c r="D28" s="310"/>
      <c r="E28" s="37" t="s">
        <v>9</v>
      </c>
      <c r="F28" s="41">
        <f>SUM(F26:F27)</f>
        <v>0</v>
      </c>
      <c r="G28" s="37"/>
      <c r="H28" s="37"/>
      <c r="I28" s="39"/>
      <c r="J28" s="40"/>
      <c r="K28" s="42">
        <f>SUM(K26:K27)</f>
        <v>0</v>
      </c>
      <c r="L28" s="42" t="e">
        <f>K28/F28</f>
        <v>#DIV/0!</v>
      </c>
      <c r="M28" s="36"/>
    </row>
    <row r="29" spans="1:13" s="28" customFormat="1" ht="15" customHeight="1">
      <c r="D29" s="43" t="s">
        <v>30</v>
      </c>
      <c r="E29" s="43"/>
      <c r="F29" s="45">
        <f>F28</f>
        <v>0</v>
      </c>
      <c r="G29" s="46"/>
      <c r="H29" s="46"/>
      <c r="I29" s="46"/>
      <c r="J29" s="46"/>
      <c r="K29" s="45">
        <f>K28</f>
        <v>0</v>
      </c>
      <c r="L29" s="61" t="e">
        <f>K29/F29</f>
        <v>#DIV/0!</v>
      </c>
    </row>
    <row r="30" spans="1:13" s="28" customFormat="1" ht="15" customHeight="1">
      <c r="A30" s="29" t="s">
        <v>16</v>
      </c>
      <c r="B30" s="29"/>
      <c r="C30" s="29"/>
      <c r="D30" s="29"/>
      <c r="E30" s="29"/>
      <c r="K30" s="867" t="s">
        <v>851</v>
      </c>
      <c r="L30" s="867"/>
      <c r="M30" s="867"/>
    </row>
    <row r="31" spans="1:13" s="28" customFormat="1" ht="15" customHeight="1">
      <c r="A31" s="37" t="s">
        <v>0</v>
      </c>
      <c r="B31" s="37" t="s">
        <v>7</v>
      </c>
      <c r="C31" s="37" t="s">
        <v>13</v>
      </c>
      <c r="D31" s="37" t="s">
        <v>14</v>
      </c>
      <c r="E31" s="37" t="s">
        <v>8</v>
      </c>
      <c r="F31" s="37" t="s">
        <v>1</v>
      </c>
      <c r="G31" s="37" t="s">
        <v>2</v>
      </c>
      <c r="H31" s="37" t="s">
        <v>15</v>
      </c>
      <c r="I31" s="37" t="s">
        <v>3</v>
      </c>
      <c r="J31" s="37" t="s">
        <v>4</v>
      </c>
      <c r="K31" s="37" t="s">
        <v>5</v>
      </c>
      <c r="L31" s="37" t="s">
        <v>12</v>
      </c>
      <c r="M31" s="37" t="s">
        <v>6</v>
      </c>
    </row>
    <row r="32" spans="1:13" s="28" customFormat="1" ht="15" customHeight="1">
      <c r="A32" s="25">
        <v>6938</v>
      </c>
      <c r="B32" s="89" t="s">
        <v>169</v>
      </c>
      <c r="C32" s="89" t="s">
        <v>167</v>
      </c>
      <c r="D32" s="89" t="s">
        <v>168</v>
      </c>
      <c r="E32" s="25"/>
      <c r="F32" s="38"/>
      <c r="G32" s="25" t="s">
        <v>75</v>
      </c>
      <c r="H32" s="25"/>
      <c r="I32" s="54"/>
      <c r="J32" s="55">
        <v>367</v>
      </c>
      <c r="K32" s="55">
        <f t="shared" ref="K32" si="5">I32*J32</f>
        <v>0</v>
      </c>
      <c r="L32" s="36"/>
      <c r="M32" s="352"/>
    </row>
    <row r="33" spans="1:14" s="28" customFormat="1" ht="15" customHeight="1">
      <c r="A33" s="25"/>
      <c r="B33" s="25"/>
      <c r="C33" s="25"/>
      <c r="D33" s="25"/>
      <c r="E33" s="37" t="s">
        <v>9</v>
      </c>
      <c r="F33" s="41">
        <f>SUM(F32:F32)</f>
        <v>0</v>
      </c>
      <c r="G33" s="37"/>
      <c r="H33" s="37"/>
      <c r="I33" s="39"/>
      <c r="J33" s="40"/>
      <c r="K33" s="42">
        <f>SUM(K32:K32)</f>
        <v>0</v>
      </c>
      <c r="L33" s="42" t="e">
        <f>K33/F33</f>
        <v>#DIV/0!</v>
      </c>
      <c r="M33" s="36"/>
    </row>
    <row r="34" spans="1:14" s="28" customFormat="1" ht="15" customHeight="1">
      <c r="A34" s="25"/>
      <c r="B34" s="25"/>
      <c r="C34" s="25"/>
      <c r="D34" s="43" t="s">
        <v>30</v>
      </c>
      <c r="E34" s="43"/>
      <c r="F34" s="45">
        <f>F33</f>
        <v>0</v>
      </c>
      <c r="G34" s="46"/>
      <c r="H34" s="46"/>
      <c r="I34" s="46"/>
      <c r="J34" s="46"/>
      <c r="K34" s="45">
        <f>K33</f>
        <v>0</v>
      </c>
      <c r="L34" s="61" t="e">
        <f>K34/F34</f>
        <v>#DIV/0!</v>
      </c>
      <c r="M34" s="354"/>
    </row>
    <row r="35" spans="1:14" s="28" customFormat="1" ht="15" customHeight="1">
      <c r="A35" s="29" t="s">
        <v>72</v>
      </c>
      <c r="B35" s="29"/>
      <c r="C35" s="29"/>
      <c r="D35" s="29"/>
      <c r="E35" s="29"/>
      <c r="I35" s="355"/>
      <c r="K35" s="867" t="s">
        <v>851</v>
      </c>
      <c r="L35" s="867"/>
      <c r="M35" s="867"/>
    </row>
    <row r="36" spans="1:14" s="28" customFormat="1" ht="15" customHeight="1">
      <c r="A36" s="37" t="s">
        <v>0</v>
      </c>
      <c r="B36" s="37" t="s">
        <v>7</v>
      </c>
      <c r="C36" s="37" t="s">
        <v>13</v>
      </c>
      <c r="D36" s="37" t="s">
        <v>14</v>
      </c>
      <c r="E36" s="37" t="s">
        <v>8</v>
      </c>
      <c r="F36" s="37" t="s">
        <v>1</v>
      </c>
      <c r="G36" s="37" t="s">
        <v>2</v>
      </c>
      <c r="H36" s="37" t="s">
        <v>15</v>
      </c>
      <c r="I36" s="356" t="s">
        <v>3</v>
      </c>
      <c r="J36" s="37" t="s">
        <v>4</v>
      </c>
      <c r="K36" s="37" t="s">
        <v>5</v>
      </c>
      <c r="L36" s="37" t="s">
        <v>12</v>
      </c>
      <c r="M36" s="37" t="s">
        <v>6</v>
      </c>
      <c r="N36" s="30"/>
    </row>
    <row r="37" spans="1:14" s="28" customFormat="1" ht="15" customHeight="1">
      <c r="A37" s="310">
        <v>9458</v>
      </c>
      <c r="B37" s="310" t="s">
        <v>807</v>
      </c>
      <c r="C37" s="310" t="s">
        <v>513</v>
      </c>
      <c r="D37" s="310" t="s">
        <v>297</v>
      </c>
      <c r="E37" s="310" t="s">
        <v>647</v>
      </c>
      <c r="F37" s="87">
        <f>45*1.0936</f>
        <v>49.211999999999996</v>
      </c>
      <c r="G37" s="93" t="s">
        <v>190</v>
      </c>
      <c r="H37" s="79"/>
      <c r="I37" s="80">
        <f>0.9+0.061</f>
        <v>0.96100000000000008</v>
      </c>
      <c r="J37" s="81">
        <v>644</v>
      </c>
      <c r="K37" s="81">
        <f t="shared" ref="K37:K41" si="6">I37*J37</f>
        <v>618.88400000000001</v>
      </c>
      <c r="L37" s="79"/>
      <c r="M37" s="36"/>
    </row>
    <row r="38" spans="1:14" s="28" customFormat="1" ht="15" customHeight="1">
      <c r="A38" s="310"/>
      <c r="B38" s="89"/>
      <c r="C38" s="89"/>
      <c r="D38" s="89"/>
      <c r="E38" s="310"/>
      <c r="F38" s="87"/>
      <c r="G38" s="91" t="s">
        <v>192</v>
      </c>
      <c r="H38" s="79"/>
      <c r="I38" s="80">
        <f>1.44+0.102</f>
        <v>1.542</v>
      </c>
      <c r="J38" s="81">
        <v>1126</v>
      </c>
      <c r="K38" s="81">
        <f t="shared" si="6"/>
        <v>1736.2920000000001</v>
      </c>
      <c r="L38" s="79"/>
      <c r="M38" s="36"/>
    </row>
    <row r="39" spans="1:14" s="28" customFormat="1" ht="15" customHeight="1">
      <c r="A39" s="310"/>
      <c r="B39" s="25"/>
      <c r="C39" s="25"/>
      <c r="D39" s="25"/>
      <c r="E39" s="25"/>
      <c r="F39" s="38"/>
      <c r="G39" s="93" t="s">
        <v>315</v>
      </c>
      <c r="H39" s="79"/>
      <c r="I39" s="80">
        <f>0.164+0.016</f>
        <v>0.18</v>
      </c>
      <c r="J39" s="81">
        <v>2184</v>
      </c>
      <c r="K39" s="81">
        <f t="shared" si="6"/>
        <v>393.12</v>
      </c>
      <c r="L39" s="79"/>
      <c r="M39" s="36"/>
    </row>
    <row r="40" spans="1:14" s="28" customFormat="1" ht="15" customHeight="1">
      <c r="A40" s="310"/>
      <c r="B40" s="25"/>
      <c r="C40" s="25"/>
      <c r="D40" s="25"/>
      <c r="E40" s="25"/>
      <c r="F40" s="38"/>
      <c r="G40" s="310" t="s">
        <v>184</v>
      </c>
      <c r="H40" s="310"/>
      <c r="I40" s="80">
        <v>0.6</v>
      </c>
      <c r="J40" s="81">
        <v>336</v>
      </c>
      <c r="K40" s="94">
        <f t="shared" si="6"/>
        <v>201.6</v>
      </c>
      <c r="L40" s="79"/>
      <c r="M40" s="36"/>
    </row>
    <row r="41" spans="1:14" s="28" customFormat="1" ht="15" customHeight="1">
      <c r="A41" s="310"/>
      <c r="B41" s="25"/>
      <c r="C41" s="25"/>
      <c r="D41" s="25"/>
      <c r="E41" s="25"/>
      <c r="F41" s="38"/>
      <c r="G41" s="95" t="s">
        <v>185</v>
      </c>
      <c r="H41" s="79"/>
      <c r="I41" s="96">
        <v>0.12</v>
      </c>
      <c r="J41" s="81">
        <v>490</v>
      </c>
      <c r="K41" s="81">
        <f t="shared" si="6"/>
        <v>58.8</v>
      </c>
      <c r="L41" s="79"/>
      <c r="M41" s="36"/>
    </row>
    <row r="42" spans="1:14" s="107" customFormat="1" ht="15" customHeight="1">
      <c r="A42" s="310"/>
      <c r="B42" s="310"/>
      <c r="C42" s="310"/>
      <c r="D42" s="310"/>
      <c r="E42" s="273" t="s">
        <v>9</v>
      </c>
      <c r="F42" s="108">
        <f>SUM(F37:F41)</f>
        <v>49.211999999999996</v>
      </c>
      <c r="G42" s="273"/>
      <c r="H42" s="273"/>
      <c r="I42" s="80"/>
      <c r="J42" s="81"/>
      <c r="K42" s="103">
        <f>SUM(K37:K41)</f>
        <v>3008.6960000000004</v>
      </c>
      <c r="L42" s="103">
        <f>K42/F42</f>
        <v>61.137446151345216</v>
      </c>
      <c r="M42" s="79"/>
    </row>
    <row r="43" spans="1:14" s="28" customFormat="1" ht="15" customHeight="1">
      <c r="A43" s="310">
        <v>9459</v>
      </c>
      <c r="B43" s="310" t="s">
        <v>807</v>
      </c>
      <c r="C43" s="310" t="s">
        <v>513</v>
      </c>
      <c r="D43" s="310" t="s">
        <v>297</v>
      </c>
      <c r="E43" s="310" t="s">
        <v>808</v>
      </c>
      <c r="F43" s="87">
        <f>50*1.0936</f>
        <v>54.679999999999993</v>
      </c>
      <c r="G43" s="311" t="s">
        <v>405</v>
      </c>
      <c r="H43" s="79"/>
      <c r="I43" s="80">
        <v>0.192</v>
      </c>
      <c r="J43" s="81">
        <v>1708</v>
      </c>
      <c r="K43" s="81">
        <f t="shared" ref="K43" si="7">I43*J43</f>
        <v>327.93599999999998</v>
      </c>
      <c r="L43" s="79"/>
      <c r="M43" s="36"/>
    </row>
    <row r="44" spans="1:14" s="28" customFormat="1" ht="15" customHeight="1">
      <c r="A44" s="310"/>
      <c r="B44" s="25"/>
      <c r="C44" s="25"/>
      <c r="D44" s="25"/>
      <c r="E44" s="25"/>
      <c r="F44" s="38"/>
      <c r="G44" s="93" t="s">
        <v>190</v>
      </c>
      <c r="H44" s="79"/>
      <c r="I44" s="80">
        <v>0.98399999999999999</v>
      </c>
      <c r="J44" s="81">
        <v>644</v>
      </c>
      <c r="K44" s="81">
        <f t="shared" ref="K44:K48" si="8">I44*J44</f>
        <v>633.69600000000003</v>
      </c>
      <c r="L44" s="79"/>
      <c r="M44" s="36"/>
    </row>
    <row r="45" spans="1:14" s="28" customFormat="1" ht="15" customHeight="1">
      <c r="A45" s="310"/>
      <c r="B45" s="25"/>
      <c r="C45" s="25"/>
      <c r="D45" s="25"/>
      <c r="E45" s="25"/>
      <c r="F45" s="38"/>
      <c r="G45" s="311" t="s">
        <v>183</v>
      </c>
      <c r="H45" s="79"/>
      <c r="I45" s="80">
        <v>0.14399999999999999</v>
      </c>
      <c r="J45" s="81">
        <v>1600</v>
      </c>
      <c r="K45" s="81">
        <f t="shared" si="8"/>
        <v>230.39999999999998</v>
      </c>
      <c r="L45" s="79"/>
      <c r="M45" s="36"/>
    </row>
    <row r="46" spans="1:14" s="28" customFormat="1" ht="15" customHeight="1">
      <c r="A46" s="310"/>
      <c r="B46" s="25"/>
      <c r="C46" s="25"/>
      <c r="D46" s="25"/>
      <c r="E46" s="25"/>
      <c r="F46" s="38"/>
      <c r="G46" s="91" t="s">
        <v>194</v>
      </c>
      <c r="H46" s="36"/>
      <c r="I46" s="39">
        <v>1.236</v>
      </c>
      <c r="J46" s="40">
        <v>879</v>
      </c>
      <c r="K46" s="81">
        <f t="shared" si="8"/>
        <v>1086.444</v>
      </c>
      <c r="L46" s="36"/>
      <c r="M46" s="36"/>
    </row>
    <row r="47" spans="1:14" s="28" customFormat="1" ht="15" customHeight="1">
      <c r="A47" s="310"/>
      <c r="B47" s="25"/>
      <c r="C47" s="25"/>
      <c r="D47" s="25"/>
      <c r="E47" s="25"/>
      <c r="F47" s="38"/>
      <c r="G47" s="310" t="s">
        <v>184</v>
      </c>
      <c r="H47" s="310"/>
      <c r="I47" s="80">
        <v>0.6</v>
      </c>
      <c r="J47" s="81">
        <v>336</v>
      </c>
      <c r="K47" s="94">
        <f t="shared" si="8"/>
        <v>201.6</v>
      </c>
      <c r="L47" s="79"/>
      <c r="M47" s="36"/>
    </row>
    <row r="48" spans="1:14" s="28" customFormat="1" ht="15" customHeight="1">
      <c r="A48" s="310"/>
      <c r="B48" s="25"/>
      <c r="C48" s="25"/>
      <c r="D48" s="25"/>
      <c r="E48" s="25"/>
      <c r="F48" s="38"/>
      <c r="G48" s="95" t="s">
        <v>185</v>
      </c>
      <c r="H48" s="79"/>
      <c r="I48" s="96">
        <v>0.12</v>
      </c>
      <c r="J48" s="81">
        <v>490</v>
      </c>
      <c r="K48" s="81">
        <f t="shared" si="8"/>
        <v>58.8</v>
      </c>
      <c r="L48" s="79"/>
      <c r="M48" s="36"/>
    </row>
    <row r="49" spans="1:13" s="107" customFormat="1" ht="15" customHeight="1">
      <c r="A49" s="310"/>
      <c r="B49" s="310"/>
      <c r="C49" s="310"/>
      <c r="D49" s="310"/>
      <c r="E49" s="273" t="s">
        <v>9</v>
      </c>
      <c r="F49" s="108">
        <f>SUM(F43:F48)</f>
        <v>54.679999999999993</v>
      </c>
      <c r="G49" s="273"/>
      <c r="H49" s="273"/>
      <c r="I49" s="80"/>
      <c r="J49" s="81"/>
      <c r="K49" s="103">
        <f>SUM(K43:K48)</f>
        <v>2538.8760000000002</v>
      </c>
      <c r="L49" s="103">
        <f>K49/F49</f>
        <v>46.431528895391381</v>
      </c>
      <c r="M49" s="79"/>
    </row>
    <row r="50" spans="1:13" s="28" customFormat="1" ht="15" customHeight="1">
      <c r="A50" s="310">
        <v>9457</v>
      </c>
      <c r="B50" s="310" t="s">
        <v>809</v>
      </c>
      <c r="C50" s="310" t="s">
        <v>121</v>
      </c>
      <c r="D50" s="310" t="s">
        <v>120</v>
      </c>
      <c r="E50" s="310" t="s">
        <v>653</v>
      </c>
      <c r="F50" s="87">
        <f>50*1.0936</f>
        <v>54.679999999999993</v>
      </c>
      <c r="G50" s="311" t="s">
        <v>405</v>
      </c>
      <c r="H50" s="79"/>
      <c r="I50" s="80">
        <v>0.15</v>
      </c>
      <c r="J50" s="81">
        <v>1708</v>
      </c>
      <c r="K50" s="81">
        <f t="shared" ref="K50:K52" si="9">I50*J50</f>
        <v>256.2</v>
      </c>
      <c r="L50" s="79"/>
      <c r="M50" s="36"/>
    </row>
    <row r="51" spans="1:13" s="28" customFormat="1" ht="15" customHeight="1">
      <c r="A51" s="310"/>
      <c r="B51" s="310"/>
      <c r="C51" s="310"/>
      <c r="D51" s="310"/>
      <c r="E51" s="310"/>
      <c r="F51" s="38"/>
      <c r="G51" s="91" t="s">
        <v>192</v>
      </c>
      <c r="H51" s="79"/>
      <c r="I51" s="80">
        <v>0.318</v>
      </c>
      <c r="J51" s="81">
        <v>1126</v>
      </c>
      <c r="K51" s="81">
        <f t="shared" si="9"/>
        <v>358.06799999999998</v>
      </c>
      <c r="L51" s="79"/>
      <c r="M51" s="36"/>
    </row>
    <row r="52" spans="1:13" s="28" customFormat="1" ht="15" customHeight="1">
      <c r="A52" s="310"/>
      <c r="B52" s="310"/>
      <c r="C52" s="310"/>
      <c r="D52" s="310"/>
      <c r="E52" s="25"/>
      <c r="F52" s="38"/>
      <c r="G52" s="91" t="s">
        <v>193</v>
      </c>
      <c r="H52" s="79"/>
      <c r="I52" s="80">
        <v>1.3740000000000001</v>
      </c>
      <c r="J52" s="81">
        <v>1150</v>
      </c>
      <c r="K52" s="81">
        <f t="shared" si="9"/>
        <v>1580.1000000000001</v>
      </c>
      <c r="L52" s="79"/>
      <c r="M52" s="36"/>
    </row>
    <row r="53" spans="1:13" s="28" customFormat="1" ht="15" customHeight="1">
      <c r="A53" s="310"/>
      <c r="B53" s="25"/>
      <c r="C53" s="25"/>
      <c r="D53" s="25"/>
      <c r="E53" s="25"/>
      <c r="F53" s="38"/>
      <c r="G53" s="310" t="s">
        <v>184</v>
      </c>
      <c r="H53" s="310"/>
      <c r="I53" s="80">
        <v>0.6</v>
      </c>
      <c r="J53" s="81">
        <v>336</v>
      </c>
      <c r="K53" s="94">
        <f t="shared" ref="K53:K54" si="10">I53*J53</f>
        <v>201.6</v>
      </c>
      <c r="L53" s="79"/>
      <c r="M53" s="36"/>
    </row>
    <row r="54" spans="1:13" s="28" customFormat="1" ht="15" customHeight="1">
      <c r="A54" s="310"/>
      <c r="B54" s="25"/>
      <c r="C54" s="25"/>
      <c r="D54" s="25"/>
      <c r="E54" s="25"/>
      <c r="F54" s="38"/>
      <c r="G54" s="95" t="s">
        <v>185</v>
      </c>
      <c r="H54" s="79"/>
      <c r="I54" s="96">
        <v>0.12</v>
      </c>
      <c r="J54" s="81">
        <v>490</v>
      </c>
      <c r="K54" s="81">
        <f t="shared" si="10"/>
        <v>58.8</v>
      </c>
      <c r="L54" s="79"/>
      <c r="M54" s="36"/>
    </row>
    <row r="55" spans="1:13" s="107" customFormat="1" ht="15" customHeight="1">
      <c r="A55" s="310"/>
      <c r="B55" s="310"/>
      <c r="C55" s="310"/>
      <c r="D55" s="310"/>
      <c r="E55" s="273" t="s">
        <v>9</v>
      </c>
      <c r="F55" s="108">
        <f>SUM(F50:F54)</f>
        <v>54.679999999999993</v>
      </c>
      <c r="G55" s="273"/>
      <c r="H55" s="273"/>
      <c r="I55" s="80"/>
      <c r="J55" s="81"/>
      <c r="K55" s="103">
        <f>SUM(K50:K54)</f>
        <v>2454.7680000000005</v>
      </c>
      <c r="L55" s="103">
        <f>K55/F55</f>
        <v>44.893343087051953</v>
      </c>
      <c r="M55" s="79"/>
    </row>
    <row r="56" spans="1:13" s="28" customFormat="1" ht="15" customHeight="1">
      <c r="A56" s="310">
        <v>9461</v>
      </c>
      <c r="B56" s="310" t="s">
        <v>809</v>
      </c>
      <c r="C56" s="310" t="s">
        <v>121</v>
      </c>
      <c r="D56" s="310" t="s">
        <v>120</v>
      </c>
      <c r="E56" s="310" t="s">
        <v>810</v>
      </c>
      <c r="F56" s="87">
        <f>50*1.0936</f>
        <v>54.679999999999993</v>
      </c>
      <c r="G56" s="311" t="s">
        <v>405</v>
      </c>
      <c r="H56" s="79"/>
      <c r="I56" s="80">
        <f>0.018+0.007</f>
        <v>2.4999999999999998E-2</v>
      </c>
      <c r="J56" s="81">
        <v>1708</v>
      </c>
      <c r="K56" s="81">
        <f t="shared" ref="K56:K60" si="11">I56*J56</f>
        <v>42.699999999999996</v>
      </c>
      <c r="L56" s="79"/>
      <c r="M56" s="36"/>
    </row>
    <row r="57" spans="1:13" s="28" customFormat="1" ht="15" customHeight="1">
      <c r="A57" s="310"/>
      <c r="B57" s="25"/>
      <c r="C57" s="25"/>
      <c r="D57" s="25"/>
      <c r="E57" s="37"/>
      <c r="F57" s="41"/>
      <c r="G57" s="91" t="s">
        <v>192</v>
      </c>
      <c r="H57" s="79"/>
      <c r="I57" s="80">
        <f>0.197+0.018</f>
        <v>0.215</v>
      </c>
      <c r="J57" s="81">
        <v>1126</v>
      </c>
      <c r="K57" s="81">
        <f t="shared" si="11"/>
        <v>242.09</v>
      </c>
      <c r="L57" s="79"/>
      <c r="M57" s="36"/>
    </row>
    <row r="58" spans="1:13" s="28" customFormat="1" ht="15" customHeight="1">
      <c r="A58" s="310"/>
      <c r="B58" s="25"/>
      <c r="C58" s="25"/>
      <c r="D58" s="25"/>
      <c r="E58" s="37"/>
      <c r="F58" s="41"/>
      <c r="G58" s="91" t="s">
        <v>193</v>
      </c>
      <c r="H58" s="79"/>
      <c r="I58" s="80">
        <f>1.275+0.06</f>
        <v>1.335</v>
      </c>
      <c r="J58" s="81">
        <v>1150</v>
      </c>
      <c r="K58" s="81">
        <f t="shared" si="11"/>
        <v>1535.25</v>
      </c>
      <c r="L58" s="79"/>
      <c r="M58" s="36"/>
    </row>
    <row r="59" spans="1:13" s="28" customFormat="1" ht="15" customHeight="1">
      <c r="A59" s="310"/>
      <c r="B59" s="25"/>
      <c r="C59" s="25"/>
      <c r="D59" s="25"/>
      <c r="E59" s="37"/>
      <c r="F59" s="41"/>
      <c r="G59" s="310" t="s">
        <v>184</v>
      </c>
      <c r="H59" s="310"/>
      <c r="I59" s="80">
        <v>0.6</v>
      </c>
      <c r="J59" s="81">
        <v>336</v>
      </c>
      <c r="K59" s="94">
        <f t="shared" si="11"/>
        <v>201.6</v>
      </c>
      <c r="L59" s="79"/>
      <c r="M59" s="36"/>
    </row>
    <row r="60" spans="1:13" s="28" customFormat="1" ht="15" customHeight="1">
      <c r="A60" s="310"/>
      <c r="B60" s="25"/>
      <c r="C60" s="25"/>
      <c r="D60" s="25"/>
      <c r="E60" s="25"/>
      <c r="F60" s="38"/>
      <c r="G60" s="95" t="s">
        <v>185</v>
      </c>
      <c r="H60" s="79"/>
      <c r="I60" s="96">
        <v>0.12</v>
      </c>
      <c r="J60" s="81">
        <v>490</v>
      </c>
      <c r="K60" s="81">
        <f t="shared" si="11"/>
        <v>58.8</v>
      </c>
      <c r="L60" s="79"/>
      <c r="M60" s="36"/>
    </row>
    <row r="61" spans="1:13" s="107" customFormat="1" ht="15" customHeight="1">
      <c r="A61" s="310"/>
      <c r="B61" s="310"/>
      <c r="C61" s="310"/>
      <c r="D61" s="310"/>
      <c r="E61" s="273" t="s">
        <v>9</v>
      </c>
      <c r="F61" s="108">
        <f>SUM(F56:F60)</f>
        <v>54.679999999999993</v>
      </c>
      <c r="G61" s="273"/>
      <c r="H61" s="273"/>
      <c r="I61" s="80"/>
      <c r="J61" s="81"/>
      <c r="K61" s="103">
        <f>SUM(K56:K60)</f>
        <v>2080.44</v>
      </c>
      <c r="L61" s="103">
        <f>K61/F61</f>
        <v>38.047549378200443</v>
      </c>
      <c r="M61" s="79"/>
    </row>
    <row r="62" spans="1:13" s="28" customFormat="1" ht="15" customHeight="1">
      <c r="A62" s="310">
        <v>9454</v>
      </c>
      <c r="B62" s="310" t="s">
        <v>518</v>
      </c>
      <c r="C62" s="310" t="s">
        <v>121</v>
      </c>
      <c r="D62" s="310" t="s">
        <v>120</v>
      </c>
      <c r="E62" s="310" t="s">
        <v>811</v>
      </c>
      <c r="F62" s="87">
        <f>50*1.0936</f>
        <v>54.679999999999993</v>
      </c>
      <c r="G62" s="93" t="s">
        <v>190</v>
      </c>
      <c r="H62" s="79"/>
      <c r="I62" s="80">
        <f>0.377+0.022</f>
        <v>0.39900000000000002</v>
      </c>
      <c r="J62" s="81">
        <v>644</v>
      </c>
      <c r="K62" s="81">
        <f t="shared" ref="K62" si="12">I62*J62</f>
        <v>256.95600000000002</v>
      </c>
      <c r="L62" s="79"/>
      <c r="M62" s="36"/>
    </row>
    <row r="63" spans="1:13" s="28" customFormat="1" ht="15" customHeight="1">
      <c r="A63" s="310"/>
      <c r="B63" s="25"/>
      <c r="C63" s="25"/>
      <c r="D63" s="25"/>
      <c r="E63" s="25"/>
      <c r="F63" s="38"/>
      <c r="G63" s="91" t="s">
        <v>192</v>
      </c>
      <c r="H63" s="79"/>
      <c r="I63" s="80">
        <f>0.21+0.018</f>
        <v>0.22799999999999998</v>
      </c>
      <c r="J63" s="81">
        <v>1126</v>
      </c>
      <c r="K63" s="81">
        <f t="shared" ref="K63:K66" si="13">I63*J63</f>
        <v>256.72799999999995</v>
      </c>
      <c r="L63" s="79"/>
      <c r="M63" s="36"/>
    </row>
    <row r="64" spans="1:13" s="28" customFormat="1" ht="15" customHeight="1">
      <c r="A64" s="310"/>
      <c r="B64" s="25"/>
      <c r="C64" s="25"/>
      <c r="D64" s="25"/>
      <c r="E64" s="25"/>
      <c r="F64" s="38"/>
      <c r="G64" s="91" t="s">
        <v>193</v>
      </c>
      <c r="H64" s="79"/>
      <c r="I64" s="80">
        <f>1.456+0.064</f>
        <v>1.52</v>
      </c>
      <c r="J64" s="81">
        <v>1150</v>
      </c>
      <c r="K64" s="81">
        <f t="shared" si="13"/>
        <v>1748</v>
      </c>
      <c r="L64" s="79"/>
      <c r="M64" s="36"/>
    </row>
    <row r="65" spans="1:13" s="28" customFormat="1" ht="15" customHeight="1">
      <c r="A65" s="310"/>
      <c r="B65" s="25"/>
      <c r="C65" s="25"/>
      <c r="D65" s="25"/>
      <c r="E65" s="25"/>
      <c r="F65" s="38"/>
      <c r="G65" s="310" t="s">
        <v>184</v>
      </c>
      <c r="H65" s="310"/>
      <c r="I65" s="80">
        <v>0.6</v>
      </c>
      <c r="J65" s="81">
        <v>336</v>
      </c>
      <c r="K65" s="94">
        <f t="shared" si="13"/>
        <v>201.6</v>
      </c>
      <c r="L65" s="79"/>
      <c r="M65" s="36"/>
    </row>
    <row r="66" spans="1:13" s="28" customFormat="1" ht="15" customHeight="1">
      <c r="A66" s="310"/>
      <c r="B66" s="25"/>
      <c r="C66" s="25"/>
      <c r="D66" s="25"/>
      <c r="E66" s="25"/>
      <c r="F66" s="38"/>
      <c r="G66" s="95" t="s">
        <v>185</v>
      </c>
      <c r="H66" s="79"/>
      <c r="I66" s="96">
        <v>0.12</v>
      </c>
      <c r="J66" s="81">
        <v>490</v>
      </c>
      <c r="K66" s="81">
        <f t="shared" si="13"/>
        <v>58.8</v>
      </c>
      <c r="L66" s="79"/>
      <c r="M66" s="36"/>
    </row>
    <row r="67" spans="1:13" s="107" customFormat="1" ht="15" customHeight="1">
      <c r="A67" s="310"/>
      <c r="B67" s="310"/>
      <c r="C67" s="310"/>
      <c r="D67" s="310"/>
      <c r="E67" s="273" t="s">
        <v>9</v>
      </c>
      <c r="F67" s="108">
        <f>SUM(F62:F66)</f>
        <v>54.679999999999993</v>
      </c>
      <c r="G67" s="273"/>
      <c r="H67" s="273"/>
      <c r="I67" s="80"/>
      <c r="J67" s="81"/>
      <c r="K67" s="103">
        <f>SUM(K62:K66)</f>
        <v>2522.0840000000003</v>
      </c>
      <c r="L67" s="103">
        <f>K67/F67</f>
        <v>46.124433065106082</v>
      </c>
      <c r="M67" s="79"/>
    </row>
    <row r="68" spans="1:13" s="28" customFormat="1" ht="15" customHeight="1">
      <c r="A68" s="310">
        <v>9453</v>
      </c>
      <c r="B68" s="310" t="s">
        <v>812</v>
      </c>
      <c r="C68" s="310" t="s">
        <v>233</v>
      </c>
      <c r="D68" s="310" t="s">
        <v>813</v>
      </c>
      <c r="E68" s="310" t="s">
        <v>814</v>
      </c>
      <c r="F68" s="87">
        <f>50*1.0936</f>
        <v>54.679999999999993</v>
      </c>
      <c r="G68" s="93" t="s">
        <v>190</v>
      </c>
      <c r="H68" s="79"/>
      <c r="I68" s="80">
        <f>6.87</f>
        <v>6.87</v>
      </c>
      <c r="J68" s="81">
        <v>644</v>
      </c>
      <c r="K68" s="81">
        <f t="shared" ref="K68:K72" si="14">I68*J68</f>
        <v>4424.28</v>
      </c>
      <c r="L68" s="79"/>
      <c r="M68" s="36"/>
    </row>
    <row r="69" spans="1:13" s="28" customFormat="1" ht="15" customHeight="1">
      <c r="A69" s="310"/>
      <c r="B69" s="25"/>
      <c r="C69" s="25"/>
      <c r="D69" s="25"/>
      <c r="E69" s="25"/>
      <c r="F69" s="38"/>
      <c r="G69" s="91" t="s">
        <v>192</v>
      </c>
      <c r="H69" s="79"/>
      <c r="I69" s="80">
        <f>0.264+0.049+0.096</f>
        <v>0.40900000000000003</v>
      </c>
      <c r="J69" s="81">
        <v>1126</v>
      </c>
      <c r="K69" s="81">
        <f t="shared" si="14"/>
        <v>460.53400000000005</v>
      </c>
      <c r="L69" s="79"/>
      <c r="M69" s="36"/>
    </row>
    <row r="70" spans="1:13" s="28" customFormat="1" ht="15" customHeight="1">
      <c r="A70" s="310"/>
      <c r="B70" s="25"/>
      <c r="C70" s="25"/>
      <c r="D70" s="25"/>
      <c r="E70" s="25"/>
      <c r="F70" s="38"/>
      <c r="G70" s="91" t="s">
        <v>193</v>
      </c>
      <c r="H70" s="79"/>
      <c r="I70" s="80">
        <f>1.536+0.101+0.12</f>
        <v>1.7570000000000001</v>
      </c>
      <c r="J70" s="81">
        <v>1150</v>
      </c>
      <c r="K70" s="81">
        <f t="shared" si="14"/>
        <v>2020.5500000000002</v>
      </c>
      <c r="L70" s="79"/>
      <c r="M70" s="36"/>
    </row>
    <row r="71" spans="1:13" s="28" customFormat="1" ht="15" customHeight="1">
      <c r="A71" s="310"/>
      <c r="B71" s="25"/>
      <c r="C71" s="25"/>
      <c r="D71" s="25"/>
      <c r="E71" s="25"/>
      <c r="F71" s="38"/>
      <c r="G71" s="310" t="s">
        <v>184</v>
      </c>
      <c r="H71" s="310"/>
      <c r="I71" s="80">
        <v>0.6</v>
      </c>
      <c r="J71" s="81">
        <v>336</v>
      </c>
      <c r="K71" s="94">
        <f t="shared" si="14"/>
        <v>201.6</v>
      </c>
      <c r="L71" s="79"/>
      <c r="M71" s="36"/>
    </row>
    <row r="72" spans="1:13" s="28" customFormat="1" ht="15" customHeight="1">
      <c r="A72" s="310"/>
      <c r="B72" s="25"/>
      <c r="C72" s="25"/>
      <c r="D72" s="25"/>
      <c r="E72" s="25"/>
      <c r="F72" s="38"/>
      <c r="G72" s="95" t="s">
        <v>185</v>
      </c>
      <c r="H72" s="79"/>
      <c r="I72" s="96">
        <v>0.12</v>
      </c>
      <c r="J72" s="81">
        <v>490</v>
      </c>
      <c r="K72" s="81">
        <f t="shared" si="14"/>
        <v>58.8</v>
      </c>
      <c r="L72" s="79"/>
      <c r="M72" s="36"/>
    </row>
    <row r="73" spans="1:13" s="28" customFormat="1" ht="15" customHeight="1">
      <c r="A73" s="310"/>
      <c r="B73" s="25"/>
      <c r="C73" s="25"/>
      <c r="D73" s="25"/>
      <c r="E73" s="37" t="s">
        <v>9</v>
      </c>
      <c r="F73" s="108">
        <f>SUM(F68:F72)</f>
        <v>54.679999999999993</v>
      </c>
      <c r="G73" s="37"/>
      <c r="H73" s="37"/>
      <c r="I73" s="39"/>
      <c r="J73" s="40"/>
      <c r="K73" s="103">
        <f>SUM(K68:K72)</f>
        <v>7165.7640000000001</v>
      </c>
      <c r="L73" s="103">
        <f>K73/F73</f>
        <v>131.04908558888079</v>
      </c>
      <c r="M73" s="36"/>
    </row>
    <row r="74" spans="1:13" s="28" customFormat="1" ht="15" customHeight="1">
      <c r="A74" s="310">
        <v>9468</v>
      </c>
      <c r="B74" s="310" t="s">
        <v>771</v>
      </c>
      <c r="C74" s="89" t="s">
        <v>785</v>
      </c>
      <c r="D74" s="89" t="s">
        <v>684</v>
      </c>
      <c r="E74" s="310" t="s">
        <v>635</v>
      </c>
      <c r="F74" s="87">
        <f>1190*1.0936</f>
        <v>1301.3839999999998</v>
      </c>
      <c r="G74" s="311" t="s">
        <v>405</v>
      </c>
      <c r="H74" s="79"/>
      <c r="I74" s="80">
        <f>2.137+0.065</f>
        <v>2.202</v>
      </c>
      <c r="J74" s="81">
        <v>1708</v>
      </c>
      <c r="K74" s="81">
        <f t="shared" ref="K74:K78" si="15">I74*J74</f>
        <v>3761.0160000000001</v>
      </c>
      <c r="L74" s="79"/>
      <c r="M74" s="36"/>
    </row>
    <row r="75" spans="1:13" s="28" customFormat="1" ht="15" customHeight="1">
      <c r="A75" s="310"/>
      <c r="B75" s="25"/>
      <c r="C75" s="25"/>
      <c r="D75" s="25"/>
      <c r="E75" s="310"/>
      <c r="F75" s="310"/>
      <c r="G75" s="311" t="s">
        <v>183</v>
      </c>
      <c r="H75" s="79"/>
      <c r="I75" s="80">
        <f>0.382+0.024</f>
        <v>0.40600000000000003</v>
      </c>
      <c r="J75" s="81">
        <v>1600</v>
      </c>
      <c r="K75" s="81">
        <f t="shared" si="15"/>
        <v>649.6</v>
      </c>
      <c r="L75" s="79"/>
      <c r="M75" s="36"/>
    </row>
    <row r="76" spans="1:13" s="28" customFormat="1" ht="15" customHeight="1">
      <c r="A76" s="310"/>
      <c r="B76" s="25"/>
      <c r="C76" s="25"/>
      <c r="D76" s="25"/>
      <c r="E76" s="310"/>
      <c r="F76" s="87"/>
      <c r="G76" s="93" t="s">
        <v>315</v>
      </c>
      <c r="H76" s="79"/>
      <c r="I76" s="80">
        <f>0.803+0.034</f>
        <v>0.83700000000000008</v>
      </c>
      <c r="J76" s="81">
        <v>2184</v>
      </c>
      <c r="K76" s="81">
        <f t="shared" si="15"/>
        <v>1828.0080000000003</v>
      </c>
      <c r="L76" s="79"/>
      <c r="M76" s="36"/>
    </row>
    <row r="77" spans="1:13" s="28" customFormat="1" ht="15" customHeight="1">
      <c r="A77" s="310"/>
      <c r="B77" s="25"/>
      <c r="C77" s="25"/>
      <c r="D77" s="25"/>
      <c r="E77" s="310"/>
      <c r="F77" s="87"/>
      <c r="G77" s="310" t="s">
        <v>184</v>
      </c>
      <c r="H77" s="310"/>
      <c r="I77" s="80">
        <v>4.5</v>
      </c>
      <c r="J77" s="81">
        <v>336</v>
      </c>
      <c r="K77" s="94">
        <f t="shared" si="15"/>
        <v>1512</v>
      </c>
      <c r="L77" s="79"/>
      <c r="M77" s="36"/>
    </row>
    <row r="78" spans="1:13" s="28" customFormat="1" ht="15" customHeight="1">
      <c r="A78" s="310"/>
      <c r="B78" s="25"/>
      <c r="C78" s="25"/>
      <c r="D78" s="25"/>
      <c r="E78" s="310"/>
      <c r="F78" s="87"/>
      <c r="G78" s="95" t="s">
        <v>185</v>
      </c>
      <c r="H78" s="79"/>
      <c r="I78" s="96">
        <v>0.9</v>
      </c>
      <c r="J78" s="81">
        <v>490</v>
      </c>
      <c r="K78" s="81">
        <f t="shared" si="15"/>
        <v>441</v>
      </c>
      <c r="L78" s="79"/>
      <c r="M78" s="36"/>
    </row>
    <row r="79" spans="1:13" s="107" customFormat="1" ht="15" customHeight="1">
      <c r="A79" s="310"/>
      <c r="B79" s="310"/>
      <c r="C79" s="310"/>
      <c r="D79" s="310"/>
      <c r="E79" s="273" t="s">
        <v>9</v>
      </c>
      <c r="F79" s="108">
        <f>SUM(F74:F78)</f>
        <v>1301.3839999999998</v>
      </c>
      <c r="G79" s="273"/>
      <c r="H79" s="273"/>
      <c r="I79" s="80"/>
      <c r="J79" s="81"/>
      <c r="K79" s="103">
        <f>SUM(K74:K78)</f>
        <v>8191.6239999999998</v>
      </c>
      <c r="L79" s="103">
        <f>K79/F79</f>
        <v>6.2945479581737604</v>
      </c>
      <c r="M79" s="79"/>
    </row>
    <row r="80" spans="1:13" s="28" customFormat="1" ht="15" customHeight="1">
      <c r="A80" s="310">
        <v>9467</v>
      </c>
      <c r="B80" s="310" t="s">
        <v>815</v>
      </c>
      <c r="C80" s="89" t="s">
        <v>785</v>
      </c>
      <c r="D80" s="89" t="s">
        <v>801</v>
      </c>
      <c r="E80" s="310" t="s">
        <v>635</v>
      </c>
      <c r="F80" s="87">
        <f>240*1.0936</f>
        <v>262.464</v>
      </c>
      <c r="G80" s="311" t="s">
        <v>405</v>
      </c>
      <c r="H80" s="79"/>
      <c r="I80" s="80">
        <v>0.495</v>
      </c>
      <c r="J80" s="81">
        <v>1708</v>
      </c>
      <c r="K80" s="81">
        <f t="shared" ref="K80:K84" si="16">I80*J80</f>
        <v>845.46</v>
      </c>
      <c r="L80" s="79"/>
      <c r="M80" s="36"/>
    </row>
    <row r="81" spans="1:13" s="28" customFormat="1" ht="15" customHeight="1">
      <c r="A81" s="310"/>
      <c r="B81" s="25"/>
      <c r="C81" s="25"/>
      <c r="D81" s="25"/>
      <c r="E81" s="310"/>
      <c r="F81" s="87"/>
      <c r="G81" s="311" t="s">
        <v>183</v>
      </c>
      <c r="H81" s="79"/>
      <c r="I81" s="80">
        <v>9.2999999999999999E-2</v>
      </c>
      <c r="J81" s="81">
        <v>1600</v>
      </c>
      <c r="K81" s="81">
        <f t="shared" si="16"/>
        <v>148.80000000000001</v>
      </c>
      <c r="L81" s="79"/>
      <c r="M81" s="36"/>
    </row>
    <row r="82" spans="1:13" s="28" customFormat="1" ht="15" customHeight="1">
      <c r="A82" s="310"/>
      <c r="B82" s="25"/>
      <c r="C82" s="25"/>
      <c r="D82" s="25"/>
      <c r="E82" s="310"/>
      <c r="F82" s="87"/>
      <c r="G82" s="93" t="s">
        <v>315</v>
      </c>
      <c r="H82" s="79"/>
      <c r="I82" s="80">
        <v>0.189</v>
      </c>
      <c r="J82" s="81">
        <v>2184</v>
      </c>
      <c r="K82" s="81">
        <f t="shared" si="16"/>
        <v>412.77600000000001</v>
      </c>
      <c r="L82" s="79"/>
      <c r="M82" s="36"/>
    </row>
    <row r="83" spans="1:13" s="28" customFormat="1" ht="15" customHeight="1">
      <c r="A83" s="310"/>
      <c r="B83" s="25"/>
      <c r="C83" s="25"/>
      <c r="D83" s="25"/>
      <c r="E83" s="310"/>
      <c r="F83" s="87"/>
      <c r="G83" s="310" t="s">
        <v>184</v>
      </c>
      <c r="H83" s="79"/>
      <c r="I83" s="80">
        <v>1.1000000000000001</v>
      </c>
      <c r="J83" s="81">
        <v>336</v>
      </c>
      <c r="K83" s="81">
        <f t="shared" si="16"/>
        <v>369.6</v>
      </c>
      <c r="L83" s="79"/>
      <c r="M83" s="36"/>
    </row>
    <row r="84" spans="1:13" s="28" customFormat="1" ht="15" customHeight="1">
      <c r="A84" s="310"/>
      <c r="B84" s="25"/>
      <c r="C84" s="25"/>
      <c r="D84" s="25"/>
      <c r="E84" s="310"/>
      <c r="F84" s="87"/>
      <c r="G84" s="95" t="s">
        <v>185</v>
      </c>
      <c r="H84" s="79"/>
      <c r="I84" s="96">
        <v>0.22</v>
      </c>
      <c r="J84" s="81">
        <v>490</v>
      </c>
      <c r="K84" s="81">
        <f t="shared" si="16"/>
        <v>107.8</v>
      </c>
      <c r="L84" s="79"/>
      <c r="M84" s="36"/>
    </row>
    <row r="85" spans="1:13" s="107" customFormat="1" ht="15" customHeight="1">
      <c r="A85" s="310"/>
      <c r="B85" s="310"/>
      <c r="C85" s="310"/>
      <c r="D85" s="310"/>
      <c r="E85" s="273" t="s">
        <v>9</v>
      </c>
      <c r="F85" s="108">
        <f>SUM(F80:F84)</f>
        <v>262.464</v>
      </c>
      <c r="G85" s="273"/>
      <c r="H85" s="273"/>
      <c r="I85" s="80"/>
      <c r="J85" s="81"/>
      <c r="K85" s="103">
        <f>SUM(K80:K84)</f>
        <v>1884.4359999999999</v>
      </c>
      <c r="L85" s="103">
        <f>K85/F85</f>
        <v>7.1797884662277491</v>
      </c>
      <c r="M85" s="79"/>
    </row>
    <row r="86" spans="1:13" s="28" customFormat="1" ht="15" customHeight="1">
      <c r="A86" s="310">
        <v>9456</v>
      </c>
      <c r="B86" s="310" t="s">
        <v>816</v>
      </c>
      <c r="C86" s="310" t="s">
        <v>121</v>
      </c>
      <c r="D86" s="310" t="s">
        <v>120</v>
      </c>
      <c r="E86" s="310" t="s">
        <v>817</v>
      </c>
      <c r="F86" s="87">
        <f>50*1.0936</f>
        <v>54.679999999999993</v>
      </c>
      <c r="G86" s="311" t="s">
        <v>405</v>
      </c>
      <c r="H86" s="79"/>
      <c r="I86" s="80">
        <v>0.11600000000000001</v>
      </c>
      <c r="J86" s="81">
        <v>1708</v>
      </c>
      <c r="K86" s="81">
        <f t="shared" ref="K86:K90" si="17">I86*J86</f>
        <v>198.12800000000001</v>
      </c>
      <c r="L86" s="79"/>
      <c r="M86" s="36"/>
    </row>
    <row r="87" spans="1:13" s="28" customFormat="1" ht="15" customHeight="1">
      <c r="A87" s="310"/>
      <c r="B87" s="25"/>
      <c r="C87" s="25"/>
      <c r="D87" s="25"/>
      <c r="E87" s="25"/>
      <c r="F87" s="38"/>
      <c r="G87" s="311" t="s">
        <v>183</v>
      </c>
      <c r="H87" s="79"/>
      <c r="I87" s="80">
        <v>3.4000000000000002E-2</v>
      </c>
      <c r="J87" s="81">
        <v>1600</v>
      </c>
      <c r="K87" s="81">
        <f t="shared" si="17"/>
        <v>54.400000000000006</v>
      </c>
      <c r="L87" s="79"/>
      <c r="M87" s="36"/>
    </row>
    <row r="88" spans="1:13" s="28" customFormat="1" ht="15" customHeight="1">
      <c r="A88" s="310"/>
      <c r="B88" s="25"/>
      <c r="C88" s="25"/>
      <c r="D88" s="25"/>
      <c r="E88" s="25"/>
      <c r="F88" s="38"/>
      <c r="G88" s="93" t="s">
        <v>315</v>
      </c>
      <c r="H88" s="79"/>
      <c r="I88" s="80">
        <v>0.67200000000000004</v>
      </c>
      <c r="J88" s="81">
        <v>2184</v>
      </c>
      <c r="K88" s="81">
        <f t="shared" si="17"/>
        <v>1467.6480000000001</v>
      </c>
      <c r="L88" s="79"/>
      <c r="M88" s="36"/>
    </row>
    <row r="89" spans="1:13" s="28" customFormat="1" ht="15" customHeight="1">
      <c r="A89" s="310"/>
      <c r="B89" s="25"/>
      <c r="C89" s="25"/>
      <c r="D89" s="25"/>
      <c r="E89" s="25"/>
      <c r="F89" s="38"/>
      <c r="G89" s="310" t="s">
        <v>184</v>
      </c>
      <c r="H89" s="310"/>
      <c r="I89" s="80">
        <v>0.6</v>
      </c>
      <c r="J89" s="81">
        <v>336</v>
      </c>
      <c r="K89" s="94">
        <f t="shared" si="17"/>
        <v>201.6</v>
      </c>
      <c r="L89" s="79"/>
      <c r="M89" s="36"/>
    </row>
    <row r="90" spans="1:13" s="28" customFormat="1" ht="15" customHeight="1">
      <c r="A90" s="310"/>
      <c r="B90" s="25"/>
      <c r="C90" s="25"/>
      <c r="D90" s="25"/>
      <c r="E90" s="25"/>
      <c r="F90" s="38"/>
      <c r="G90" s="95" t="s">
        <v>185</v>
      </c>
      <c r="H90" s="79"/>
      <c r="I90" s="96">
        <v>0.12</v>
      </c>
      <c r="J90" s="81">
        <v>490</v>
      </c>
      <c r="K90" s="81">
        <f t="shared" si="17"/>
        <v>58.8</v>
      </c>
      <c r="L90" s="79"/>
      <c r="M90" s="36"/>
    </row>
    <row r="91" spans="1:13" s="107" customFormat="1" ht="15" customHeight="1">
      <c r="A91" s="310"/>
      <c r="B91" s="310"/>
      <c r="C91" s="310"/>
      <c r="D91" s="310"/>
      <c r="E91" s="273" t="s">
        <v>9</v>
      </c>
      <c r="F91" s="108">
        <f>SUM(F86:F90)</f>
        <v>54.679999999999993</v>
      </c>
      <c r="G91" s="273"/>
      <c r="H91" s="273"/>
      <c r="I91" s="80"/>
      <c r="J91" s="81"/>
      <c r="K91" s="103">
        <f>SUM(K86:K90)</f>
        <v>1980.576</v>
      </c>
      <c r="L91" s="103">
        <f>K91/F91</f>
        <v>36.221214337966352</v>
      </c>
      <c r="M91" s="79"/>
    </row>
    <row r="92" spans="1:13" s="28" customFormat="1" ht="15" customHeight="1">
      <c r="A92" s="310">
        <v>9455</v>
      </c>
      <c r="B92" s="310" t="s">
        <v>818</v>
      </c>
      <c r="C92" s="310" t="s">
        <v>121</v>
      </c>
      <c r="D92" s="89" t="s">
        <v>322</v>
      </c>
      <c r="E92" s="100" t="s">
        <v>819</v>
      </c>
      <c r="F92" s="87">
        <f>50*1.0936</f>
        <v>54.679999999999993</v>
      </c>
      <c r="G92" s="91" t="s">
        <v>346</v>
      </c>
      <c r="H92" s="79"/>
      <c r="I92" s="80">
        <v>1.4E-2</v>
      </c>
      <c r="J92" s="81">
        <v>3837</v>
      </c>
      <c r="K92" s="81">
        <f t="shared" ref="K92:K96" si="18">I92*J92</f>
        <v>53.718000000000004</v>
      </c>
      <c r="L92" s="36"/>
      <c r="M92" s="36"/>
    </row>
    <row r="93" spans="1:13" s="28" customFormat="1" ht="15" customHeight="1">
      <c r="A93" s="310"/>
      <c r="B93" s="25"/>
      <c r="C93" s="25"/>
      <c r="D93" s="25"/>
      <c r="E93" s="25"/>
      <c r="F93" s="38"/>
      <c r="G93" s="91" t="s">
        <v>279</v>
      </c>
      <c r="H93" s="79"/>
      <c r="I93" s="80">
        <v>0.10199999999999999</v>
      </c>
      <c r="J93" s="81">
        <v>689</v>
      </c>
      <c r="K93" s="81">
        <f t="shared" si="18"/>
        <v>70.277999999999992</v>
      </c>
      <c r="L93" s="36"/>
      <c r="M93" s="36"/>
    </row>
    <row r="94" spans="1:13" s="28" customFormat="1" ht="15" customHeight="1">
      <c r="A94" s="310"/>
      <c r="B94" s="25"/>
      <c r="C94" s="25"/>
      <c r="D94" s="25"/>
      <c r="E94" s="25"/>
      <c r="F94" s="38"/>
      <c r="G94" s="91" t="s">
        <v>562</v>
      </c>
      <c r="H94" s="79"/>
      <c r="I94" s="80">
        <v>6.0000000000000001E-3</v>
      </c>
      <c r="J94" s="81">
        <v>2885</v>
      </c>
      <c r="K94" s="81">
        <f t="shared" si="18"/>
        <v>17.309999999999999</v>
      </c>
      <c r="L94" s="36"/>
      <c r="M94" s="36"/>
    </row>
    <row r="95" spans="1:13" s="28" customFormat="1" ht="15" customHeight="1">
      <c r="A95" s="310"/>
      <c r="B95" s="25"/>
      <c r="C95" s="25"/>
      <c r="D95" s="25"/>
      <c r="E95" s="25"/>
      <c r="F95" s="38"/>
      <c r="G95" s="310" t="s">
        <v>184</v>
      </c>
      <c r="H95" s="310"/>
      <c r="I95" s="80">
        <v>0.6</v>
      </c>
      <c r="J95" s="81">
        <v>336</v>
      </c>
      <c r="K95" s="94">
        <f t="shared" si="18"/>
        <v>201.6</v>
      </c>
      <c r="L95" s="79"/>
      <c r="M95" s="36"/>
    </row>
    <row r="96" spans="1:13" s="28" customFormat="1" ht="15" customHeight="1">
      <c r="A96" s="310"/>
      <c r="B96" s="25"/>
      <c r="C96" s="25"/>
      <c r="D96" s="25"/>
      <c r="E96" s="25"/>
      <c r="F96" s="38"/>
      <c r="G96" s="95" t="s">
        <v>185</v>
      </c>
      <c r="H96" s="79"/>
      <c r="I96" s="96">
        <v>0.12</v>
      </c>
      <c r="J96" s="81">
        <v>490</v>
      </c>
      <c r="K96" s="81">
        <f t="shared" si="18"/>
        <v>58.8</v>
      </c>
      <c r="L96" s="79"/>
      <c r="M96" s="36"/>
    </row>
    <row r="97" spans="1:13" s="107" customFormat="1" ht="15" customHeight="1">
      <c r="A97" s="310"/>
      <c r="B97" s="310"/>
      <c r="C97" s="310"/>
      <c r="D97" s="310"/>
      <c r="E97" s="273" t="s">
        <v>9</v>
      </c>
      <c r="F97" s="108">
        <f>SUM(F92:F96)</f>
        <v>54.679999999999993</v>
      </c>
      <c r="G97" s="273"/>
      <c r="H97" s="273"/>
      <c r="I97" s="80"/>
      <c r="J97" s="81"/>
      <c r="K97" s="103">
        <f>SUM(K92:K96)</f>
        <v>401.70599999999996</v>
      </c>
      <c r="L97" s="103">
        <f>K97/F97</f>
        <v>7.3464886613021214</v>
      </c>
      <c r="M97" s="79"/>
    </row>
    <row r="98" spans="1:13" s="28" customFormat="1" ht="15" customHeight="1">
      <c r="A98" s="310">
        <v>9452</v>
      </c>
      <c r="B98" s="310" t="s">
        <v>820</v>
      </c>
      <c r="C98" s="310" t="s">
        <v>121</v>
      </c>
      <c r="D98" s="89" t="s">
        <v>821</v>
      </c>
      <c r="E98" s="100" t="s">
        <v>822</v>
      </c>
      <c r="F98" s="87">
        <f>70*1.0936</f>
        <v>76.551999999999992</v>
      </c>
      <c r="G98" s="311" t="s">
        <v>405</v>
      </c>
      <c r="H98" s="79"/>
      <c r="I98" s="80">
        <v>0.24</v>
      </c>
      <c r="J98" s="81">
        <v>1708</v>
      </c>
      <c r="K98" s="81">
        <f t="shared" ref="K98:K102" si="19">I98*J98</f>
        <v>409.91999999999996</v>
      </c>
      <c r="L98" s="79"/>
      <c r="M98" s="36"/>
    </row>
    <row r="99" spans="1:13" s="28" customFormat="1" ht="15" customHeight="1">
      <c r="A99" s="310"/>
      <c r="B99" s="25"/>
      <c r="C99" s="25"/>
      <c r="D99" s="25"/>
      <c r="E99" s="25"/>
      <c r="F99" s="38"/>
      <c r="G99" s="311" t="s">
        <v>183</v>
      </c>
      <c r="H99" s="79"/>
      <c r="I99" s="80">
        <v>5.3999999999999999E-2</v>
      </c>
      <c r="J99" s="81">
        <v>1600</v>
      </c>
      <c r="K99" s="81">
        <f t="shared" si="19"/>
        <v>86.4</v>
      </c>
      <c r="L99" s="79"/>
      <c r="M99" s="36"/>
    </row>
    <row r="100" spans="1:13" s="28" customFormat="1" ht="15" customHeight="1">
      <c r="A100" s="310"/>
      <c r="B100" s="25"/>
      <c r="C100" s="25"/>
      <c r="D100" s="25"/>
      <c r="E100" s="25"/>
      <c r="F100" s="38"/>
      <c r="G100" s="91" t="s">
        <v>191</v>
      </c>
      <c r="H100" s="79"/>
      <c r="I100" s="80">
        <v>0.14799999999999999</v>
      </c>
      <c r="J100" s="81">
        <v>1628</v>
      </c>
      <c r="K100" s="81">
        <f t="shared" si="19"/>
        <v>240.94399999999999</v>
      </c>
      <c r="L100" s="79"/>
      <c r="M100" s="36"/>
    </row>
    <row r="101" spans="1:13" s="28" customFormat="1" ht="15" customHeight="1">
      <c r="A101" s="310"/>
      <c r="B101" s="25"/>
      <c r="C101" s="25"/>
      <c r="D101" s="25"/>
      <c r="E101" s="25"/>
      <c r="F101" s="38"/>
      <c r="G101" s="310" t="s">
        <v>184</v>
      </c>
      <c r="H101" s="310"/>
      <c r="I101" s="80">
        <v>0.6</v>
      </c>
      <c r="J101" s="81">
        <v>336</v>
      </c>
      <c r="K101" s="94">
        <f t="shared" si="19"/>
        <v>201.6</v>
      </c>
      <c r="L101" s="79"/>
      <c r="M101" s="36"/>
    </row>
    <row r="102" spans="1:13" s="28" customFormat="1" ht="15" customHeight="1">
      <c r="A102" s="310"/>
      <c r="B102" s="25"/>
      <c r="C102" s="25"/>
      <c r="D102" s="25"/>
      <c r="E102" s="25"/>
      <c r="F102" s="38"/>
      <c r="G102" s="95" t="s">
        <v>185</v>
      </c>
      <c r="H102" s="79"/>
      <c r="I102" s="96">
        <v>0.12</v>
      </c>
      <c r="J102" s="81">
        <v>490</v>
      </c>
      <c r="K102" s="81">
        <f t="shared" si="19"/>
        <v>58.8</v>
      </c>
      <c r="L102" s="79"/>
      <c r="M102" s="36"/>
    </row>
    <row r="103" spans="1:13" s="107" customFormat="1" ht="15" customHeight="1">
      <c r="A103" s="310"/>
      <c r="B103" s="310"/>
      <c r="C103" s="310"/>
      <c r="D103" s="310"/>
      <c r="E103" s="273" t="s">
        <v>9</v>
      </c>
      <c r="F103" s="108">
        <f>SUM(F98:F102)</f>
        <v>76.551999999999992</v>
      </c>
      <c r="G103" s="273"/>
      <c r="H103" s="273"/>
      <c r="I103" s="80"/>
      <c r="J103" s="81"/>
      <c r="K103" s="103">
        <f>SUM(K98:K102)</f>
        <v>997.66399999999987</v>
      </c>
      <c r="L103" s="103">
        <f>K103/F103</f>
        <v>13.032500783780959</v>
      </c>
      <c r="M103" s="79"/>
    </row>
    <row r="104" spans="1:13" s="28" customFormat="1" ht="15" customHeight="1">
      <c r="A104" s="310">
        <v>9451</v>
      </c>
      <c r="B104" s="310" t="s">
        <v>823</v>
      </c>
      <c r="C104" s="310" t="s">
        <v>278</v>
      </c>
      <c r="D104" s="89" t="s">
        <v>813</v>
      </c>
      <c r="E104" s="100" t="s">
        <v>232</v>
      </c>
      <c r="F104" s="87">
        <f>60*1.0936</f>
        <v>65.616</v>
      </c>
      <c r="G104" s="91" t="s">
        <v>279</v>
      </c>
      <c r="H104" s="79"/>
      <c r="I104" s="80">
        <v>0.25</v>
      </c>
      <c r="J104" s="81">
        <v>689</v>
      </c>
      <c r="K104" s="81">
        <f t="shared" ref="K104:K109" si="20">I104*J104</f>
        <v>172.25</v>
      </c>
      <c r="L104" s="36"/>
      <c r="M104" s="36"/>
    </row>
    <row r="105" spans="1:13" s="28" customFormat="1" ht="15" customHeight="1">
      <c r="A105" s="310"/>
      <c r="B105" s="25"/>
      <c r="C105" s="25"/>
      <c r="D105" s="25"/>
      <c r="E105" s="25"/>
      <c r="F105" s="38"/>
      <c r="G105" s="91" t="s">
        <v>199</v>
      </c>
      <c r="H105" s="79"/>
      <c r="I105" s="80">
        <f>0.43+1.38+0.3</f>
        <v>2.11</v>
      </c>
      <c r="J105" s="81">
        <v>530</v>
      </c>
      <c r="K105" s="81">
        <f t="shared" si="20"/>
        <v>1118.3</v>
      </c>
      <c r="L105" s="36"/>
      <c r="M105" s="36"/>
    </row>
    <row r="106" spans="1:13" s="28" customFormat="1" ht="15" customHeight="1">
      <c r="A106" s="365"/>
      <c r="B106" s="25"/>
      <c r="C106" s="25"/>
      <c r="D106" s="25"/>
      <c r="E106" s="25"/>
      <c r="F106" s="38"/>
      <c r="G106" s="91" t="s">
        <v>196</v>
      </c>
      <c r="H106" s="79"/>
      <c r="I106" s="80">
        <v>1.4999999999999999E-2</v>
      </c>
      <c r="J106" s="81">
        <v>888</v>
      </c>
      <c r="K106" s="81">
        <f t="shared" si="20"/>
        <v>13.32</v>
      </c>
      <c r="L106" s="2"/>
      <c r="M106" s="36"/>
    </row>
    <row r="107" spans="1:13" s="28" customFormat="1" ht="15" customHeight="1">
      <c r="A107" s="365"/>
      <c r="B107" s="25"/>
      <c r="C107" s="25"/>
      <c r="D107" s="25"/>
      <c r="E107" s="25"/>
      <c r="F107" s="38"/>
      <c r="G107" s="91" t="s">
        <v>192</v>
      </c>
      <c r="H107" s="79"/>
      <c r="I107" s="80">
        <v>2.3E-2</v>
      </c>
      <c r="J107" s="81">
        <v>1126</v>
      </c>
      <c r="K107" s="81">
        <f t="shared" si="20"/>
        <v>25.898</v>
      </c>
      <c r="L107" s="79"/>
      <c r="M107" s="36"/>
    </row>
    <row r="108" spans="1:13" s="28" customFormat="1" ht="15" customHeight="1">
      <c r="A108" s="310"/>
      <c r="B108" s="25"/>
      <c r="C108" s="25"/>
      <c r="D108" s="25"/>
      <c r="E108" s="25"/>
      <c r="F108" s="38"/>
      <c r="G108" s="310" t="s">
        <v>184</v>
      </c>
      <c r="H108" s="310"/>
      <c r="I108" s="80">
        <v>0.2</v>
      </c>
      <c r="J108" s="81">
        <v>336</v>
      </c>
      <c r="K108" s="94">
        <f t="shared" si="20"/>
        <v>67.2</v>
      </c>
      <c r="L108" s="36"/>
      <c r="M108" s="36"/>
    </row>
    <row r="109" spans="1:13" s="28" customFormat="1" ht="15" customHeight="1">
      <c r="A109" s="310"/>
      <c r="B109" s="25"/>
      <c r="C109" s="25"/>
      <c r="D109" s="25"/>
      <c r="E109" s="25"/>
      <c r="F109" s="38"/>
      <c r="G109" s="95" t="s">
        <v>185</v>
      </c>
      <c r="H109" s="79"/>
      <c r="I109" s="96">
        <v>0.04</v>
      </c>
      <c r="J109" s="81">
        <v>490</v>
      </c>
      <c r="K109" s="81">
        <f t="shared" si="20"/>
        <v>19.600000000000001</v>
      </c>
      <c r="L109" s="36"/>
      <c r="M109" s="36"/>
    </row>
    <row r="110" spans="1:13" s="107" customFormat="1" ht="15" customHeight="1">
      <c r="A110" s="310"/>
      <c r="B110" s="310"/>
      <c r="C110" s="310"/>
      <c r="D110" s="310"/>
      <c r="E110" s="273" t="s">
        <v>9</v>
      </c>
      <c r="F110" s="108">
        <f>SUM(F104:F109)</f>
        <v>65.616</v>
      </c>
      <c r="G110" s="273"/>
      <c r="H110" s="273"/>
      <c r="I110" s="80"/>
      <c r="J110" s="81"/>
      <c r="K110" s="103">
        <f>SUM(K104:K109)</f>
        <v>1416.5679999999998</v>
      </c>
      <c r="L110" s="103">
        <f>K110/F110</f>
        <v>21.588758839307481</v>
      </c>
      <c r="M110" s="79"/>
    </row>
    <row r="111" spans="1:13" s="28" customFormat="1" ht="15" customHeight="1">
      <c r="A111" s="310">
        <v>9645</v>
      </c>
      <c r="B111" s="310" t="s">
        <v>782</v>
      </c>
      <c r="C111" s="310" t="s">
        <v>233</v>
      </c>
      <c r="D111" s="310" t="s">
        <v>648</v>
      </c>
      <c r="E111" s="310" t="s">
        <v>114</v>
      </c>
      <c r="F111" s="87">
        <f>380*1.0936</f>
        <v>415.56799999999998</v>
      </c>
      <c r="G111" s="311" t="s">
        <v>405</v>
      </c>
      <c r="H111" s="79"/>
      <c r="I111" s="80">
        <v>0.126</v>
      </c>
      <c r="J111" s="81">
        <v>1708</v>
      </c>
      <c r="K111" s="81">
        <f t="shared" ref="K111:K115" si="21">I111*J111</f>
        <v>215.208</v>
      </c>
      <c r="L111" s="79"/>
      <c r="M111" s="36"/>
    </row>
    <row r="112" spans="1:13" s="28" customFormat="1" ht="15" customHeight="1">
      <c r="A112" s="310"/>
      <c r="B112" s="25"/>
      <c r="C112" s="25"/>
      <c r="D112" s="25"/>
      <c r="E112" s="25"/>
      <c r="F112" s="38"/>
      <c r="G112" s="311" t="s">
        <v>183</v>
      </c>
      <c r="H112" s="79"/>
      <c r="I112" s="80">
        <v>5.0000000000000001E-3</v>
      </c>
      <c r="J112" s="81">
        <v>1600</v>
      </c>
      <c r="K112" s="81">
        <f t="shared" si="21"/>
        <v>8</v>
      </c>
      <c r="L112" s="79"/>
      <c r="M112" s="36"/>
    </row>
    <row r="113" spans="1:13" s="28" customFormat="1" ht="15" customHeight="1">
      <c r="A113" s="310"/>
      <c r="B113" s="25"/>
      <c r="C113" s="25"/>
      <c r="D113" s="25"/>
      <c r="E113" s="25"/>
      <c r="F113" s="38"/>
      <c r="G113" s="93" t="s">
        <v>315</v>
      </c>
      <c r="H113" s="79"/>
      <c r="I113" s="80">
        <v>3.5999999999999997E-2</v>
      </c>
      <c r="J113" s="81">
        <v>2184</v>
      </c>
      <c r="K113" s="81">
        <f t="shared" si="21"/>
        <v>78.623999999999995</v>
      </c>
      <c r="L113" s="79"/>
      <c r="M113" s="36"/>
    </row>
    <row r="114" spans="1:13" s="28" customFormat="1" ht="15" customHeight="1">
      <c r="A114" s="310"/>
      <c r="B114" s="25"/>
      <c r="C114" s="25"/>
      <c r="D114" s="25"/>
      <c r="E114" s="25"/>
      <c r="F114" s="38"/>
      <c r="G114" s="310" t="s">
        <v>184</v>
      </c>
      <c r="H114" s="310"/>
      <c r="I114" s="80">
        <v>0.2</v>
      </c>
      <c r="J114" s="81">
        <v>336</v>
      </c>
      <c r="K114" s="94">
        <f t="shared" si="21"/>
        <v>67.2</v>
      </c>
      <c r="L114" s="79"/>
      <c r="M114" s="36"/>
    </row>
    <row r="115" spans="1:13" s="28" customFormat="1" ht="15" customHeight="1">
      <c r="A115" s="310"/>
      <c r="B115" s="25"/>
      <c r="C115" s="25"/>
      <c r="D115" s="25"/>
      <c r="E115" s="25"/>
      <c r="F115" s="38"/>
      <c r="G115" s="95" t="s">
        <v>185</v>
      </c>
      <c r="H115" s="79"/>
      <c r="I115" s="96">
        <v>0.04</v>
      </c>
      <c r="J115" s="81">
        <v>490</v>
      </c>
      <c r="K115" s="81">
        <f t="shared" si="21"/>
        <v>19.600000000000001</v>
      </c>
      <c r="L115" s="79"/>
      <c r="M115" s="36"/>
    </row>
    <row r="116" spans="1:13" s="28" customFormat="1" ht="15" customHeight="1">
      <c r="A116" s="310"/>
      <c r="B116" s="25"/>
      <c r="C116" s="25"/>
      <c r="D116" s="25"/>
      <c r="E116" s="273" t="s">
        <v>9</v>
      </c>
      <c r="F116" s="108">
        <f>SUM(F111:F115)</f>
        <v>415.56799999999998</v>
      </c>
      <c r="G116" s="273"/>
      <c r="H116" s="273"/>
      <c r="I116" s="80"/>
      <c r="J116" s="81"/>
      <c r="K116" s="103">
        <f>SUM(K111:K115)</f>
        <v>388.63200000000001</v>
      </c>
      <c r="L116" s="103">
        <f>K116/F116</f>
        <v>0.93518268971624385</v>
      </c>
      <c r="M116" s="192" t="s">
        <v>824</v>
      </c>
    </row>
    <row r="117" spans="1:13" s="28" customFormat="1" ht="15" customHeight="1">
      <c r="A117" s="310">
        <v>9469</v>
      </c>
      <c r="B117" s="310" t="s">
        <v>825</v>
      </c>
      <c r="C117" s="310" t="s">
        <v>121</v>
      </c>
      <c r="D117" s="89" t="s">
        <v>826</v>
      </c>
      <c r="E117" s="100" t="s">
        <v>130</v>
      </c>
      <c r="F117" s="87">
        <f>70*1.0936</f>
        <v>76.551999999999992</v>
      </c>
      <c r="G117" s="311" t="s">
        <v>405</v>
      </c>
      <c r="H117" s="79"/>
      <c r="I117" s="80">
        <f>0.288+0.12</f>
        <v>0.40799999999999997</v>
      </c>
      <c r="J117" s="81">
        <v>1708</v>
      </c>
      <c r="K117" s="81">
        <f t="shared" ref="K117:K121" si="22">I117*J117</f>
        <v>696.86399999999992</v>
      </c>
      <c r="L117" s="79"/>
      <c r="M117" s="36"/>
    </row>
    <row r="118" spans="1:13" s="28" customFormat="1" ht="15" customHeight="1">
      <c r="A118" s="310"/>
      <c r="B118" s="25"/>
      <c r="C118" s="25"/>
      <c r="D118" s="25"/>
      <c r="E118" s="25"/>
      <c r="F118" s="38"/>
      <c r="G118" s="311" t="s">
        <v>183</v>
      </c>
      <c r="H118" s="79"/>
      <c r="I118" s="80">
        <f>0.084+0.04</f>
        <v>0.124</v>
      </c>
      <c r="J118" s="81">
        <v>1600</v>
      </c>
      <c r="K118" s="81">
        <f t="shared" si="22"/>
        <v>198.4</v>
      </c>
      <c r="L118" s="79"/>
      <c r="M118" s="36"/>
    </row>
    <row r="119" spans="1:13" s="28" customFormat="1" ht="15" customHeight="1">
      <c r="A119" s="310"/>
      <c r="B119" s="25"/>
      <c r="C119" s="25"/>
      <c r="D119" s="25"/>
      <c r="E119" s="25"/>
      <c r="F119" s="38"/>
      <c r="G119" s="93" t="s">
        <v>315</v>
      </c>
      <c r="H119" s="79"/>
      <c r="I119" s="80">
        <f>0.296+0.142</f>
        <v>0.43799999999999994</v>
      </c>
      <c r="J119" s="81">
        <v>2184</v>
      </c>
      <c r="K119" s="81">
        <f t="shared" si="22"/>
        <v>956.59199999999987</v>
      </c>
      <c r="L119" s="79"/>
      <c r="M119" s="36"/>
    </row>
    <row r="120" spans="1:13" s="28" customFormat="1" ht="15" customHeight="1">
      <c r="A120" s="310"/>
      <c r="B120" s="25"/>
      <c r="C120" s="25"/>
      <c r="D120" s="25"/>
      <c r="E120" s="25"/>
      <c r="F120" s="38"/>
      <c r="G120" s="310" t="s">
        <v>184</v>
      </c>
      <c r="H120" s="310"/>
      <c r="I120" s="80">
        <v>0.6</v>
      </c>
      <c r="J120" s="81">
        <v>336</v>
      </c>
      <c r="K120" s="94">
        <f t="shared" si="22"/>
        <v>201.6</v>
      </c>
      <c r="L120" s="79"/>
      <c r="M120" s="36"/>
    </row>
    <row r="121" spans="1:13" s="28" customFormat="1" ht="15" customHeight="1">
      <c r="A121" s="310"/>
      <c r="B121" s="25"/>
      <c r="C121" s="25"/>
      <c r="D121" s="25"/>
      <c r="E121" s="25"/>
      <c r="F121" s="38"/>
      <c r="G121" s="95" t="s">
        <v>185</v>
      </c>
      <c r="H121" s="79"/>
      <c r="I121" s="96">
        <v>0.12</v>
      </c>
      <c r="J121" s="81">
        <v>490</v>
      </c>
      <c r="K121" s="81">
        <f t="shared" si="22"/>
        <v>58.8</v>
      </c>
      <c r="L121" s="79"/>
      <c r="M121" s="36"/>
    </row>
    <row r="122" spans="1:13" s="28" customFormat="1" ht="15" customHeight="1">
      <c r="A122" s="310"/>
      <c r="B122" s="25"/>
      <c r="C122" s="25"/>
      <c r="D122" s="25"/>
      <c r="E122" s="273" t="s">
        <v>9</v>
      </c>
      <c r="F122" s="108">
        <f>SUM(F117:F121)</f>
        <v>76.551999999999992</v>
      </c>
      <c r="G122" s="273"/>
      <c r="H122" s="273"/>
      <c r="I122" s="80"/>
      <c r="J122" s="81"/>
      <c r="K122" s="103">
        <f>SUM(K117:K121)</f>
        <v>2112.2559999999999</v>
      </c>
      <c r="L122" s="103">
        <f>K122/F122</f>
        <v>27.592433901139096</v>
      </c>
      <c r="M122" s="36"/>
    </row>
    <row r="123" spans="1:13" s="28" customFormat="1" ht="15" customHeight="1">
      <c r="A123" s="310">
        <v>9465</v>
      </c>
      <c r="B123" s="310" t="s">
        <v>827</v>
      </c>
      <c r="C123" s="310" t="s">
        <v>233</v>
      </c>
      <c r="D123" s="310" t="s">
        <v>648</v>
      </c>
      <c r="E123" s="310" t="s">
        <v>114</v>
      </c>
      <c r="F123" s="87">
        <f>1290*1.0936</f>
        <v>1410.7439999999999</v>
      </c>
      <c r="G123" s="311" t="s">
        <v>405</v>
      </c>
      <c r="H123" s="79"/>
      <c r="I123" s="80">
        <f>1.237+0.26</f>
        <v>1.4970000000000001</v>
      </c>
      <c r="J123" s="81">
        <v>1708</v>
      </c>
      <c r="K123" s="81">
        <f t="shared" ref="K123:K127" si="23">I123*J123</f>
        <v>2556.8760000000002</v>
      </c>
      <c r="L123" s="79"/>
      <c r="M123" s="36"/>
    </row>
    <row r="124" spans="1:13" s="28" customFormat="1" ht="15" customHeight="1">
      <c r="A124" s="310"/>
      <c r="B124" s="25"/>
      <c r="C124" s="25"/>
      <c r="D124" s="25"/>
      <c r="E124" s="25"/>
      <c r="F124" s="38"/>
      <c r="G124" s="311" t="s">
        <v>183</v>
      </c>
      <c r="H124" s="79"/>
      <c r="I124" s="80">
        <f>0.11+0.023</f>
        <v>0.13300000000000001</v>
      </c>
      <c r="J124" s="81">
        <v>1600</v>
      </c>
      <c r="K124" s="81">
        <f t="shared" si="23"/>
        <v>212.8</v>
      </c>
      <c r="L124" s="79"/>
      <c r="M124" s="36"/>
    </row>
    <row r="125" spans="1:13" s="28" customFormat="1" ht="15" customHeight="1">
      <c r="A125" s="310"/>
      <c r="B125" s="25"/>
      <c r="C125" s="25"/>
      <c r="D125" s="25"/>
      <c r="E125" s="25"/>
      <c r="F125" s="38"/>
      <c r="G125" s="93" t="s">
        <v>315</v>
      </c>
      <c r="H125" s="79"/>
      <c r="I125" s="80">
        <f>1.127+0.226</f>
        <v>1.353</v>
      </c>
      <c r="J125" s="81">
        <v>2184</v>
      </c>
      <c r="K125" s="81">
        <f t="shared" si="23"/>
        <v>2954.9519999999998</v>
      </c>
      <c r="L125" s="79"/>
      <c r="M125" s="36"/>
    </row>
    <row r="126" spans="1:13" s="28" customFormat="1" ht="15" customHeight="1">
      <c r="A126" s="310"/>
      <c r="B126" s="25"/>
      <c r="C126" s="25"/>
      <c r="D126" s="25"/>
      <c r="E126" s="25"/>
      <c r="F126" s="38"/>
      <c r="G126" s="310" t="s">
        <v>184</v>
      </c>
      <c r="H126" s="310"/>
      <c r="I126" s="80">
        <f>2.5+0.5</f>
        <v>3</v>
      </c>
      <c r="J126" s="81">
        <v>336</v>
      </c>
      <c r="K126" s="94">
        <f t="shared" si="23"/>
        <v>1008</v>
      </c>
      <c r="L126" s="79"/>
      <c r="M126" s="36"/>
    </row>
    <row r="127" spans="1:13" s="28" customFormat="1" ht="15" customHeight="1">
      <c r="A127" s="310"/>
      <c r="B127" s="25"/>
      <c r="C127" s="25"/>
      <c r="D127" s="25"/>
      <c r="E127" s="25"/>
      <c r="F127" s="38"/>
      <c r="G127" s="95" t="s">
        <v>185</v>
      </c>
      <c r="H127" s="79"/>
      <c r="I127" s="96">
        <f>0.5+0.1</f>
        <v>0.6</v>
      </c>
      <c r="J127" s="81">
        <v>490</v>
      </c>
      <c r="K127" s="81">
        <f t="shared" si="23"/>
        <v>294</v>
      </c>
      <c r="L127" s="79"/>
      <c r="M127" s="36"/>
    </row>
    <row r="128" spans="1:13" s="28" customFormat="1" ht="15" customHeight="1">
      <c r="A128" s="310"/>
      <c r="B128" s="25"/>
      <c r="C128" s="25"/>
      <c r="D128" s="25"/>
      <c r="E128" s="273" t="s">
        <v>9</v>
      </c>
      <c r="F128" s="108">
        <f>SUM(F123:F127)</f>
        <v>1410.7439999999999</v>
      </c>
      <c r="G128" s="273"/>
      <c r="H128" s="273"/>
      <c r="I128" s="80"/>
      <c r="J128" s="81"/>
      <c r="K128" s="103">
        <f>SUM(K123:K127)</f>
        <v>7026.6280000000006</v>
      </c>
      <c r="L128" s="103">
        <f>K128/F128</f>
        <v>4.9807959488043192</v>
      </c>
      <c r="M128" s="36"/>
    </row>
    <row r="129" spans="1:14" s="28" customFormat="1" ht="15" customHeight="1">
      <c r="A129" s="310">
        <v>8957</v>
      </c>
      <c r="B129" s="310" t="s">
        <v>828</v>
      </c>
      <c r="C129" s="310" t="s">
        <v>121</v>
      </c>
      <c r="D129" s="310" t="s">
        <v>120</v>
      </c>
      <c r="E129" s="310" t="s">
        <v>129</v>
      </c>
      <c r="F129" s="87">
        <f>200*1.0936</f>
        <v>218.71999999999997</v>
      </c>
      <c r="G129" s="91" t="s">
        <v>346</v>
      </c>
      <c r="H129" s="79"/>
      <c r="I129" s="80">
        <f>0.04+0.02</f>
        <v>0.06</v>
      </c>
      <c r="J129" s="81">
        <v>3837</v>
      </c>
      <c r="K129" s="81">
        <f t="shared" ref="K129:K136" si="24">I129*J129</f>
        <v>230.22</v>
      </c>
      <c r="L129" s="36"/>
      <c r="M129" s="36"/>
    </row>
    <row r="130" spans="1:14" s="28" customFormat="1" ht="15" customHeight="1">
      <c r="A130" s="310"/>
      <c r="B130" s="25"/>
      <c r="C130" s="25"/>
      <c r="D130" s="25"/>
      <c r="E130" s="25"/>
      <c r="F130" s="38"/>
      <c r="G130" s="91" t="s">
        <v>279</v>
      </c>
      <c r="H130" s="79"/>
      <c r="I130" s="80">
        <f>0.1+0.3+0.2</f>
        <v>0.60000000000000009</v>
      </c>
      <c r="J130" s="81">
        <v>689</v>
      </c>
      <c r="K130" s="81">
        <f t="shared" si="24"/>
        <v>413.40000000000003</v>
      </c>
      <c r="L130" s="36"/>
      <c r="M130" s="36"/>
    </row>
    <row r="131" spans="1:14" s="28" customFormat="1" ht="15" customHeight="1">
      <c r="A131" s="310"/>
      <c r="B131" s="25"/>
      <c r="C131" s="25"/>
      <c r="D131" s="25"/>
      <c r="E131" s="25"/>
      <c r="F131" s="38"/>
      <c r="G131" s="93" t="s">
        <v>190</v>
      </c>
      <c r="H131" s="79"/>
      <c r="I131" s="80">
        <v>1.9E-2</v>
      </c>
      <c r="J131" s="81">
        <v>644</v>
      </c>
      <c r="K131" s="81">
        <f t="shared" si="24"/>
        <v>12.235999999999999</v>
      </c>
      <c r="L131" s="79"/>
      <c r="M131" s="36"/>
    </row>
    <row r="132" spans="1:14" s="28" customFormat="1" ht="15" customHeight="1">
      <c r="A132" s="310"/>
      <c r="B132" s="25"/>
      <c r="C132" s="25"/>
      <c r="D132" s="25"/>
      <c r="E132" s="25"/>
      <c r="F132" s="38"/>
      <c r="G132" s="91" t="s">
        <v>192</v>
      </c>
      <c r="H132" s="79"/>
      <c r="I132" s="80">
        <v>0.01</v>
      </c>
      <c r="J132" s="81">
        <v>1126</v>
      </c>
      <c r="K132" s="81">
        <f t="shared" si="24"/>
        <v>11.26</v>
      </c>
      <c r="L132" s="79"/>
      <c r="M132" s="36"/>
    </row>
    <row r="133" spans="1:14" s="28" customFormat="1" ht="15" customHeight="1">
      <c r="A133" s="310"/>
      <c r="B133" s="25"/>
      <c r="C133" s="25"/>
      <c r="D133" s="25"/>
      <c r="E133" s="25"/>
      <c r="F133" s="38"/>
      <c r="G133" s="311" t="s">
        <v>186</v>
      </c>
      <c r="H133" s="79"/>
      <c r="I133" s="96">
        <v>0.05</v>
      </c>
      <c r="J133" s="81">
        <v>2382</v>
      </c>
      <c r="K133" s="81">
        <f t="shared" si="24"/>
        <v>119.10000000000001</v>
      </c>
      <c r="L133" s="79"/>
      <c r="M133" s="36"/>
    </row>
    <row r="134" spans="1:14" s="28" customFormat="1" ht="15" customHeight="1">
      <c r="A134" s="310"/>
      <c r="B134" s="25"/>
      <c r="C134" s="25"/>
      <c r="D134" s="25"/>
      <c r="E134" s="25"/>
      <c r="F134" s="38"/>
      <c r="G134" s="91" t="s">
        <v>193</v>
      </c>
      <c r="H134" s="79"/>
      <c r="I134" s="80">
        <v>0.1</v>
      </c>
      <c r="J134" s="81">
        <v>1150</v>
      </c>
      <c r="K134" s="81">
        <f t="shared" si="24"/>
        <v>115</v>
      </c>
      <c r="L134" s="79"/>
      <c r="M134" s="36"/>
    </row>
    <row r="135" spans="1:14" s="28" customFormat="1" ht="15" customHeight="1">
      <c r="A135" s="525"/>
      <c r="B135" s="25"/>
      <c r="C135" s="25"/>
      <c r="D135" s="25"/>
      <c r="E135" s="25"/>
      <c r="F135" s="38"/>
      <c r="G135" s="525" t="s">
        <v>184</v>
      </c>
      <c r="H135" s="525"/>
      <c r="I135" s="80">
        <v>0.6</v>
      </c>
      <c r="J135" s="81">
        <v>336</v>
      </c>
      <c r="K135" s="94">
        <f t="shared" si="24"/>
        <v>201.6</v>
      </c>
      <c r="L135" s="79"/>
      <c r="M135" s="36"/>
    </row>
    <row r="136" spans="1:14" s="28" customFormat="1" ht="15" customHeight="1">
      <c r="A136" s="525"/>
      <c r="B136" s="25"/>
      <c r="C136" s="25"/>
      <c r="D136" s="25"/>
      <c r="E136" s="25"/>
      <c r="F136" s="38"/>
      <c r="G136" s="95" t="s">
        <v>185</v>
      </c>
      <c r="H136" s="79"/>
      <c r="I136" s="96">
        <v>0.12</v>
      </c>
      <c r="J136" s="81">
        <v>490</v>
      </c>
      <c r="K136" s="81">
        <f t="shared" si="24"/>
        <v>58.8</v>
      </c>
      <c r="L136" s="79"/>
      <c r="M136" s="36"/>
    </row>
    <row r="137" spans="1:14" s="107" customFormat="1" ht="15" customHeight="1">
      <c r="A137" s="310"/>
      <c r="B137" s="310"/>
      <c r="C137" s="310"/>
      <c r="D137" s="310"/>
      <c r="E137" s="273" t="s">
        <v>9</v>
      </c>
      <c r="F137" s="108">
        <f>SUM(F129:F136)</f>
        <v>218.71999999999997</v>
      </c>
      <c r="G137" s="273"/>
      <c r="H137" s="273"/>
      <c r="I137" s="80"/>
      <c r="J137" s="81"/>
      <c r="K137" s="103">
        <f>SUM(K129:K136)</f>
        <v>1161.616</v>
      </c>
      <c r="L137" s="103">
        <f>K137/F137</f>
        <v>5.3109729334308708</v>
      </c>
      <c r="M137" s="79"/>
    </row>
    <row r="138" spans="1:14" s="107" customFormat="1" ht="15" customHeight="1">
      <c r="A138" s="308"/>
      <c r="B138" s="308"/>
      <c r="C138" s="308"/>
      <c r="D138" s="133" t="s">
        <v>30</v>
      </c>
      <c r="E138" s="133"/>
      <c r="F138" s="134">
        <f>F42+F49+F55+F61+F67+F73+F79+F85+F91+F97+F103+F110+F122+F128</f>
        <v>3625.2839999999997</v>
      </c>
      <c r="G138" s="135"/>
      <c r="H138" s="135"/>
      <c r="I138" s="135"/>
      <c r="J138" s="135"/>
      <c r="K138" s="134">
        <f>K42+K49+K55+K61+K67+K73+K79+K85+K91+K97+K103+K110+K116+K122+K128+K137</f>
        <v>45332.333999999995</v>
      </c>
      <c r="L138" s="151">
        <f>K138/F138</f>
        <v>12.504491786022832</v>
      </c>
      <c r="M138" s="137"/>
    </row>
    <row r="139" spans="1:14" s="309" customFormat="1" ht="15" customHeight="1">
      <c r="A139" s="106" t="s">
        <v>40</v>
      </c>
      <c r="B139" s="106"/>
      <c r="C139" s="106"/>
      <c r="D139" s="106"/>
      <c r="E139" s="106"/>
      <c r="F139" s="107"/>
      <c r="G139" s="107"/>
      <c r="H139" s="107"/>
      <c r="I139" s="149"/>
      <c r="J139" s="107"/>
      <c r="K139" s="867" t="s">
        <v>851</v>
      </c>
      <c r="L139" s="867"/>
      <c r="M139" s="867"/>
      <c r="N139" s="107"/>
    </row>
    <row r="140" spans="1:14" s="309" customFormat="1" ht="15" customHeight="1">
      <c r="A140" s="273" t="s">
        <v>0</v>
      </c>
      <c r="B140" s="273" t="s">
        <v>7</v>
      </c>
      <c r="C140" s="273" t="s">
        <v>13</v>
      </c>
      <c r="D140" s="273" t="s">
        <v>14</v>
      </c>
      <c r="E140" s="273" t="s">
        <v>8</v>
      </c>
      <c r="F140" s="273" t="s">
        <v>1</v>
      </c>
      <c r="G140" s="273" t="s">
        <v>2</v>
      </c>
      <c r="H140" s="273" t="s">
        <v>15</v>
      </c>
      <c r="I140" s="150" t="s">
        <v>3</v>
      </c>
      <c r="J140" s="273" t="s">
        <v>4</v>
      </c>
      <c r="K140" s="273" t="s">
        <v>5</v>
      </c>
      <c r="L140" s="273" t="s">
        <v>12</v>
      </c>
      <c r="M140" s="273" t="s">
        <v>6</v>
      </c>
      <c r="N140" s="246"/>
    </row>
    <row r="141" spans="1:14" s="309" customFormat="1" ht="15" customHeight="1">
      <c r="A141" s="310">
        <v>8963</v>
      </c>
      <c r="B141" s="310" t="s">
        <v>791</v>
      </c>
      <c r="C141" s="310" t="s">
        <v>792</v>
      </c>
      <c r="D141" s="310" t="s">
        <v>794</v>
      </c>
      <c r="E141" s="310" t="s">
        <v>793</v>
      </c>
      <c r="F141" s="87">
        <f>4800*1.0936</f>
        <v>5249.28</v>
      </c>
      <c r="G141" s="310" t="s">
        <v>27</v>
      </c>
      <c r="H141" s="79"/>
      <c r="I141" s="80">
        <v>225</v>
      </c>
      <c r="J141" s="81">
        <v>22</v>
      </c>
      <c r="K141" s="81">
        <f t="shared" ref="K141:K143" si="25">I141*J141</f>
        <v>4950</v>
      </c>
      <c r="L141" s="310"/>
      <c r="M141" s="310"/>
    </row>
    <row r="142" spans="1:14" s="309" customFormat="1" ht="15" customHeight="1">
      <c r="A142" s="310"/>
      <c r="B142" s="310"/>
      <c r="C142" s="310"/>
      <c r="D142" s="310"/>
      <c r="E142" s="310"/>
      <c r="F142" s="310"/>
      <c r="G142" s="311" t="s">
        <v>49</v>
      </c>
      <c r="H142" s="79"/>
      <c r="I142" s="80">
        <v>30</v>
      </c>
      <c r="J142" s="81">
        <v>34</v>
      </c>
      <c r="K142" s="81">
        <f t="shared" si="25"/>
        <v>1020</v>
      </c>
      <c r="L142" s="310"/>
      <c r="M142" s="310"/>
    </row>
    <row r="143" spans="1:14" s="309" customFormat="1" ht="15" customHeight="1">
      <c r="A143" s="310"/>
      <c r="B143" s="310"/>
      <c r="C143" s="310"/>
      <c r="D143" s="310"/>
      <c r="E143" s="310"/>
      <c r="F143" s="310"/>
      <c r="G143" s="310" t="s">
        <v>19</v>
      </c>
      <c r="H143" s="79"/>
      <c r="I143" s="80">
        <v>9</v>
      </c>
      <c r="J143" s="81">
        <v>74</v>
      </c>
      <c r="K143" s="81">
        <f t="shared" si="25"/>
        <v>666</v>
      </c>
      <c r="L143" s="310"/>
      <c r="M143" s="310"/>
    </row>
    <row r="144" spans="1:14" s="309" customFormat="1" ht="15" customHeight="1">
      <c r="A144" s="310"/>
      <c r="B144" s="310"/>
      <c r="C144" s="310"/>
      <c r="D144" s="310"/>
      <c r="E144" s="273" t="s">
        <v>9</v>
      </c>
      <c r="F144" s="108">
        <f>SUM(F141:F143)</f>
        <v>5249.28</v>
      </c>
      <c r="G144" s="273"/>
      <c r="H144" s="273"/>
      <c r="I144" s="80"/>
      <c r="J144" s="81"/>
      <c r="K144" s="103">
        <f>SUM(K141:K143)</f>
        <v>6636</v>
      </c>
      <c r="L144" s="103">
        <f>K144/F144</f>
        <v>1.2641733723482078</v>
      </c>
      <c r="M144" s="79"/>
      <c r="N144" s="107"/>
    </row>
    <row r="145" spans="1:14" s="309" customFormat="1" ht="15" customHeight="1">
      <c r="A145" s="310">
        <v>8963</v>
      </c>
      <c r="B145" s="310" t="s">
        <v>828</v>
      </c>
      <c r="C145" s="310" t="s">
        <v>121</v>
      </c>
      <c r="D145" s="310" t="s">
        <v>120</v>
      </c>
      <c r="E145" s="310" t="s">
        <v>129</v>
      </c>
      <c r="F145" s="87">
        <f>425*1.0936</f>
        <v>464.78</v>
      </c>
      <c r="G145" s="310" t="s">
        <v>27</v>
      </c>
      <c r="H145" s="79"/>
      <c r="I145" s="80">
        <f>0.011+3</f>
        <v>3.0110000000000001</v>
      </c>
      <c r="J145" s="81">
        <v>22</v>
      </c>
      <c r="K145" s="81">
        <f t="shared" ref="K145:K147" si="26">I145*J145</f>
        <v>66.242000000000004</v>
      </c>
      <c r="L145" s="310"/>
      <c r="M145" s="310"/>
    </row>
    <row r="146" spans="1:14" s="309" customFormat="1" ht="15" customHeight="1">
      <c r="A146" s="310"/>
      <c r="B146" s="310"/>
      <c r="C146" s="310"/>
      <c r="D146" s="310" t="s">
        <v>337</v>
      </c>
      <c r="E146" s="310"/>
      <c r="F146" s="87"/>
      <c r="G146" s="311" t="s">
        <v>49</v>
      </c>
      <c r="H146" s="79"/>
      <c r="I146" s="80">
        <f>1.8+1</f>
        <v>2.8</v>
      </c>
      <c r="J146" s="81">
        <v>34</v>
      </c>
      <c r="K146" s="81">
        <f t="shared" si="26"/>
        <v>95.199999999999989</v>
      </c>
      <c r="L146" s="310"/>
      <c r="M146" s="310"/>
    </row>
    <row r="147" spans="1:14" s="309" customFormat="1" ht="15" customHeight="1">
      <c r="A147" s="310"/>
      <c r="B147" s="310"/>
      <c r="C147" s="310"/>
      <c r="D147" s="310"/>
      <c r="E147" s="310"/>
      <c r="F147" s="87"/>
      <c r="G147" s="310" t="s">
        <v>19</v>
      </c>
      <c r="H147" s="79"/>
      <c r="I147" s="80">
        <v>0.5</v>
      </c>
      <c r="J147" s="81">
        <v>74</v>
      </c>
      <c r="K147" s="81">
        <f t="shared" si="26"/>
        <v>37</v>
      </c>
      <c r="L147" s="310"/>
      <c r="M147" s="310"/>
    </row>
    <row r="148" spans="1:14" s="309" customFormat="1" ht="15" customHeight="1">
      <c r="A148" s="310"/>
      <c r="B148" s="310"/>
      <c r="C148" s="310"/>
      <c r="D148" s="310"/>
      <c r="E148" s="273" t="s">
        <v>9</v>
      </c>
      <c r="F148" s="108">
        <f>SUM(F145:F146)</f>
        <v>464.78</v>
      </c>
      <c r="G148" s="273"/>
      <c r="H148" s="273"/>
      <c r="I148" s="80"/>
      <c r="J148" s="81"/>
      <c r="K148" s="103">
        <f>SUM(K145:K147)</f>
        <v>198.44200000000001</v>
      </c>
      <c r="L148" s="103">
        <f>K148/F148</f>
        <v>0.42695899135074661</v>
      </c>
      <c r="M148" s="178" t="s">
        <v>829</v>
      </c>
      <c r="N148" s="107"/>
    </row>
    <row r="149" spans="1:14" s="309" customFormat="1" ht="15" customHeight="1">
      <c r="A149" s="310">
        <v>9000</v>
      </c>
      <c r="B149" s="310" t="s">
        <v>780</v>
      </c>
      <c r="C149" s="310" t="s">
        <v>513</v>
      </c>
      <c r="D149" s="310" t="s">
        <v>297</v>
      </c>
      <c r="E149" s="310" t="s">
        <v>781</v>
      </c>
      <c r="F149" s="87">
        <f>13790*1.0936</f>
        <v>15080.743999999999</v>
      </c>
      <c r="G149" s="310" t="s">
        <v>27</v>
      </c>
      <c r="H149" s="79"/>
      <c r="I149" s="80">
        <v>375</v>
      </c>
      <c r="J149" s="81">
        <v>22</v>
      </c>
      <c r="K149" s="81">
        <f t="shared" ref="K149:K151" si="27">I149*J149</f>
        <v>8250</v>
      </c>
      <c r="L149" s="310"/>
      <c r="M149" s="310"/>
    </row>
    <row r="150" spans="1:14" s="309" customFormat="1" ht="15" customHeight="1">
      <c r="A150" s="310"/>
      <c r="B150" s="89"/>
      <c r="C150" s="89"/>
      <c r="D150" s="89"/>
      <c r="E150" s="310"/>
      <c r="F150" s="87"/>
      <c r="G150" s="311" t="s">
        <v>49</v>
      </c>
      <c r="H150" s="79"/>
      <c r="I150" s="80">
        <v>30</v>
      </c>
      <c r="J150" s="81">
        <v>34</v>
      </c>
      <c r="K150" s="81">
        <f t="shared" si="27"/>
        <v>1020</v>
      </c>
      <c r="L150" s="310"/>
      <c r="M150" s="310"/>
    </row>
    <row r="151" spans="1:14" s="309" customFormat="1" ht="15" customHeight="1">
      <c r="A151" s="310"/>
      <c r="B151" s="310"/>
      <c r="C151" s="310"/>
      <c r="D151" s="310"/>
      <c r="E151" s="310"/>
      <c r="F151" s="310"/>
      <c r="G151" s="310" t="s">
        <v>19</v>
      </c>
      <c r="H151" s="79"/>
      <c r="I151" s="80">
        <v>9</v>
      </c>
      <c r="J151" s="81">
        <v>74</v>
      </c>
      <c r="K151" s="81">
        <f t="shared" si="27"/>
        <v>666</v>
      </c>
      <c r="L151" s="310"/>
      <c r="M151" s="310"/>
    </row>
    <row r="152" spans="1:14" s="309" customFormat="1" ht="15" customHeight="1">
      <c r="A152" s="310"/>
      <c r="B152" s="310"/>
      <c r="C152" s="310"/>
      <c r="D152" s="310"/>
      <c r="E152" s="273" t="s">
        <v>9</v>
      </c>
      <c r="F152" s="108">
        <f>SUM(F149:F151)</f>
        <v>15080.743999999999</v>
      </c>
      <c r="G152" s="273"/>
      <c r="H152" s="273"/>
      <c r="I152" s="80"/>
      <c r="J152" s="81"/>
      <c r="K152" s="103">
        <f>SUM(K149:K151)</f>
        <v>9936</v>
      </c>
      <c r="L152" s="103">
        <f>K152/F152</f>
        <v>0.65885343587822998</v>
      </c>
      <c r="M152" s="310"/>
    </row>
    <row r="153" spans="1:14" s="107" customFormat="1" ht="15" customHeight="1">
      <c r="A153" s="308"/>
      <c r="B153" s="308"/>
      <c r="C153" s="308"/>
      <c r="D153" s="133" t="s">
        <v>30</v>
      </c>
      <c r="E153" s="186"/>
      <c r="F153" s="134">
        <f>F144+F152</f>
        <v>20330.023999999998</v>
      </c>
      <c r="G153" s="135"/>
      <c r="H153" s="135"/>
      <c r="I153" s="135"/>
      <c r="J153" s="135"/>
      <c r="K153" s="134">
        <f>K144+K148+K152</f>
        <v>16770.441999999999</v>
      </c>
      <c r="L153" s="151">
        <f>K153/F153</f>
        <v>0.8249100935640804</v>
      </c>
      <c r="M153" s="137"/>
    </row>
    <row r="154" spans="1:14" s="28" customFormat="1" ht="15" customHeight="1">
      <c r="A154" s="106" t="s">
        <v>11</v>
      </c>
      <c r="B154" s="106"/>
      <c r="C154" s="106"/>
      <c r="D154" s="106"/>
      <c r="E154" s="106"/>
      <c r="F154" s="107"/>
      <c r="G154" s="107"/>
      <c r="H154" s="107"/>
      <c r="I154" s="107"/>
      <c r="J154" s="107"/>
      <c r="K154" s="867" t="s">
        <v>851</v>
      </c>
      <c r="L154" s="867"/>
      <c r="M154" s="867"/>
    </row>
    <row r="155" spans="1:14" s="28" customFormat="1" ht="15" customHeight="1">
      <c r="A155" s="273" t="s">
        <v>0</v>
      </c>
      <c r="B155" s="273" t="s">
        <v>7</v>
      </c>
      <c r="C155" s="273" t="s">
        <v>13</v>
      </c>
      <c r="D155" s="273" t="s">
        <v>14</v>
      </c>
      <c r="E155" s="273" t="s">
        <v>8</v>
      </c>
      <c r="F155" s="273" t="s">
        <v>1</v>
      </c>
      <c r="G155" s="273" t="s">
        <v>2</v>
      </c>
      <c r="H155" s="273" t="s">
        <v>15</v>
      </c>
      <c r="I155" s="273" t="s">
        <v>3</v>
      </c>
      <c r="J155" s="273" t="s">
        <v>4</v>
      </c>
      <c r="K155" s="273" t="s">
        <v>5</v>
      </c>
      <c r="L155" s="273" t="s">
        <v>12</v>
      </c>
      <c r="M155" s="273" t="s">
        <v>6</v>
      </c>
      <c r="N155" s="30"/>
    </row>
    <row r="156" spans="1:14" s="28" customFormat="1" ht="15" customHeight="1">
      <c r="A156" s="310">
        <v>9597</v>
      </c>
      <c r="B156" s="310" t="s">
        <v>830</v>
      </c>
      <c r="C156" s="310" t="s">
        <v>519</v>
      </c>
      <c r="D156" s="310" t="s">
        <v>484</v>
      </c>
      <c r="E156" s="310" t="s">
        <v>831</v>
      </c>
      <c r="F156" s="87">
        <f>1720*1.0936</f>
        <v>1880.9919999999997</v>
      </c>
      <c r="G156" s="311" t="s">
        <v>206</v>
      </c>
      <c r="H156" s="79"/>
      <c r="I156" s="81">
        <v>2.5</v>
      </c>
      <c r="J156" s="81">
        <v>375</v>
      </c>
      <c r="K156" s="81">
        <f t="shared" ref="K156:K157" si="28">I156*J156</f>
        <v>937.5</v>
      </c>
      <c r="L156" s="79"/>
      <c r="M156" s="79"/>
    </row>
    <row r="157" spans="1:14" s="28" customFormat="1" ht="15" customHeight="1">
      <c r="A157" s="310"/>
      <c r="B157" s="25"/>
      <c r="C157" s="25"/>
      <c r="D157" s="25"/>
      <c r="E157" s="310" t="s">
        <v>93</v>
      </c>
      <c r="F157" s="38"/>
      <c r="G157" s="173" t="s">
        <v>298</v>
      </c>
      <c r="H157" s="79"/>
      <c r="I157" s="80">
        <v>1.5</v>
      </c>
      <c r="J157" s="81">
        <v>435</v>
      </c>
      <c r="K157" s="94">
        <f t="shared" si="28"/>
        <v>652.5</v>
      </c>
      <c r="L157" s="79"/>
      <c r="M157" s="79"/>
    </row>
    <row r="158" spans="1:14" s="28" customFormat="1" ht="15" customHeight="1">
      <c r="A158" s="310"/>
      <c r="B158" s="310"/>
      <c r="C158" s="310"/>
      <c r="D158" s="310"/>
      <c r="E158" s="273" t="s">
        <v>9</v>
      </c>
      <c r="F158" s="108">
        <f>SUM(F156:F157)</f>
        <v>1880.9919999999997</v>
      </c>
      <c r="G158" s="273"/>
      <c r="H158" s="273"/>
      <c r="I158" s="81"/>
      <c r="J158" s="81"/>
      <c r="K158" s="103">
        <f>SUM(K156:K157)</f>
        <v>1590</v>
      </c>
      <c r="L158" s="103">
        <f>K158/F158</f>
        <v>0.84529865092461864</v>
      </c>
      <c r="M158" s="79"/>
    </row>
    <row r="159" spans="1:14" s="28" customFormat="1" ht="15" customHeight="1">
      <c r="A159" s="310">
        <v>9595</v>
      </c>
      <c r="B159" s="310" t="s">
        <v>773</v>
      </c>
      <c r="C159" s="310" t="s">
        <v>774</v>
      </c>
      <c r="D159" s="310" t="s">
        <v>775</v>
      </c>
      <c r="E159" s="310" t="s">
        <v>831</v>
      </c>
      <c r="F159" s="90">
        <f>480*1.0936</f>
        <v>524.928</v>
      </c>
      <c r="G159" s="311" t="s">
        <v>587</v>
      </c>
      <c r="H159" s="79"/>
      <c r="I159" s="80">
        <v>2.5</v>
      </c>
      <c r="J159" s="81">
        <v>456</v>
      </c>
      <c r="K159" s="94">
        <f t="shared" ref="K159" si="29">I159*J159</f>
        <v>1140</v>
      </c>
      <c r="L159" s="79"/>
      <c r="M159" s="79"/>
    </row>
    <row r="160" spans="1:14" s="28" customFormat="1" ht="15" customHeight="1">
      <c r="A160" s="310"/>
      <c r="B160" s="310"/>
      <c r="C160" s="310"/>
      <c r="D160" s="310"/>
      <c r="E160" s="310"/>
      <c r="F160" s="87"/>
      <c r="G160" s="173" t="s">
        <v>298</v>
      </c>
      <c r="H160" s="79"/>
      <c r="I160" s="80"/>
      <c r="J160" s="81">
        <v>435</v>
      </c>
      <c r="K160" s="94">
        <f t="shared" ref="K160" si="30">I160*J160</f>
        <v>0</v>
      </c>
      <c r="L160" s="79"/>
      <c r="M160" s="79"/>
    </row>
    <row r="161" spans="1:13" s="28" customFormat="1" ht="15" customHeight="1">
      <c r="A161" s="310"/>
      <c r="B161" s="310"/>
      <c r="C161" s="310"/>
      <c r="D161" s="310"/>
      <c r="E161" s="273" t="s">
        <v>9</v>
      </c>
      <c r="F161" s="108">
        <f>SUM(F159:F160)</f>
        <v>524.928</v>
      </c>
      <c r="G161" s="273"/>
      <c r="H161" s="273"/>
      <c r="I161" s="81"/>
      <c r="J161" s="81"/>
      <c r="K161" s="103">
        <f>SUM(K159:K160)</f>
        <v>1140</v>
      </c>
      <c r="L161" s="103">
        <f>K161/F161</f>
        <v>2.1717264081931238</v>
      </c>
      <c r="M161" s="79"/>
    </row>
    <row r="162" spans="1:13" s="28" customFormat="1" ht="15" customHeight="1">
      <c r="A162" s="310">
        <v>9579</v>
      </c>
      <c r="B162" s="310" t="s">
        <v>269</v>
      </c>
      <c r="C162" s="310"/>
      <c r="D162" s="310"/>
      <c r="E162" s="310"/>
      <c r="F162" s="90">
        <f>480*1.0936</f>
        <v>524.928</v>
      </c>
      <c r="G162" s="95" t="s">
        <v>832</v>
      </c>
      <c r="H162" s="79"/>
      <c r="I162" s="81">
        <v>0.125</v>
      </c>
      <c r="J162" s="81">
        <v>790</v>
      </c>
      <c r="K162" s="81">
        <f t="shared" ref="K162" si="31">I162*J162</f>
        <v>98.75</v>
      </c>
      <c r="L162" s="79"/>
      <c r="M162" s="79"/>
    </row>
    <row r="163" spans="1:13" s="28" customFormat="1" ht="15" customHeight="1">
      <c r="A163" s="310"/>
      <c r="B163" s="310"/>
      <c r="C163" s="310"/>
      <c r="D163" s="310"/>
      <c r="E163" s="273" t="s">
        <v>9</v>
      </c>
      <c r="F163" s="108">
        <f>SUM(F162:F162)</f>
        <v>524.928</v>
      </c>
      <c r="G163" s="273"/>
      <c r="H163" s="273"/>
      <c r="I163" s="81"/>
      <c r="J163" s="81"/>
      <c r="K163" s="103">
        <f>SUM(K162:K162)</f>
        <v>98.75</v>
      </c>
      <c r="L163" s="103">
        <f>K163/F163</f>
        <v>0.18812103755181664</v>
      </c>
      <c r="M163" s="178" t="s">
        <v>829</v>
      </c>
    </row>
    <row r="164" spans="1:13" s="28" customFormat="1" ht="15" customHeight="1">
      <c r="A164" s="310">
        <v>8699</v>
      </c>
      <c r="B164" s="310" t="s">
        <v>780</v>
      </c>
      <c r="C164" s="310" t="s">
        <v>513</v>
      </c>
      <c r="D164" s="310" t="s">
        <v>297</v>
      </c>
      <c r="E164" s="310" t="s">
        <v>781</v>
      </c>
      <c r="F164" s="87">
        <f>9000*1.0936</f>
        <v>9842.4</v>
      </c>
      <c r="G164" s="311" t="s">
        <v>206</v>
      </c>
      <c r="H164" s="79"/>
      <c r="I164" s="81">
        <v>8</v>
      </c>
      <c r="J164" s="81">
        <v>375</v>
      </c>
      <c r="K164" s="81">
        <f t="shared" ref="K164:K166" si="32">I164*J164</f>
        <v>3000</v>
      </c>
      <c r="L164" s="79"/>
      <c r="M164" s="79"/>
    </row>
    <row r="165" spans="1:13" s="28" customFormat="1" ht="15" customHeight="1">
      <c r="A165" s="310"/>
      <c r="B165" s="25"/>
      <c r="C165" s="25"/>
      <c r="D165" s="25"/>
      <c r="E165" s="310"/>
      <c r="F165" s="38"/>
      <c r="G165" s="173" t="s">
        <v>298</v>
      </c>
      <c r="H165" s="79"/>
      <c r="I165" s="80">
        <v>13</v>
      </c>
      <c r="J165" s="81">
        <v>435</v>
      </c>
      <c r="K165" s="94">
        <f t="shared" si="32"/>
        <v>5655</v>
      </c>
      <c r="L165" s="79"/>
      <c r="M165" s="79"/>
    </row>
    <row r="166" spans="1:13" s="28" customFormat="1" ht="15" customHeight="1">
      <c r="A166" s="310"/>
      <c r="B166" s="310"/>
      <c r="C166" s="310"/>
      <c r="D166" s="310"/>
      <c r="E166" s="310"/>
      <c r="F166" s="87"/>
      <c r="G166" s="173" t="s">
        <v>799</v>
      </c>
      <c r="H166" s="79"/>
      <c r="I166" s="188">
        <v>26</v>
      </c>
      <c r="J166" s="81">
        <v>350</v>
      </c>
      <c r="K166" s="94">
        <f t="shared" si="32"/>
        <v>9100</v>
      </c>
      <c r="L166" s="36"/>
      <c r="M166" s="79"/>
    </row>
    <row r="167" spans="1:13" s="28" customFormat="1" ht="15" customHeight="1">
      <c r="A167" s="310"/>
      <c r="B167" s="310"/>
      <c r="C167" s="310"/>
      <c r="D167" s="310"/>
      <c r="E167" s="310"/>
      <c r="F167" s="87"/>
      <c r="G167" s="311" t="s">
        <v>798</v>
      </c>
      <c r="H167" s="79"/>
      <c r="I167" s="81">
        <v>8</v>
      </c>
      <c r="J167" s="81">
        <v>248</v>
      </c>
      <c r="K167" s="81">
        <f>I167*J167</f>
        <v>1984</v>
      </c>
      <c r="L167" s="79"/>
      <c r="M167" s="79"/>
    </row>
    <row r="168" spans="1:13" s="28" customFormat="1" ht="15" customHeight="1">
      <c r="A168" s="310"/>
      <c r="B168" s="310"/>
      <c r="C168" s="310"/>
      <c r="D168" s="310"/>
      <c r="E168" s="310"/>
      <c r="F168" s="87"/>
      <c r="G168" s="95" t="s">
        <v>204</v>
      </c>
      <c r="H168" s="79"/>
      <c r="I168" s="81">
        <v>3</v>
      </c>
      <c r="J168" s="81">
        <v>375</v>
      </c>
      <c r="K168" s="81">
        <f t="shared" ref="K168" si="33">I168*J168</f>
        <v>1125</v>
      </c>
      <c r="L168" s="79"/>
      <c r="M168" s="79"/>
    </row>
    <row r="169" spans="1:13" s="28" customFormat="1" ht="15" customHeight="1">
      <c r="A169" s="310"/>
      <c r="B169" s="310"/>
      <c r="C169" s="310"/>
      <c r="D169" s="310"/>
      <c r="E169" s="273" t="s">
        <v>9</v>
      </c>
      <c r="F169" s="108">
        <f>SUM(F164:F168)</f>
        <v>9842.4</v>
      </c>
      <c r="G169" s="273"/>
      <c r="H169" s="273"/>
      <c r="I169" s="81"/>
      <c r="J169" s="81"/>
      <c r="K169" s="103">
        <f>SUM(K164:K168)</f>
        <v>20864</v>
      </c>
      <c r="L169" s="103">
        <f>K169/F169</f>
        <v>2.1198081768674308</v>
      </c>
      <c r="M169" s="79"/>
    </row>
    <row r="170" spans="1:13" s="28" customFormat="1" ht="15" customHeight="1">
      <c r="A170" s="310">
        <v>9593</v>
      </c>
      <c r="B170" s="310" t="s">
        <v>800</v>
      </c>
      <c r="C170" s="89" t="s">
        <v>785</v>
      </c>
      <c r="D170" s="89" t="s">
        <v>801</v>
      </c>
      <c r="E170" s="310" t="s">
        <v>232</v>
      </c>
      <c r="F170" s="90">
        <f>2000*1.0936</f>
        <v>2187.1999999999998</v>
      </c>
      <c r="G170" s="310" t="s">
        <v>202</v>
      </c>
      <c r="H170" s="79"/>
      <c r="I170" s="188">
        <v>3</v>
      </c>
      <c r="J170" s="103">
        <v>386</v>
      </c>
      <c r="K170" s="81">
        <f t="shared" ref="K170" si="34">I170*J170</f>
        <v>1158</v>
      </c>
      <c r="L170" s="36"/>
      <c r="M170" s="79"/>
    </row>
    <row r="171" spans="1:13" s="28" customFormat="1" ht="15" customHeight="1">
      <c r="A171" s="310"/>
      <c r="B171" s="310"/>
      <c r="C171" s="310"/>
      <c r="D171" s="310"/>
      <c r="E171" s="310"/>
      <c r="F171" s="99"/>
      <c r="G171" s="311" t="s">
        <v>206</v>
      </c>
      <c r="H171" s="79"/>
      <c r="I171" s="81"/>
      <c r="J171" s="81">
        <v>375</v>
      </c>
      <c r="K171" s="81">
        <f t="shared" ref="K171" si="35">I171*J171</f>
        <v>0</v>
      </c>
      <c r="L171" s="36"/>
      <c r="M171" s="79"/>
    </row>
    <row r="172" spans="1:13" s="28" customFormat="1" ht="15" customHeight="1">
      <c r="A172" s="310"/>
      <c r="B172" s="310"/>
      <c r="C172" s="310"/>
      <c r="D172" s="310"/>
      <c r="E172" s="273" t="s">
        <v>9</v>
      </c>
      <c r="F172" s="108">
        <f>SUM(F170:F171)</f>
        <v>2187.1999999999998</v>
      </c>
      <c r="G172" s="273"/>
      <c r="H172" s="273"/>
      <c r="I172" s="81"/>
      <c r="J172" s="81"/>
      <c r="K172" s="103">
        <f>SUM(K170:K171)</f>
        <v>1158</v>
      </c>
      <c r="L172" s="103">
        <f>K172/F172</f>
        <v>0.52944403803950257</v>
      </c>
      <c r="M172" s="178" t="s">
        <v>829</v>
      </c>
    </row>
    <row r="173" spans="1:13" s="28" customFormat="1" ht="15" customHeight="1">
      <c r="A173" s="310">
        <v>9596</v>
      </c>
      <c r="B173" s="310" t="s">
        <v>769</v>
      </c>
      <c r="C173" s="310" t="s">
        <v>770</v>
      </c>
      <c r="D173" s="310" t="s">
        <v>113</v>
      </c>
      <c r="E173" s="310" t="s">
        <v>831</v>
      </c>
      <c r="F173" s="90">
        <f>6000*1.0936</f>
        <v>6561.5999999999995</v>
      </c>
      <c r="G173" s="311" t="s">
        <v>587</v>
      </c>
      <c r="H173" s="79"/>
      <c r="I173" s="80">
        <v>15</v>
      </c>
      <c r="J173" s="81">
        <v>456</v>
      </c>
      <c r="K173" s="94">
        <f t="shared" ref="K173:K174" si="36">I173*J173</f>
        <v>6840</v>
      </c>
      <c r="L173" s="79"/>
      <c r="M173" s="79"/>
    </row>
    <row r="174" spans="1:13" s="28" customFormat="1" ht="15" customHeight="1">
      <c r="A174" s="310"/>
      <c r="B174" s="310"/>
      <c r="C174" s="310"/>
      <c r="D174" s="310"/>
      <c r="E174" s="310"/>
      <c r="F174" s="87"/>
      <c r="G174" s="173" t="s">
        <v>298</v>
      </c>
      <c r="H174" s="79"/>
      <c r="I174" s="80"/>
      <c r="J174" s="81">
        <v>435</v>
      </c>
      <c r="K174" s="94">
        <f t="shared" si="36"/>
        <v>0</v>
      </c>
      <c r="L174" s="79"/>
      <c r="M174" s="79"/>
    </row>
    <row r="175" spans="1:13" s="28" customFormat="1" ht="15" customHeight="1">
      <c r="A175" s="310"/>
      <c r="B175" s="310"/>
      <c r="C175" s="310"/>
      <c r="D175" s="310"/>
      <c r="E175" s="273" t="s">
        <v>9</v>
      </c>
      <c r="F175" s="108">
        <f>SUM(F173:F174)</f>
        <v>6561.5999999999995</v>
      </c>
      <c r="G175" s="273"/>
      <c r="H175" s="273"/>
      <c r="I175" s="81"/>
      <c r="J175" s="81"/>
      <c r="K175" s="103">
        <f>SUM(K173:K174)</f>
        <v>6840</v>
      </c>
      <c r="L175" s="103">
        <f>K175/F175</f>
        <v>1.0424286759326995</v>
      </c>
      <c r="M175" s="79"/>
    </row>
    <row r="176" spans="1:13" s="107" customFormat="1" ht="15" customHeight="1">
      <c r="D176" s="133" t="s">
        <v>30</v>
      </c>
      <c r="E176" s="133"/>
      <c r="F176" s="134">
        <f>F158+F161+F169+F175</f>
        <v>18809.919999999998</v>
      </c>
      <c r="G176" s="135"/>
      <c r="H176" s="135"/>
      <c r="I176" s="135"/>
      <c r="J176" s="135"/>
      <c r="K176" s="134">
        <f>K158+K161+K163+K169+K172+K175</f>
        <v>31690.75</v>
      </c>
      <c r="L176" s="151">
        <f>K176/F176</f>
        <v>1.6847891963389532</v>
      </c>
    </row>
    <row r="177" spans="1:14" s="28" customFormat="1" ht="15" customHeight="1"/>
    <row r="178" spans="1:14" s="28" customFormat="1" ht="15" customHeight="1">
      <c r="A178" s="106" t="s">
        <v>42</v>
      </c>
      <c r="B178" s="106"/>
      <c r="C178" s="106"/>
      <c r="D178" s="106"/>
      <c r="E178" s="106"/>
      <c r="F178" s="107"/>
      <c r="G178" s="107"/>
      <c r="H178" s="107"/>
      <c r="I178" s="107"/>
      <c r="J178" s="107"/>
      <c r="K178" s="867" t="s">
        <v>851</v>
      </c>
      <c r="L178" s="867"/>
      <c r="M178" s="867"/>
    </row>
    <row r="179" spans="1:14" s="28" customFormat="1" ht="15" customHeight="1">
      <c r="A179" s="273" t="s">
        <v>0</v>
      </c>
      <c r="B179" s="273" t="s">
        <v>7</v>
      </c>
      <c r="C179" s="273" t="s">
        <v>13</v>
      </c>
      <c r="D179" s="273" t="s">
        <v>14</v>
      </c>
      <c r="E179" s="273" t="s">
        <v>8</v>
      </c>
      <c r="F179" s="273" t="s">
        <v>1</v>
      </c>
      <c r="G179" s="273" t="s">
        <v>2</v>
      </c>
      <c r="H179" s="273" t="s">
        <v>15</v>
      </c>
      <c r="I179" s="273" t="s">
        <v>3</v>
      </c>
      <c r="J179" s="273" t="s">
        <v>4</v>
      </c>
      <c r="K179" s="273" t="s">
        <v>5</v>
      </c>
      <c r="L179" s="273" t="s">
        <v>12</v>
      </c>
      <c r="M179" s="273" t="s">
        <v>6</v>
      </c>
      <c r="N179" s="30"/>
    </row>
    <row r="180" spans="1:14" s="28" customFormat="1" ht="15" customHeight="1">
      <c r="A180" s="273">
        <v>5393</v>
      </c>
      <c r="B180" s="310" t="s">
        <v>225</v>
      </c>
      <c r="C180" s="310" t="s">
        <v>224</v>
      </c>
      <c r="D180" s="310" t="s">
        <v>226</v>
      </c>
      <c r="E180" s="310" t="s">
        <v>93</v>
      </c>
      <c r="F180" s="87"/>
      <c r="G180" s="91" t="s">
        <v>227</v>
      </c>
      <c r="H180" s="112"/>
      <c r="I180" s="113"/>
      <c r="J180" s="81">
        <v>682</v>
      </c>
      <c r="K180" s="81">
        <f t="shared" ref="K180:K182" si="37">I180*J180</f>
        <v>0</v>
      </c>
      <c r="L180" s="79"/>
      <c r="M180" s="79"/>
    </row>
    <row r="181" spans="1:14" s="28" customFormat="1" ht="15" customHeight="1">
      <c r="A181" s="310"/>
      <c r="B181" s="310"/>
      <c r="C181" s="310"/>
      <c r="D181" s="310"/>
      <c r="E181" s="310"/>
      <c r="F181" s="87"/>
      <c r="G181" s="91" t="s">
        <v>228</v>
      </c>
      <c r="H181" s="109"/>
      <c r="I181" s="80"/>
      <c r="J181" s="81">
        <v>549</v>
      </c>
      <c r="K181" s="81">
        <f t="shared" si="37"/>
        <v>0</v>
      </c>
      <c r="L181" s="79"/>
      <c r="M181" s="79"/>
    </row>
    <row r="182" spans="1:14" s="28" customFormat="1" ht="15" customHeight="1">
      <c r="A182" s="310"/>
      <c r="B182" s="310"/>
      <c r="C182" s="310"/>
      <c r="D182" s="310"/>
      <c r="E182" s="310"/>
      <c r="F182" s="87"/>
      <c r="G182" s="91" t="s">
        <v>221</v>
      </c>
      <c r="H182" s="112"/>
      <c r="I182" s="113"/>
      <c r="J182" s="81">
        <v>980</v>
      </c>
      <c r="K182" s="81">
        <f t="shared" si="37"/>
        <v>0</v>
      </c>
      <c r="L182" s="79"/>
      <c r="M182" s="79"/>
    </row>
    <row r="183" spans="1:14" s="28" customFormat="1" ht="15" customHeight="1">
      <c r="A183" s="310"/>
      <c r="B183" s="310"/>
      <c r="C183" s="310"/>
      <c r="D183" s="310"/>
      <c r="E183" s="310"/>
      <c r="F183" s="87"/>
      <c r="G183" s="311" t="s">
        <v>211</v>
      </c>
      <c r="H183" s="79"/>
      <c r="I183" s="80"/>
      <c r="J183" s="81">
        <v>120</v>
      </c>
      <c r="K183" s="81">
        <f>I183*J183</f>
        <v>0</v>
      </c>
      <c r="L183" s="79"/>
      <c r="M183" s="79"/>
    </row>
    <row r="184" spans="1:14" s="28" customFormat="1" ht="15" customHeight="1">
      <c r="A184" s="310"/>
      <c r="B184" s="310"/>
      <c r="C184" s="310"/>
      <c r="D184" s="310"/>
      <c r="E184" s="310"/>
      <c r="F184" s="87"/>
      <c r="G184" s="311" t="s">
        <v>212</v>
      </c>
      <c r="H184" s="79"/>
      <c r="I184" s="80"/>
      <c r="J184" s="81">
        <v>527</v>
      </c>
      <c r="K184" s="81">
        <f t="shared" ref="K184:K186" si="38">I184*J184</f>
        <v>0</v>
      </c>
      <c r="L184" s="79"/>
      <c r="M184" s="79"/>
    </row>
    <row r="185" spans="1:14" s="28" customFormat="1" ht="15" customHeight="1">
      <c r="A185" s="310"/>
      <c r="B185" s="310"/>
      <c r="C185" s="310"/>
      <c r="D185" s="310"/>
      <c r="E185" s="310"/>
      <c r="F185" s="87"/>
      <c r="G185" s="311" t="s">
        <v>213</v>
      </c>
      <c r="H185" s="79"/>
      <c r="I185" s="80"/>
      <c r="J185" s="81">
        <v>348</v>
      </c>
      <c r="K185" s="81">
        <f t="shared" si="38"/>
        <v>0</v>
      </c>
      <c r="L185" s="79"/>
      <c r="M185" s="79"/>
    </row>
    <row r="186" spans="1:14" s="28" customFormat="1" ht="15" customHeight="1">
      <c r="A186" s="310"/>
      <c r="B186" s="310"/>
      <c r="C186" s="310"/>
      <c r="D186" s="310"/>
      <c r="E186" s="310"/>
      <c r="F186" s="87"/>
      <c r="G186" s="311" t="s">
        <v>45</v>
      </c>
      <c r="H186" s="79"/>
      <c r="I186" s="80"/>
      <c r="J186" s="81">
        <v>45</v>
      </c>
      <c r="K186" s="81">
        <f t="shared" si="38"/>
        <v>0</v>
      </c>
      <c r="L186" s="79"/>
      <c r="M186" s="79"/>
    </row>
    <row r="187" spans="1:14" s="28" customFormat="1" ht="15" customHeight="1">
      <c r="A187" s="310"/>
      <c r="B187" s="310"/>
      <c r="C187" s="310"/>
      <c r="D187" s="310"/>
      <c r="E187" s="273" t="s">
        <v>9</v>
      </c>
      <c r="F187" s="108">
        <f>SUM(F180:F186)</f>
        <v>0</v>
      </c>
      <c r="G187" s="273"/>
      <c r="H187" s="273"/>
      <c r="I187" s="81"/>
      <c r="J187" s="81"/>
      <c r="K187" s="103">
        <f>SUM(K180:K186)</f>
        <v>0</v>
      </c>
      <c r="L187" s="152" t="e">
        <f>K187/F187</f>
        <v>#DIV/0!</v>
      </c>
      <c r="M187" s="79"/>
    </row>
    <row r="188" spans="1:14" s="28" customFormat="1" ht="15" customHeight="1">
      <c r="A188" s="107"/>
      <c r="B188" s="107"/>
      <c r="C188" s="107"/>
      <c r="D188" s="133" t="s">
        <v>30</v>
      </c>
      <c r="E188" s="133"/>
      <c r="F188" s="134">
        <f>F187</f>
        <v>0</v>
      </c>
      <c r="G188" s="135"/>
      <c r="H188" s="135"/>
      <c r="I188" s="135"/>
      <c r="J188" s="135"/>
      <c r="K188" s="134">
        <f>K187</f>
        <v>0</v>
      </c>
      <c r="L188" s="151" t="e">
        <f>K188/F188</f>
        <v>#DIV/0!</v>
      </c>
      <c r="M188" s="107"/>
    </row>
    <row r="189" spans="1:14" s="28" customFormat="1" ht="15" customHeight="1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</row>
    <row r="190" spans="1:14" s="28" customFormat="1" ht="15" customHeight="1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</row>
    <row r="191" spans="1:14" s="28" customFormat="1" ht="15" customHeight="1">
      <c r="D191" s="133" t="s">
        <v>1009</v>
      </c>
      <c r="E191" s="327">
        <f>F138</f>
        <v>3625.2839999999997</v>
      </c>
      <c r="F191" s="133"/>
      <c r="G191" s="134">
        <f>K14+K23+K29+K34+K138+K153+K176</f>
        <v>93793.525999999998</v>
      </c>
      <c r="H191" s="135"/>
      <c r="I191" s="135"/>
      <c r="J191" s="135"/>
      <c r="K191" s="135"/>
      <c r="L191" s="134">
        <f>G191/E191</f>
        <v>25.872049196697418</v>
      </c>
    </row>
    <row r="192" spans="1:14" s="28" customFormat="1" ht="15" customHeight="1">
      <c r="D192" s="109" t="s">
        <v>855</v>
      </c>
      <c r="E192" s="358"/>
      <c r="F192" s="109"/>
      <c r="G192" s="359">
        <f>K37+K38+K39+K43+K44+K45+K46+K50+K51+K52+K56+K57+K58+K62+K63+K64+K68+K69+K70+K74+K75+K76+K80+K81+K82+K86+K87+K88+K92+K93+K94+K98+K99+K100+K104+K105+K106+K107+K111+K112+K113+K117+K118+K119+K123+K124+K125+K129+K130+K131+K132+K133+K134</f>
        <v>38561.934000000001</v>
      </c>
      <c r="H192" s="370"/>
      <c r="I192" s="359">
        <f>'01'!G146+'02'!G192</f>
        <v>138077.88700000002</v>
      </c>
      <c r="J192" s="345">
        <f>G192+M210</f>
        <v>39675.482000000004</v>
      </c>
      <c r="K192" s="360"/>
      <c r="L192" s="940"/>
    </row>
    <row r="193" spans="2:13" s="28" customFormat="1" ht="15" customHeight="1">
      <c r="D193" s="323" t="s">
        <v>854</v>
      </c>
      <c r="E193" s="361"/>
      <c r="F193" s="323"/>
      <c r="G193" s="359">
        <f>G191-G192</f>
        <v>55231.591999999997</v>
      </c>
      <c r="H193" s="370"/>
      <c r="I193" s="359">
        <f>'01'!G147+'02'!G193</f>
        <v>195689.092</v>
      </c>
      <c r="J193" s="360"/>
      <c r="K193" s="360"/>
      <c r="L193" s="941"/>
    </row>
    <row r="194" spans="2:13" s="28" customFormat="1" ht="15" customHeight="1">
      <c r="D194" s="109" t="s">
        <v>853</v>
      </c>
      <c r="E194" s="109"/>
      <c r="F194" s="109"/>
      <c r="G194" s="328">
        <f>SUM(G192:G193)</f>
        <v>93793.525999999998</v>
      </c>
      <c r="H194" s="374"/>
      <c r="I194" s="378">
        <f>'01'!G148+'02'!G194</f>
        <v>333766.97899999999</v>
      </c>
      <c r="J194" s="372"/>
      <c r="K194" s="373"/>
      <c r="L194" s="363">
        <f>G194/E191</f>
        <v>25.872049196697418</v>
      </c>
    </row>
    <row r="195" spans="2:13" s="28" customFormat="1" ht="15" customHeight="1">
      <c r="D195" s="395" t="s">
        <v>906</v>
      </c>
      <c r="E195" s="408"/>
      <c r="F195" s="317"/>
      <c r="G195" s="465">
        <f>'01'!G149+'02'!M210</f>
        <v>2348.5680000000002</v>
      </c>
      <c r="H195" s="391"/>
      <c r="I195" s="392"/>
      <c r="J195" s="391"/>
      <c r="K195" s="391"/>
      <c r="L195" s="393"/>
    </row>
    <row r="196" spans="2:13" s="28" customFormat="1" ht="15" customHeight="1">
      <c r="D196" s="29"/>
      <c r="E196" s="29"/>
      <c r="F196" s="29"/>
      <c r="G196" s="29"/>
      <c r="H196" s="29"/>
      <c r="I196" s="29"/>
      <c r="J196" s="29"/>
      <c r="K196" s="29"/>
      <c r="L196" s="29"/>
    </row>
    <row r="197" spans="2:13" s="28" customFormat="1" ht="15" customHeight="1">
      <c r="D197" s="829" t="s">
        <v>852</v>
      </c>
      <c r="E197" s="829"/>
      <c r="F197" s="357">
        <f>G211</f>
        <v>149200</v>
      </c>
      <c r="G197" s="29"/>
      <c r="H197" s="30"/>
      <c r="I197" s="29"/>
      <c r="J197" s="29"/>
      <c r="K197" s="29"/>
      <c r="L197" s="29"/>
      <c r="M197"/>
    </row>
    <row r="198" spans="2:13" s="28" customFormat="1" ht="15" customHeight="1">
      <c r="D198" s="829" t="s">
        <v>835</v>
      </c>
      <c r="E198" s="829"/>
      <c r="F198" s="357">
        <f>G203</f>
        <v>32116</v>
      </c>
      <c r="G198" s="29"/>
      <c r="H198" s="500" t="s">
        <v>908</v>
      </c>
      <c r="I198" s="830" t="s">
        <v>279</v>
      </c>
      <c r="J198" s="831"/>
      <c r="K198" s="80">
        <f>0.1+0.3+0.2</f>
        <v>0.60000000000000009</v>
      </c>
      <c r="L198" s="81">
        <v>689</v>
      </c>
      <c r="M198" s="81">
        <f t="shared" ref="M198" si="39">K198*L198</f>
        <v>413.40000000000003</v>
      </c>
    </row>
    <row r="199" spans="2:13" s="28" customFormat="1" ht="15" customHeight="1">
      <c r="D199" s="829" t="s">
        <v>836</v>
      </c>
      <c r="E199" s="829"/>
      <c r="F199" s="357">
        <f>G212</f>
        <v>181316</v>
      </c>
      <c r="G199" s="29"/>
      <c r="H199" s="500" t="s">
        <v>909</v>
      </c>
      <c r="I199" s="830" t="s">
        <v>346</v>
      </c>
      <c r="J199" s="831"/>
      <c r="K199" s="80">
        <f>0.04+0.02</f>
        <v>0.06</v>
      </c>
      <c r="L199" s="81">
        <v>3837</v>
      </c>
      <c r="M199" s="81">
        <f t="shared" ref="M199:M208" si="40">K199*L199</f>
        <v>230.22</v>
      </c>
    </row>
    <row r="200" spans="2:13" s="28" customFormat="1" ht="15" customHeight="1">
      <c r="D200" s="330" t="s">
        <v>847</v>
      </c>
      <c r="E200" s="330"/>
      <c r="F200" s="357">
        <f>F197-G193</f>
        <v>93968.407999999996</v>
      </c>
      <c r="G200" s="29"/>
      <c r="H200" s="500" t="s">
        <v>910</v>
      </c>
      <c r="I200" s="830" t="s">
        <v>288</v>
      </c>
      <c r="J200" s="831"/>
      <c r="K200" s="80">
        <v>1.2E-2</v>
      </c>
      <c r="L200" s="81">
        <v>1346</v>
      </c>
      <c r="M200" s="81">
        <f t="shared" si="40"/>
        <v>16.152000000000001</v>
      </c>
    </row>
    <row r="201" spans="2:13" s="28" customFormat="1" ht="15" customHeight="1">
      <c r="D201" s="29"/>
      <c r="E201" s="29"/>
      <c r="F201" s="29"/>
      <c r="G201" s="29"/>
      <c r="H201" s="500" t="s">
        <v>908</v>
      </c>
      <c r="I201" s="832" t="s">
        <v>562</v>
      </c>
      <c r="J201" s="833"/>
      <c r="K201" s="80">
        <v>6.8000000000000005E-2</v>
      </c>
      <c r="L201" s="81">
        <v>2885</v>
      </c>
      <c r="M201" s="81">
        <f t="shared" si="40"/>
        <v>196.18</v>
      </c>
    </row>
    <row r="202" spans="2:13" s="28" customFormat="1" ht="15" customHeight="1">
      <c r="B202" s="836" t="s">
        <v>833</v>
      </c>
      <c r="C202" s="837"/>
      <c r="D202" s="273" t="s">
        <v>844</v>
      </c>
      <c r="E202" s="273" t="s">
        <v>845</v>
      </c>
      <c r="F202" s="273" t="s">
        <v>846</v>
      </c>
      <c r="G202" s="273" t="s">
        <v>5</v>
      </c>
      <c r="H202" s="500" t="s">
        <v>912</v>
      </c>
      <c r="I202" s="834" t="s">
        <v>190</v>
      </c>
      <c r="J202" s="835"/>
      <c r="K202" s="80">
        <v>1.9E-2</v>
      </c>
      <c r="L202" s="81">
        <v>644</v>
      </c>
      <c r="M202" s="81">
        <f t="shared" si="40"/>
        <v>12.235999999999999</v>
      </c>
    </row>
    <row r="203" spans="2:13" s="28" customFormat="1" ht="15" customHeight="1">
      <c r="D203" s="273" t="s">
        <v>837</v>
      </c>
      <c r="E203" s="109">
        <v>15.5</v>
      </c>
      <c r="F203" s="332">
        <v>2072</v>
      </c>
      <c r="G203" s="329">
        <f>F203*E203</f>
        <v>32116</v>
      </c>
      <c r="H203" s="500" t="s">
        <v>911</v>
      </c>
      <c r="I203" s="830" t="s">
        <v>186</v>
      </c>
      <c r="J203" s="831"/>
      <c r="K203" s="80">
        <v>0.05</v>
      </c>
      <c r="L203" s="81">
        <v>2382</v>
      </c>
      <c r="M203" s="81">
        <f t="shared" si="40"/>
        <v>119.10000000000001</v>
      </c>
    </row>
    <row r="204" spans="2:13" s="28" customFormat="1" ht="15" customHeight="1">
      <c r="D204" s="273"/>
      <c r="E204" s="109"/>
      <c r="F204" s="332"/>
      <c r="G204" s="329"/>
      <c r="H204" s="500" t="s">
        <v>909</v>
      </c>
      <c r="I204" s="421"/>
      <c r="J204" s="422"/>
      <c r="K204" s="80"/>
      <c r="L204" s="81"/>
      <c r="M204" s="81"/>
    </row>
    <row r="205" spans="2:13" s="1" customFormat="1" ht="15" customHeight="1">
      <c r="B205" s="29"/>
      <c r="C205" s="29"/>
      <c r="D205" s="322" t="s">
        <v>843</v>
      </c>
      <c r="E205" s="317"/>
      <c r="F205" s="321">
        <f>SUM(F203:F204)</f>
        <v>2072</v>
      </c>
      <c r="G205" s="320">
        <f>SUM(G203:G204)</f>
        <v>32116</v>
      </c>
      <c r="H205" s="500" t="s">
        <v>911</v>
      </c>
      <c r="I205" s="417"/>
      <c r="J205" s="418"/>
      <c r="K205" s="394"/>
      <c r="L205" s="394"/>
      <c r="M205" s="437"/>
    </row>
    <row r="206" spans="2:13" s="1" customFormat="1" ht="15" customHeight="1">
      <c r="B206" s="29"/>
      <c r="C206" s="29"/>
      <c r="D206" s="322"/>
      <c r="E206" s="317"/>
      <c r="F206" s="321"/>
      <c r="G206" s="320"/>
      <c r="H206" s="30"/>
      <c r="I206" s="417"/>
      <c r="J206" s="418"/>
      <c r="K206" s="394"/>
      <c r="L206" s="394"/>
      <c r="M206" s="437"/>
    </row>
    <row r="207" spans="2:13" s="28" customFormat="1" ht="15" customHeight="1">
      <c r="D207" s="364" t="s">
        <v>848</v>
      </c>
      <c r="E207" s="109">
        <v>336</v>
      </c>
      <c r="F207" s="332">
        <v>100</v>
      </c>
      <c r="G207" s="329">
        <f t="shared" ref="G207:G210" si="41">F207*E207</f>
        <v>33600</v>
      </c>
      <c r="H207" s="30"/>
      <c r="I207" s="830" t="s">
        <v>192</v>
      </c>
      <c r="J207" s="831"/>
      <c r="K207" s="80">
        <v>0.01</v>
      </c>
      <c r="L207" s="81">
        <v>1126</v>
      </c>
      <c r="M207" s="81">
        <f t="shared" si="40"/>
        <v>11.26</v>
      </c>
    </row>
    <row r="208" spans="2:13" s="28" customFormat="1" ht="15" customHeight="1">
      <c r="D208" s="273" t="s">
        <v>849</v>
      </c>
      <c r="E208" s="109">
        <v>34</v>
      </c>
      <c r="F208" s="332">
        <f>50+1000+200</f>
        <v>1250</v>
      </c>
      <c r="G208" s="329">
        <f t="shared" si="41"/>
        <v>42500</v>
      </c>
      <c r="H208" s="30"/>
      <c r="I208" s="830" t="s">
        <v>193</v>
      </c>
      <c r="J208" s="831"/>
      <c r="K208" s="80">
        <v>0.1</v>
      </c>
      <c r="L208" s="81">
        <v>1150</v>
      </c>
      <c r="M208" s="81">
        <f t="shared" si="40"/>
        <v>115</v>
      </c>
    </row>
    <row r="209" spans="1:13" s="28" customFormat="1" ht="15" customHeight="1">
      <c r="D209" s="365" t="s">
        <v>27</v>
      </c>
      <c r="E209" s="283">
        <v>22</v>
      </c>
      <c r="F209" s="80">
        <v>3000</v>
      </c>
      <c r="G209" s="329">
        <f t="shared" si="41"/>
        <v>66000</v>
      </c>
      <c r="H209" s="30"/>
      <c r="I209" s="411"/>
      <c r="J209" s="412"/>
      <c r="K209" s="80"/>
      <c r="L209" s="81"/>
      <c r="M209" s="81"/>
    </row>
    <row r="210" spans="1:13" s="28" customFormat="1" ht="15" customHeight="1">
      <c r="D210" s="273" t="s">
        <v>850</v>
      </c>
      <c r="E210" s="109">
        <v>284</v>
      </c>
      <c r="F210" s="332">
        <v>25</v>
      </c>
      <c r="G210" s="329">
        <f t="shared" si="41"/>
        <v>7100</v>
      </c>
      <c r="H210" s="29"/>
      <c r="I210" s="844" t="s">
        <v>906</v>
      </c>
      <c r="J210" s="845"/>
      <c r="K210" s="488">
        <f>SUM(K198:K208)</f>
        <v>0.91900000000000026</v>
      </c>
      <c r="L210" s="124"/>
      <c r="M210" s="489">
        <f>SUM(M198:M208)</f>
        <v>1113.548</v>
      </c>
    </row>
    <row r="211" spans="1:13" s="1" customFormat="1" ht="15" customHeight="1">
      <c r="D211" s="322" t="s">
        <v>843</v>
      </c>
      <c r="E211" s="317"/>
      <c r="F211" s="321">
        <f>SUM(F207:F210)</f>
        <v>4375</v>
      </c>
      <c r="G211" s="320">
        <f>SUM(G207:G210)</f>
        <v>149200</v>
      </c>
      <c r="M211" s="263">
        <f>G192+M210</f>
        <v>39675.482000000004</v>
      </c>
    </row>
    <row r="212" spans="1:13" ht="15" customHeight="1">
      <c r="B212" s="28"/>
      <c r="C212" s="28"/>
      <c r="D212" s="322" t="s">
        <v>969</v>
      </c>
      <c r="E212" s="317"/>
      <c r="F212" s="321">
        <f>F205+F211</f>
        <v>6447</v>
      </c>
      <c r="G212" s="320">
        <f>G205+G211</f>
        <v>181316</v>
      </c>
      <c r="H212" s="28"/>
      <c r="I212" s="28"/>
      <c r="J212" s="28"/>
      <c r="K212" s="28"/>
      <c r="L212" s="28"/>
    </row>
    <row r="213" spans="1:13" s="28" customFormat="1" ht="15" customHeight="1"/>
    <row r="214" spans="1:13" s="28" customFormat="1" ht="15" customHeight="1"/>
    <row r="215" spans="1:13" s="28" customFormat="1" ht="15" customHeight="1"/>
    <row r="216" spans="1:13" s="28" customFormat="1" ht="15" customHeight="1"/>
    <row r="217" spans="1:13" s="28" customFormat="1" ht="15" customHeight="1"/>
    <row r="218" spans="1:13" s="28" customFormat="1" ht="15" customHeight="1"/>
    <row r="219" spans="1:13" s="64" customFormat="1" ht="15" customHeight="1">
      <c r="A219" s="840" t="s">
        <v>240</v>
      </c>
      <c r="B219" s="840"/>
      <c r="C219" s="840" t="s">
        <v>765</v>
      </c>
      <c r="D219" s="840"/>
      <c r="E219" s="840" t="s">
        <v>764</v>
      </c>
      <c r="F219" s="840"/>
      <c r="G219" s="380" t="s">
        <v>66</v>
      </c>
      <c r="H219" s="840" t="s">
        <v>411</v>
      </c>
      <c r="I219" s="840"/>
      <c r="J219" s="840"/>
      <c r="K219" s="840" t="s">
        <v>68</v>
      </c>
      <c r="L219" s="840"/>
      <c r="M219" s="840"/>
    </row>
    <row r="220" spans="1:13" s="28" customFormat="1" ht="15" customHeight="1"/>
    <row r="221" spans="1:13" s="28" customFormat="1" ht="15" customHeight="1"/>
    <row r="222" spans="1:13" s="28" customFormat="1" ht="15" customHeight="1">
      <c r="A222" s="247">
        <v>1</v>
      </c>
    </row>
    <row r="223" spans="1:13" s="28" customFormat="1" ht="15" customHeight="1"/>
    <row r="224" spans="1:13" s="28" customFormat="1" ht="15" customHeight="1"/>
    <row r="225" spans="1:14" s="28" customFormat="1" ht="15" customHeigh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</row>
    <row r="226" spans="1:14" ht="15" customHeight="1"/>
    <row r="227" spans="1:14" ht="15" customHeight="1"/>
    <row r="228" spans="1:14" ht="15" customHeight="1"/>
    <row r="229" spans="1:14" ht="15" customHeight="1"/>
    <row r="230" spans="1:14" ht="15" customHeight="1"/>
    <row r="231" spans="1:14" ht="15" customHeight="1"/>
    <row r="232" spans="1:14" ht="15" customHeight="1">
      <c r="G232" s="318" t="s">
        <v>844</v>
      </c>
      <c r="H232" s="318" t="s">
        <v>845</v>
      </c>
      <c r="I232" s="318" t="s">
        <v>846</v>
      </c>
      <c r="J232" s="318" t="s">
        <v>5</v>
      </c>
    </row>
    <row r="233" spans="1:14" ht="15" customHeight="1">
      <c r="G233" s="312" t="s">
        <v>837</v>
      </c>
      <c r="H233" s="102">
        <v>15.5</v>
      </c>
      <c r="I233" s="147">
        <f>888</f>
        <v>888</v>
      </c>
      <c r="J233" s="145">
        <f>I233*H233</f>
        <v>13764</v>
      </c>
    </row>
    <row r="234" spans="1:14" ht="15" customHeight="1">
      <c r="G234" s="146" t="s">
        <v>838</v>
      </c>
      <c r="H234" s="102">
        <v>34</v>
      </c>
      <c r="I234" s="147">
        <f>50</f>
        <v>50</v>
      </c>
      <c r="J234" s="145">
        <f t="shared" ref="J234:J238" si="42">I234*H234</f>
        <v>1700</v>
      </c>
    </row>
    <row r="235" spans="1:14" ht="15" customHeight="1">
      <c r="G235" s="312" t="s">
        <v>839</v>
      </c>
      <c r="H235" s="102">
        <v>120</v>
      </c>
      <c r="I235" s="147">
        <f>120</f>
        <v>120</v>
      </c>
      <c r="J235" s="145">
        <f t="shared" si="42"/>
        <v>14400</v>
      </c>
    </row>
    <row r="236" spans="1:14" ht="15" customHeight="1">
      <c r="G236" s="312" t="s">
        <v>842</v>
      </c>
      <c r="H236" s="102">
        <v>416</v>
      </c>
      <c r="I236" s="147">
        <v>180</v>
      </c>
      <c r="J236" s="145">
        <f t="shared" si="42"/>
        <v>74880</v>
      </c>
    </row>
    <row r="237" spans="1:14" ht="15" customHeight="1">
      <c r="G237" s="148" t="s">
        <v>840</v>
      </c>
      <c r="H237" s="102">
        <v>165</v>
      </c>
      <c r="I237" s="102">
        <v>240</v>
      </c>
      <c r="J237" s="145">
        <f t="shared" si="42"/>
        <v>39600</v>
      </c>
    </row>
    <row r="238" spans="1:14" ht="15" customHeight="1">
      <c r="G238" s="312" t="s">
        <v>841</v>
      </c>
      <c r="H238" s="102">
        <v>46</v>
      </c>
      <c r="I238" s="147">
        <v>510</v>
      </c>
      <c r="J238" s="145">
        <f t="shared" si="42"/>
        <v>23460</v>
      </c>
    </row>
    <row r="239" spans="1:14" ht="15.75">
      <c r="G239" s="319" t="s">
        <v>843</v>
      </c>
      <c r="H239" s="317"/>
      <c r="I239" s="317"/>
      <c r="J239" s="320">
        <f>SUM(J233:J238)</f>
        <v>167804</v>
      </c>
    </row>
    <row r="240" spans="1:14">
      <c r="M240">
        <f>888*15.5</f>
        <v>13764</v>
      </c>
    </row>
  </sheetData>
  <mergeCells count="30">
    <mergeCell ref="A1:M1"/>
    <mergeCell ref="A2:M2"/>
    <mergeCell ref="A3:M3"/>
    <mergeCell ref="B202:C202"/>
    <mergeCell ref="L192:L193"/>
    <mergeCell ref="K178:M178"/>
    <mergeCell ref="K4:M4"/>
    <mergeCell ref="K15:M15"/>
    <mergeCell ref="K24:M24"/>
    <mergeCell ref="K30:M30"/>
    <mergeCell ref="K35:M35"/>
    <mergeCell ref="K139:M139"/>
    <mergeCell ref="K154:M154"/>
    <mergeCell ref="I198:J198"/>
    <mergeCell ref="I199:J199"/>
    <mergeCell ref="I200:J200"/>
    <mergeCell ref="A219:B219"/>
    <mergeCell ref="C219:D219"/>
    <mergeCell ref="H219:J219"/>
    <mergeCell ref="K219:M219"/>
    <mergeCell ref="D197:E197"/>
    <mergeCell ref="D198:E198"/>
    <mergeCell ref="D199:E199"/>
    <mergeCell ref="E219:F219"/>
    <mergeCell ref="I201:J201"/>
    <mergeCell ref="I202:J202"/>
    <mergeCell ref="I203:J203"/>
    <mergeCell ref="I207:J207"/>
    <mergeCell ref="I208:J208"/>
    <mergeCell ref="I210:J210"/>
  </mergeCells>
  <pageMargins left="0.2" right="0.2" top="0.5" bottom="0.25" header="0.3" footer="0.3"/>
  <pageSetup scale="8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553"/>
  <sheetViews>
    <sheetView topLeftCell="A142" workbookViewId="0">
      <selection activeCell="B6" sqref="B6:F6"/>
    </sheetView>
  </sheetViews>
  <sheetFormatPr defaultRowHeight="15"/>
  <cols>
    <col min="1" max="1" width="9.85546875" customWidth="1"/>
    <col min="2" max="2" width="13.28515625" bestFit="1" customWidth="1"/>
    <col min="3" max="3" width="16.140625" bestFit="1" customWidth="1"/>
    <col min="4" max="4" width="19.42578125" customWidth="1"/>
    <col min="5" max="5" width="14" bestFit="1" customWidth="1"/>
    <col min="6" max="6" width="13.5703125" customWidth="1"/>
    <col min="7" max="7" width="24.42578125" bestFit="1" customWidth="1"/>
    <col min="8" max="8" width="6.42578125" bestFit="1" customWidth="1"/>
    <col min="9" max="9" width="11.140625" bestFit="1" customWidth="1"/>
    <col min="10" max="10" width="9.5703125" bestFit="1" customWidth="1"/>
    <col min="11" max="11" width="11.28515625" customWidth="1"/>
    <col min="12" max="12" width="10" customWidth="1"/>
    <col min="13" max="14" width="12.5703125" customWidth="1"/>
  </cols>
  <sheetData>
    <row r="1" spans="1:14" ht="21">
      <c r="A1" s="846" t="s">
        <v>146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324"/>
    </row>
    <row r="2" spans="1:14" s="334" customFormat="1" ht="15" customHeight="1">
      <c r="A2" s="880" t="s">
        <v>147</v>
      </c>
      <c r="B2" s="880"/>
      <c r="C2" s="880"/>
      <c r="D2" s="880"/>
      <c r="E2" s="880"/>
      <c r="F2" s="880"/>
      <c r="G2" s="880"/>
      <c r="H2" s="880"/>
      <c r="I2" s="880"/>
      <c r="J2" s="880"/>
      <c r="K2" s="880"/>
      <c r="L2" s="880"/>
      <c r="M2" s="880"/>
      <c r="N2" s="333"/>
    </row>
    <row r="3" spans="1:14" s="336" customFormat="1" ht="15" customHeight="1">
      <c r="A3" s="866" t="s">
        <v>148</v>
      </c>
      <c r="B3" s="866"/>
      <c r="C3" s="866"/>
      <c r="D3" s="866"/>
      <c r="E3" s="866"/>
      <c r="F3" s="866"/>
      <c r="G3" s="866"/>
      <c r="H3" s="866"/>
      <c r="I3" s="866"/>
      <c r="J3" s="866"/>
      <c r="K3" s="866"/>
      <c r="L3" s="866"/>
      <c r="M3" s="866"/>
      <c r="N3" s="335"/>
    </row>
    <row r="4" spans="1:14" s="334" customFormat="1" ht="15" customHeight="1">
      <c r="A4" s="106" t="s">
        <v>21</v>
      </c>
      <c r="B4" s="106"/>
      <c r="C4" s="106"/>
      <c r="D4" s="106"/>
      <c r="E4" s="106"/>
      <c r="F4" s="107"/>
      <c r="G4" s="107"/>
      <c r="H4" s="107"/>
      <c r="I4" s="107"/>
      <c r="J4" s="107"/>
      <c r="K4" s="867" t="s">
        <v>763</v>
      </c>
      <c r="L4" s="867"/>
      <c r="M4" s="867"/>
      <c r="N4" s="337"/>
    </row>
    <row r="5" spans="1:14" s="334" customFormat="1" ht="15" customHeight="1">
      <c r="A5" s="273" t="s">
        <v>0</v>
      </c>
      <c r="B5" s="273" t="s">
        <v>7</v>
      </c>
      <c r="C5" s="273" t="s">
        <v>13</v>
      </c>
      <c r="D5" s="273" t="s">
        <v>14</v>
      </c>
      <c r="E5" s="273" t="s">
        <v>8</v>
      </c>
      <c r="F5" s="273" t="s">
        <v>1</v>
      </c>
      <c r="G5" s="273" t="s">
        <v>2</v>
      </c>
      <c r="H5" s="273" t="s">
        <v>15</v>
      </c>
      <c r="I5" s="273" t="s">
        <v>3</v>
      </c>
      <c r="J5" s="273" t="s">
        <v>4</v>
      </c>
      <c r="K5" s="273" t="s">
        <v>5</v>
      </c>
      <c r="L5" s="273" t="s">
        <v>12</v>
      </c>
      <c r="M5" s="273" t="s">
        <v>6</v>
      </c>
      <c r="N5" s="337"/>
    </row>
    <row r="6" spans="1:14" s="334" customFormat="1" ht="15" customHeight="1">
      <c r="A6" s="310">
        <v>1</v>
      </c>
      <c r="B6" s="310" t="s">
        <v>767</v>
      </c>
      <c r="C6" s="89" t="s">
        <v>766</v>
      </c>
      <c r="D6" s="89" t="s">
        <v>465</v>
      </c>
      <c r="E6" s="310"/>
      <c r="F6" s="87">
        <f>2615*1.0936</f>
        <v>2859.7639999999997</v>
      </c>
      <c r="G6" s="517" t="s">
        <v>1070</v>
      </c>
      <c r="H6" s="79"/>
      <c r="I6" s="80">
        <v>5</v>
      </c>
      <c r="J6" s="81">
        <v>227</v>
      </c>
      <c r="K6" s="81">
        <f t="shared" ref="K6:K7" si="0">I6*J6</f>
        <v>1135</v>
      </c>
      <c r="L6" s="79"/>
      <c r="M6" s="156">
        <f>I6</f>
        <v>5</v>
      </c>
      <c r="N6" s="338" t="s">
        <v>173</v>
      </c>
    </row>
    <row r="7" spans="1:14" s="334" customFormat="1" ht="15" customHeight="1">
      <c r="A7" s="310"/>
      <c r="B7" s="310"/>
      <c r="C7" s="310"/>
      <c r="D7" s="310"/>
      <c r="E7" s="310"/>
      <c r="F7" s="90"/>
      <c r="G7" s="517" t="s">
        <v>1067</v>
      </c>
      <c r="H7" s="79"/>
      <c r="I7" s="80">
        <v>3</v>
      </c>
      <c r="J7" s="81">
        <v>416</v>
      </c>
      <c r="K7" s="81">
        <f t="shared" si="0"/>
        <v>1248</v>
      </c>
      <c r="L7" s="79"/>
      <c r="M7" s="156">
        <f>I7+I19+I25</f>
        <v>62</v>
      </c>
      <c r="N7" s="338" t="s">
        <v>174</v>
      </c>
    </row>
    <row r="8" spans="1:14" s="334" customFormat="1" ht="15" customHeight="1">
      <c r="A8" s="310"/>
      <c r="B8" s="310"/>
      <c r="C8" s="310"/>
      <c r="D8" s="310"/>
      <c r="E8" s="310"/>
      <c r="F8" s="90"/>
      <c r="G8" s="517" t="s">
        <v>1065</v>
      </c>
      <c r="H8" s="79"/>
      <c r="I8" s="80">
        <v>4</v>
      </c>
      <c r="J8" s="81">
        <v>165</v>
      </c>
      <c r="K8" s="81">
        <f>I8*J8</f>
        <v>660</v>
      </c>
      <c r="L8" s="79"/>
      <c r="M8" s="156">
        <f>I8+I20+I26</f>
        <v>38</v>
      </c>
      <c r="N8" s="338" t="s">
        <v>172</v>
      </c>
    </row>
    <row r="9" spans="1:14" s="334" customFormat="1" ht="15" customHeight="1">
      <c r="A9" s="310"/>
      <c r="B9" s="310"/>
      <c r="C9" s="310"/>
      <c r="D9" s="310"/>
      <c r="E9" s="273"/>
      <c r="F9" s="90"/>
      <c r="G9" s="273"/>
      <c r="H9" s="273"/>
      <c r="I9" s="80"/>
      <c r="J9" s="81"/>
      <c r="K9" s="103"/>
      <c r="L9" s="103"/>
      <c r="M9" s="156">
        <f>I17+I23+I32</f>
        <v>336</v>
      </c>
      <c r="N9" s="338" t="s">
        <v>24</v>
      </c>
    </row>
    <row r="10" spans="1:14" s="334" customFormat="1" ht="15" customHeight="1">
      <c r="A10" s="310"/>
      <c r="B10" s="310"/>
      <c r="C10" s="310"/>
      <c r="D10" s="310"/>
      <c r="E10" s="310"/>
      <c r="F10" s="90"/>
      <c r="G10" s="310"/>
      <c r="H10" s="79"/>
      <c r="I10" s="80"/>
      <c r="J10" s="81"/>
      <c r="K10" s="81"/>
      <c r="L10" s="79"/>
      <c r="M10" s="156">
        <f>I18+I24</f>
        <v>103</v>
      </c>
      <c r="N10" s="338" t="s">
        <v>175</v>
      </c>
    </row>
    <row r="11" spans="1:14" s="334" customFormat="1" ht="15" customHeight="1">
      <c r="A11" s="310"/>
      <c r="B11" s="310"/>
      <c r="C11" s="310"/>
      <c r="D11" s="310"/>
      <c r="E11" s="273"/>
      <c r="F11" s="90"/>
      <c r="G11" s="88"/>
      <c r="H11" s="79"/>
      <c r="I11" s="80"/>
      <c r="J11" s="81"/>
      <c r="K11" s="81"/>
      <c r="L11" s="103"/>
      <c r="M11" s="156">
        <f>I21+I27</f>
        <v>28</v>
      </c>
      <c r="N11" s="339" t="s">
        <v>176</v>
      </c>
    </row>
    <row r="12" spans="1:14" s="334" customFormat="1" ht="15" customHeight="1">
      <c r="A12" s="310"/>
      <c r="B12" s="310"/>
      <c r="C12" s="310"/>
      <c r="D12" s="310"/>
      <c r="E12" s="310"/>
      <c r="F12" s="90"/>
      <c r="G12" s="310"/>
      <c r="H12" s="79"/>
      <c r="I12" s="80"/>
      <c r="J12" s="81"/>
      <c r="K12" s="81"/>
      <c r="L12" s="79"/>
      <c r="M12" s="156">
        <f>I33</f>
        <v>30</v>
      </c>
      <c r="N12" s="340" t="s">
        <v>10</v>
      </c>
    </row>
    <row r="13" spans="1:14" s="334" customFormat="1" ht="15" customHeight="1">
      <c r="A13" s="310"/>
      <c r="B13" s="310"/>
      <c r="C13" s="310"/>
      <c r="D13" s="310"/>
      <c r="E13" s="273" t="s">
        <v>9</v>
      </c>
      <c r="F13" s="108">
        <f>SUM(F6:F12)</f>
        <v>2859.7639999999997</v>
      </c>
      <c r="G13" s="273"/>
      <c r="H13" s="273"/>
      <c r="I13" s="80"/>
      <c r="J13" s="81"/>
      <c r="K13" s="103">
        <f>SUM(K6:K12)</f>
        <v>3043</v>
      </c>
      <c r="L13" s="103">
        <f>K13/F13</f>
        <v>1.0640738186787442</v>
      </c>
      <c r="M13" s="79"/>
      <c r="N13" s="337"/>
    </row>
    <row r="14" spans="1:14" s="334" customFormat="1" ht="15" customHeight="1">
      <c r="A14" s="107"/>
      <c r="B14" s="107"/>
      <c r="C14" s="107"/>
      <c r="D14" s="133" t="s">
        <v>30</v>
      </c>
      <c r="E14" s="133"/>
      <c r="F14" s="134">
        <f>F13</f>
        <v>2859.7639999999997</v>
      </c>
      <c r="G14" s="135"/>
      <c r="H14" s="135"/>
      <c r="I14" s="135"/>
      <c r="J14" s="135"/>
      <c r="K14" s="134">
        <f>K13</f>
        <v>3043</v>
      </c>
      <c r="L14" s="151">
        <f>K14/F14</f>
        <v>1.0640738186787442</v>
      </c>
      <c r="M14" s="107"/>
      <c r="N14" s="337"/>
    </row>
    <row r="15" spans="1:14" s="334" customFormat="1" ht="15" customHeight="1">
      <c r="A15" s="106" t="s">
        <v>23</v>
      </c>
      <c r="B15" s="106"/>
      <c r="C15" s="106"/>
      <c r="D15" s="106"/>
      <c r="E15" s="106"/>
      <c r="F15" s="107"/>
      <c r="G15" s="107"/>
      <c r="H15" s="107"/>
      <c r="I15" s="107"/>
      <c r="J15" s="107"/>
      <c r="K15" s="867" t="s">
        <v>763</v>
      </c>
      <c r="L15" s="867"/>
      <c r="M15" s="867"/>
      <c r="N15" s="337"/>
    </row>
    <row r="16" spans="1:14" s="334" customFormat="1" ht="15" customHeight="1">
      <c r="A16" s="273" t="s">
        <v>0</v>
      </c>
      <c r="B16" s="273" t="s">
        <v>7</v>
      </c>
      <c r="C16" s="273" t="s">
        <v>13</v>
      </c>
      <c r="D16" s="273" t="s">
        <v>14</v>
      </c>
      <c r="E16" s="273" t="s">
        <v>8</v>
      </c>
      <c r="F16" s="273" t="s">
        <v>1</v>
      </c>
      <c r="G16" s="273" t="s">
        <v>2</v>
      </c>
      <c r="H16" s="273" t="s">
        <v>15</v>
      </c>
      <c r="I16" s="273" t="s">
        <v>3</v>
      </c>
      <c r="J16" s="273" t="s">
        <v>4</v>
      </c>
      <c r="K16" s="273" t="s">
        <v>5</v>
      </c>
      <c r="L16" s="273" t="s">
        <v>12</v>
      </c>
      <c r="M16" s="273" t="s">
        <v>6</v>
      </c>
      <c r="N16" s="337"/>
    </row>
    <row r="17" spans="1:14" s="334" customFormat="1" ht="15" customHeight="1">
      <c r="A17" s="310">
        <v>1</v>
      </c>
      <c r="B17" s="310" t="s">
        <v>768</v>
      </c>
      <c r="C17" s="310" t="s">
        <v>217</v>
      </c>
      <c r="D17" s="310" t="s">
        <v>113</v>
      </c>
      <c r="E17" s="310"/>
      <c r="F17" s="90">
        <f>2680*1.0936</f>
        <v>2930.848</v>
      </c>
      <c r="G17" s="517" t="s">
        <v>24</v>
      </c>
      <c r="H17" s="79"/>
      <c r="I17" s="80">
        <f>36+17</f>
        <v>53</v>
      </c>
      <c r="J17" s="81">
        <v>74</v>
      </c>
      <c r="K17" s="81">
        <f t="shared" ref="K17:K19" si="1">I17*J17</f>
        <v>3922</v>
      </c>
      <c r="L17" s="79"/>
      <c r="M17" s="162"/>
      <c r="N17" s="337"/>
    </row>
    <row r="18" spans="1:14" s="334" customFormat="1" ht="15" customHeight="1">
      <c r="A18" s="310"/>
      <c r="B18" s="310" t="s">
        <v>771</v>
      </c>
      <c r="C18" s="310" t="s">
        <v>420</v>
      </c>
      <c r="D18" s="310" t="s">
        <v>772</v>
      </c>
      <c r="E18" s="310"/>
      <c r="F18" s="90">
        <f>243*1.0936</f>
        <v>265.7448</v>
      </c>
      <c r="G18" s="88" t="s">
        <v>18</v>
      </c>
      <c r="H18" s="79"/>
      <c r="I18" s="80">
        <f>33</f>
        <v>33</v>
      </c>
      <c r="J18" s="81">
        <v>46</v>
      </c>
      <c r="K18" s="81">
        <f t="shared" si="1"/>
        <v>1518</v>
      </c>
      <c r="L18" s="79"/>
      <c r="M18" s="79"/>
      <c r="N18" s="337"/>
    </row>
    <row r="19" spans="1:14" s="334" customFormat="1" ht="15" customHeight="1">
      <c r="A19" s="310"/>
      <c r="B19" s="310" t="s">
        <v>773</v>
      </c>
      <c r="C19" s="310" t="s">
        <v>774</v>
      </c>
      <c r="D19" s="310" t="s">
        <v>775</v>
      </c>
      <c r="E19" s="310"/>
      <c r="F19" s="90">
        <f>480*1.0936</f>
        <v>524.928</v>
      </c>
      <c r="G19" s="517" t="s">
        <v>1067</v>
      </c>
      <c r="H19" s="79"/>
      <c r="I19" s="80">
        <f>10+9</f>
        <v>19</v>
      </c>
      <c r="J19" s="81">
        <v>416</v>
      </c>
      <c r="K19" s="81">
        <f t="shared" si="1"/>
        <v>7904</v>
      </c>
      <c r="L19" s="79"/>
      <c r="M19" s="79"/>
      <c r="N19" s="337"/>
    </row>
    <row r="20" spans="1:14" s="334" customFormat="1" ht="15" customHeight="1">
      <c r="A20" s="310"/>
      <c r="B20" s="310" t="s">
        <v>269</v>
      </c>
      <c r="C20" s="310"/>
      <c r="D20" s="310"/>
      <c r="E20" s="310"/>
      <c r="F20" s="90">
        <f>715*1.0936</f>
        <v>781.92399999999998</v>
      </c>
      <c r="G20" s="517" t="s">
        <v>1065</v>
      </c>
      <c r="H20" s="79"/>
      <c r="I20" s="80">
        <f>5+3</f>
        <v>8</v>
      </c>
      <c r="J20" s="81">
        <v>165</v>
      </c>
      <c r="K20" s="81">
        <f>I20*J20</f>
        <v>1320</v>
      </c>
      <c r="L20" s="79"/>
      <c r="M20" s="79"/>
      <c r="N20" s="337"/>
    </row>
    <row r="21" spans="1:14" s="334" customFormat="1" ht="15" customHeight="1">
      <c r="A21" s="310"/>
      <c r="B21" s="310"/>
      <c r="C21" s="310"/>
      <c r="D21" s="310"/>
      <c r="E21" s="310"/>
      <c r="F21" s="87"/>
      <c r="G21" s="518" t="s">
        <v>1066</v>
      </c>
      <c r="H21" s="79"/>
      <c r="I21" s="80">
        <v>10</v>
      </c>
      <c r="J21" s="81">
        <v>165</v>
      </c>
      <c r="K21" s="81">
        <f t="shared" ref="K21" si="2">I21*J21</f>
        <v>1650</v>
      </c>
      <c r="L21" s="79"/>
      <c r="M21" s="79"/>
      <c r="N21" s="337"/>
    </row>
    <row r="22" spans="1:14" s="334" customFormat="1" ht="15" customHeight="1">
      <c r="A22" s="310"/>
      <c r="B22" s="310"/>
      <c r="C22" s="310"/>
      <c r="D22" s="310"/>
      <c r="E22" s="273" t="s">
        <v>9</v>
      </c>
      <c r="F22" s="108">
        <f>SUM(F17:F21)</f>
        <v>4503.4447999999993</v>
      </c>
      <c r="G22" s="273"/>
      <c r="H22" s="273"/>
      <c r="I22" s="80"/>
      <c r="J22" s="81"/>
      <c r="K22" s="103">
        <f>SUM(K17:K21)</f>
        <v>16314</v>
      </c>
      <c r="L22" s="103">
        <f>K22/F22</f>
        <v>3.6225602232317806</v>
      </c>
      <c r="M22" s="178"/>
      <c r="N22" s="337"/>
    </row>
    <row r="23" spans="1:14" s="334" customFormat="1" ht="15" customHeight="1">
      <c r="A23" s="310">
        <v>2</v>
      </c>
      <c r="B23" s="310" t="s">
        <v>769</v>
      </c>
      <c r="C23" s="310" t="s">
        <v>770</v>
      </c>
      <c r="D23" s="310" t="s">
        <v>113</v>
      </c>
      <c r="E23" s="310"/>
      <c r="F23" s="90">
        <f>6050*1.0936</f>
        <v>6616.28</v>
      </c>
      <c r="G23" s="517" t="s">
        <v>24</v>
      </c>
      <c r="H23" s="79"/>
      <c r="I23" s="80">
        <f>130+29</f>
        <v>159</v>
      </c>
      <c r="J23" s="81">
        <v>74</v>
      </c>
      <c r="K23" s="81">
        <f t="shared" ref="K23:K25" si="3">I23*J23</f>
        <v>11766</v>
      </c>
      <c r="L23" s="79"/>
      <c r="M23" s="79"/>
      <c r="N23" s="337"/>
    </row>
    <row r="24" spans="1:14" s="334" customFormat="1" ht="15" customHeight="1">
      <c r="A24" s="310"/>
      <c r="B24" s="310"/>
      <c r="C24" s="310"/>
      <c r="D24" s="310"/>
      <c r="E24" s="310"/>
      <c r="F24" s="87"/>
      <c r="G24" s="88" t="s">
        <v>18</v>
      </c>
      <c r="H24" s="79"/>
      <c r="I24" s="80">
        <v>70</v>
      </c>
      <c r="J24" s="81">
        <v>46</v>
      </c>
      <c r="K24" s="81">
        <f t="shared" si="3"/>
        <v>3220</v>
      </c>
      <c r="L24" s="79"/>
      <c r="M24" s="79"/>
      <c r="N24" s="337"/>
    </row>
    <row r="25" spans="1:14" s="334" customFormat="1" ht="15" customHeight="1">
      <c r="A25" s="310"/>
      <c r="B25" s="310"/>
      <c r="C25" s="310"/>
      <c r="D25" s="310"/>
      <c r="E25" s="310"/>
      <c r="F25" s="87"/>
      <c r="G25" s="517" t="s">
        <v>1067</v>
      </c>
      <c r="H25" s="79"/>
      <c r="I25" s="80">
        <f>26+14</f>
        <v>40</v>
      </c>
      <c r="J25" s="81">
        <v>416</v>
      </c>
      <c r="K25" s="81">
        <f t="shared" si="3"/>
        <v>16640</v>
      </c>
      <c r="L25" s="79"/>
      <c r="M25" s="79"/>
      <c r="N25" s="337"/>
    </row>
    <row r="26" spans="1:14" s="334" customFormat="1" ht="15" customHeight="1">
      <c r="A26" s="310"/>
      <c r="B26" s="310"/>
      <c r="C26" s="310"/>
      <c r="D26" s="310"/>
      <c r="E26" s="310"/>
      <c r="F26" s="87"/>
      <c r="G26" s="517" t="s">
        <v>1065</v>
      </c>
      <c r="H26" s="79"/>
      <c r="I26" s="80">
        <f>8+18</f>
        <v>26</v>
      </c>
      <c r="J26" s="81">
        <v>165</v>
      </c>
      <c r="K26" s="81">
        <f>I26*J26</f>
        <v>4290</v>
      </c>
      <c r="L26" s="79"/>
      <c r="M26" s="79"/>
      <c r="N26" s="337"/>
    </row>
    <row r="27" spans="1:14" s="334" customFormat="1" ht="15" customHeight="1">
      <c r="A27" s="310"/>
      <c r="B27" s="310"/>
      <c r="C27" s="310"/>
      <c r="D27" s="310"/>
      <c r="E27" s="310"/>
      <c r="F27" s="87"/>
      <c r="G27" s="518" t="s">
        <v>1066</v>
      </c>
      <c r="H27" s="79"/>
      <c r="I27" s="80">
        <v>18</v>
      </c>
      <c r="J27" s="81">
        <v>165</v>
      </c>
      <c r="K27" s="81">
        <f t="shared" ref="K27" si="4">I27*J27</f>
        <v>2970</v>
      </c>
      <c r="L27" s="79"/>
      <c r="M27" s="79"/>
      <c r="N27" s="337"/>
    </row>
    <row r="28" spans="1:14" s="334" customFormat="1" ht="15" customHeight="1">
      <c r="A28" s="310"/>
      <c r="B28" s="310"/>
      <c r="C28" s="310"/>
      <c r="D28" s="310"/>
      <c r="E28" s="273" t="s">
        <v>9</v>
      </c>
      <c r="F28" s="108">
        <f>SUM(F23:F27)</f>
        <v>6616.28</v>
      </c>
      <c r="G28" s="273"/>
      <c r="H28" s="273"/>
      <c r="I28" s="80"/>
      <c r="J28" s="81"/>
      <c r="K28" s="103">
        <f>SUM(K23:K27)</f>
        <v>38886</v>
      </c>
      <c r="L28" s="103">
        <f>K28/F28</f>
        <v>5.8773207905348626</v>
      </c>
      <c r="M28" s="79"/>
      <c r="N28" s="337"/>
    </row>
    <row r="29" spans="1:14" s="334" customFormat="1" ht="15" customHeight="1">
      <c r="A29" s="137"/>
      <c r="B29" s="137"/>
      <c r="C29" s="137"/>
      <c r="D29" s="273" t="s">
        <v>30</v>
      </c>
      <c r="E29" s="273"/>
      <c r="F29" s="134">
        <f>F22+F28</f>
        <v>11119.7248</v>
      </c>
      <c r="G29" s="195"/>
      <c r="H29" s="195"/>
      <c r="I29" s="195"/>
      <c r="J29" s="195"/>
      <c r="K29" s="134">
        <f>K22+K28</f>
        <v>55200</v>
      </c>
      <c r="L29" s="151">
        <f>K29/F29</f>
        <v>4.9641516308029496</v>
      </c>
      <c r="M29" s="79"/>
      <c r="N29" s="337"/>
    </row>
    <row r="30" spans="1:14" s="334" customFormat="1" ht="15" customHeight="1">
      <c r="A30" s="106" t="s">
        <v>22</v>
      </c>
      <c r="B30" s="106"/>
      <c r="C30" s="106"/>
      <c r="D30" s="106"/>
      <c r="E30" s="106"/>
      <c r="F30" s="107"/>
      <c r="G30" s="107"/>
      <c r="H30" s="107"/>
      <c r="I30" s="107"/>
      <c r="J30" s="107"/>
      <c r="K30" s="867" t="s">
        <v>763</v>
      </c>
      <c r="L30" s="867"/>
      <c r="M30" s="867"/>
      <c r="N30" s="337"/>
    </row>
    <row r="31" spans="1:14" s="334" customFormat="1" ht="15" customHeight="1">
      <c r="A31" s="273" t="s">
        <v>0</v>
      </c>
      <c r="B31" s="273" t="s">
        <v>7</v>
      </c>
      <c r="C31" s="273" t="s">
        <v>13</v>
      </c>
      <c r="D31" s="273" t="s">
        <v>14</v>
      </c>
      <c r="E31" s="273" t="s">
        <v>8</v>
      </c>
      <c r="F31" s="273" t="s">
        <v>1</v>
      </c>
      <c r="G31" s="273" t="s">
        <v>2</v>
      </c>
      <c r="H31" s="273" t="s">
        <v>15</v>
      </c>
      <c r="I31" s="273" t="s">
        <v>3</v>
      </c>
      <c r="J31" s="273" t="s">
        <v>4</v>
      </c>
      <c r="K31" s="273" t="s">
        <v>5</v>
      </c>
      <c r="L31" s="273" t="s">
        <v>12</v>
      </c>
      <c r="M31" s="273" t="s">
        <v>6</v>
      </c>
      <c r="N31" s="337"/>
    </row>
    <row r="32" spans="1:14" s="334" customFormat="1" ht="15" customHeight="1">
      <c r="A32" s="310">
        <v>1</v>
      </c>
      <c r="B32" s="310" t="s">
        <v>773</v>
      </c>
      <c r="C32" s="310" t="s">
        <v>774</v>
      </c>
      <c r="D32" s="310" t="s">
        <v>775</v>
      </c>
      <c r="E32" s="310"/>
      <c r="F32" s="90">
        <f>7070*1.0936</f>
        <v>7731.7519999999995</v>
      </c>
      <c r="G32" s="310" t="s">
        <v>24</v>
      </c>
      <c r="H32" s="79"/>
      <c r="I32" s="80">
        <v>124</v>
      </c>
      <c r="J32" s="81">
        <v>74</v>
      </c>
      <c r="K32" s="81">
        <f t="shared" ref="K32:K33" si="5">I32*J32</f>
        <v>9176</v>
      </c>
      <c r="L32" s="79"/>
      <c r="M32" s="162"/>
      <c r="N32" s="337"/>
    </row>
    <row r="33" spans="1:14" s="334" customFormat="1" ht="15" customHeight="1">
      <c r="A33" s="310"/>
      <c r="B33" s="310"/>
      <c r="C33" s="310"/>
      <c r="D33" s="310"/>
      <c r="E33" s="310"/>
      <c r="F33" s="87"/>
      <c r="G33" s="84" t="s">
        <v>10</v>
      </c>
      <c r="H33" s="79"/>
      <c r="I33" s="80">
        <v>30</v>
      </c>
      <c r="J33" s="81">
        <v>120</v>
      </c>
      <c r="K33" s="81">
        <f t="shared" si="5"/>
        <v>3600</v>
      </c>
      <c r="L33" s="79"/>
      <c r="M33" s="79"/>
      <c r="N33" s="337"/>
    </row>
    <row r="34" spans="1:14" s="334" customFormat="1" ht="15" customHeight="1">
      <c r="A34" s="310"/>
      <c r="B34" s="310"/>
      <c r="C34" s="310"/>
      <c r="D34" s="310"/>
      <c r="E34" s="273" t="s">
        <v>9</v>
      </c>
      <c r="F34" s="108">
        <f>SUM(F32:F33)</f>
        <v>7731.7519999999995</v>
      </c>
      <c r="G34" s="273"/>
      <c r="H34" s="273"/>
      <c r="I34" s="80"/>
      <c r="J34" s="81"/>
      <c r="K34" s="103">
        <f>SUM(K32:K33)</f>
        <v>12776</v>
      </c>
      <c r="L34" s="103">
        <f>K34/F34</f>
        <v>1.6524068542291579</v>
      </c>
      <c r="M34" s="79"/>
      <c r="N34" s="337"/>
    </row>
    <row r="35" spans="1:14" s="334" customFormat="1" ht="15" customHeight="1">
      <c r="A35" s="310">
        <v>2</v>
      </c>
      <c r="B35" s="310" t="s">
        <v>771</v>
      </c>
      <c r="C35" s="310" t="s">
        <v>420</v>
      </c>
      <c r="D35" s="310" t="s">
        <v>806</v>
      </c>
      <c r="E35" s="310"/>
      <c r="F35" s="90">
        <f>1150*1.0936</f>
        <v>1257.6399999999999</v>
      </c>
      <c r="G35" s="310" t="s">
        <v>24</v>
      </c>
      <c r="H35" s="79"/>
      <c r="I35" s="80">
        <v>32</v>
      </c>
      <c r="J35" s="81">
        <v>74</v>
      </c>
      <c r="K35" s="81">
        <f t="shared" ref="K35:K36" si="6">I35*J35</f>
        <v>2368</v>
      </c>
      <c r="L35" s="79"/>
      <c r="M35" s="79"/>
      <c r="N35" s="337"/>
    </row>
    <row r="36" spans="1:14" s="334" customFormat="1" ht="15" customHeight="1">
      <c r="A36" s="310"/>
      <c r="B36" s="310" t="s">
        <v>771</v>
      </c>
      <c r="C36" s="310" t="s">
        <v>420</v>
      </c>
      <c r="D36" s="310" t="s">
        <v>772</v>
      </c>
      <c r="E36" s="310"/>
      <c r="F36" s="90">
        <f>243*1.0936</f>
        <v>265.7448</v>
      </c>
      <c r="G36" s="84" t="s">
        <v>10</v>
      </c>
      <c r="H36" s="79"/>
      <c r="I36" s="80">
        <v>10</v>
      </c>
      <c r="J36" s="81">
        <v>120</v>
      </c>
      <c r="K36" s="81">
        <f t="shared" si="6"/>
        <v>1200</v>
      </c>
      <c r="L36" s="79"/>
      <c r="M36" s="79"/>
      <c r="N36" s="337"/>
    </row>
    <row r="37" spans="1:14" s="334" customFormat="1" ht="15" customHeight="1">
      <c r="A37" s="310"/>
      <c r="B37" s="310" t="s">
        <v>269</v>
      </c>
      <c r="C37" s="310"/>
      <c r="D37" s="310"/>
      <c r="E37" s="310"/>
      <c r="F37" s="90">
        <f>599*1.0936</f>
        <v>655.06639999999993</v>
      </c>
      <c r="G37" s="84"/>
      <c r="H37" s="79"/>
      <c r="I37" s="80"/>
      <c r="J37" s="81"/>
      <c r="K37" s="81"/>
      <c r="L37" s="79"/>
      <c r="M37" s="79"/>
      <c r="N37" s="337"/>
    </row>
    <row r="38" spans="1:14" s="334" customFormat="1" ht="15" customHeight="1">
      <c r="A38" s="310"/>
      <c r="B38" s="310"/>
      <c r="C38" s="310"/>
      <c r="D38" s="310"/>
      <c r="E38" s="273" t="s">
        <v>9</v>
      </c>
      <c r="F38" s="108">
        <f>SUM(F35:F37)</f>
        <v>2178.4511999999995</v>
      </c>
      <c r="G38" s="273"/>
      <c r="H38" s="273"/>
      <c r="I38" s="80"/>
      <c r="J38" s="81"/>
      <c r="K38" s="103">
        <f>SUM(K35:K37)</f>
        <v>3568</v>
      </c>
      <c r="L38" s="103">
        <f>K38/F38</f>
        <v>1.6378608802437258</v>
      </c>
      <c r="M38" s="79"/>
      <c r="N38" s="337"/>
    </row>
    <row r="39" spans="1:14" s="334" customFormat="1" ht="15" customHeight="1">
      <c r="A39" s="310">
        <v>3</v>
      </c>
      <c r="B39" s="310" t="s">
        <v>769</v>
      </c>
      <c r="C39" s="310" t="s">
        <v>770</v>
      </c>
      <c r="D39" s="310" t="s">
        <v>113</v>
      </c>
      <c r="E39" s="310"/>
      <c r="F39" s="90">
        <f>3700*1.0936</f>
        <v>4046.3199999999997</v>
      </c>
      <c r="G39" s="310" t="s">
        <v>24</v>
      </c>
      <c r="H39" s="79"/>
      <c r="I39" s="80">
        <v>71</v>
      </c>
      <c r="J39" s="81">
        <v>74</v>
      </c>
      <c r="K39" s="81">
        <f t="shared" ref="K39:K40" si="7">I39*J39</f>
        <v>5254</v>
      </c>
      <c r="L39" s="79"/>
      <c r="M39" s="79"/>
      <c r="N39" s="337"/>
    </row>
    <row r="40" spans="1:14" s="334" customFormat="1" ht="15" customHeight="1">
      <c r="A40" s="310"/>
      <c r="B40" s="310"/>
      <c r="C40" s="310"/>
      <c r="D40" s="310"/>
      <c r="E40" s="310"/>
      <c r="F40" s="90"/>
      <c r="G40" s="84" t="s">
        <v>10</v>
      </c>
      <c r="H40" s="79"/>
      <c r="I40" s="80">
        <v>10</v>
      </c>
      <c r="J40" s="81">
        <v>120</v>
      </c>
      <c r="K40" s="81">
        <f t="shared" si="7"/>
        <v>1200</v>
      </c>
      <c r="L40" s="79"/>
      <c r="M40" s="79"/>
      <c r="N40" s="337"/>
    </row>
    <row r="41" spans="1:14" s="334" customFormat="1" ht="15" customHeight="1">
      <c r="A41" s="310"/>
      <c r="B41" s="310"/>
      <c r="C41" s="310"/>
      <c r="D41" s="310"/>
      <c r="E41" s="273" t="s">
        <v>9</v>
      </c>
      <c r="F41" s="108">
        <f>SUM(F39:F40)</f>
        <v>4046.3199999999997</v>
      </c>
      <c r="G41" s="273"/>
      <c r="H41" s="273"/>
      <c r="I41" s="80"/>
      <c r="J41" s="81"/>
      <c r="K41" s="103">
        <f>SUM(K39:K40)</f>
        <v>6454</v>
      </c>
      <c r="L41" s="103">
        <f>K41/F41</f>
        <v>1.5950295577215843</v>
      </c>
      <c r="M41" s="79"/>
      <c r="N41" s="337"/>
    </row>
    <row r="42" spans="1:14" s="334" customFormat="1" ht="15" customHeight="1">
      <c r="A42" s="107"/>
      <c r="B42" s="107"/>
      <c r="C42" s="107"/>
      <c r="D42" s="133" t="s">
        <v>30</v>
      </c>
      <c r="E42" s="133"/>
      <c r="F42" s="134">
        <f>F34+F38+F41</f>
        <v>13956.5232</v>
      </c>
      <c r="G42" s="135"/>
      <c r="H42" s="135"/>
      <c r="I42" s="135"/>
      <c r="J42" s="135"/>
      <c r="K42" s="134">
        <f>K34+K38+K41</f>
        <v>22798</v>
      </c>
      <c r="L42" s="151">
        <f>K42/F42</f>
        <v>1.6335013866490762</v>
      </c>
      <c r="M42" s="107"/>
      <c r="N42" s="337"/>
    </row>
    <row r="43" spans="1:14" s="334" customFormat="1" ht="15" customHeight="1">
      <c r="A43" s="106" t="s">
        <v>16</v>
      </c>
      <c r="B43" s="106"/>
      <c r="C43" s="106"/>
      <c r="D43" s="106"/>
      <c r="E43" s="106"/>
      <c r="F43" s="107"/>
      <c r="G43" s="107"/>
      <c r="H43" s="107"/>
      <c r="I43" s="107"/>
      <c r="J43" s="107"/>
      <c r="K43" s="867" t="s">
        <v>763</v>
      </c>
      <c r="L43" s="867"/>
      <c r="M43" s="867"/>
      <c r="N43" s="337"/>
    </row>
    <row r="44" spans="1:14" s="334" customFormat="1" ht="15" customHeight="1">
      <c r="A44" s="273" t="s">
        <v>0</v>
      </c>
      <c r="B44" s="273" t="s">
        <v>7</v>
      </c>
      <c r="C44" s="273" t="s">
        <v>13</v>
      </c>
      <c r="D44" s="273" t="s">
        <v>14</v>
      </c>
      <c r="E44" s="273" t="s">
        <v>8</v>
      </c>
      <c r="F44" s="273" t="s">
        <v>1</v>
      </c>
      <c r="G44" s="273" t="s">
        <v>2</v>
      </c>
      <c r="H44" s="273" t="s">
        <v>15</v>
      </c>
      <c r="I44" s="273" t="s">
        <v>3</v>
      </c>
      <c r="J44" s="273" t="s">
        <v>4</v>
      </c>
      <c r="K44" s="273" t="s">
        <v>5</v>
      </c>
      <c r="L44" s="273" t="s">
        <v>12</v>
      </c>
      <c r="M44" s="273" t="s">
        <v>6</v>
      </c>
      <c r="N44" s="337"/>
    </row>
    <row r="45" spans="1:14" s="334" customFormat="1" ht="15" customHeight="1">
      <c r="A45" s="310"/>
      <c r="B45" s="310"/>
      <c r="C45" s="310"/>
      <c r="D45" s="310"/>
      <c r="E45" s="310"/>
      <c r="F45" s="87"/>
      <c r="G45" s="310" t="s">
        <v>75</v>
      </c>
      <c r="H45" s="310"/>
      <c r="I45" s="96"/>
      <c r="J45" s="94">
        <v>367</v>
      </c>
      <c r="K45" s="94">
        <f t="shared" ref="K45" si="8">I45*J45</f>
        <v>0</v>
      </c>
      <c r="L45" s="79"/>
      <c r="M45" s="162"/>
      <c r="N45" s="337"/>
    </row>
    <row r="46" spans="1:14" s="334" customFormat="1" ht="15" customHeight="1">
      <c r="A46" s="310"/>
      <c r="B46" s="310"/>
      <c r="C46" s="310"/>
      <c r="D46" s="310"/>
      <c r="E46" s="310"/>
      <c r="F46" s="87"/>
      <c r="G46" s="310" t="s">
        <v>20</v>
      </c>
      <c r="H46" s="79"/>
      <c r="I46" s="80"/>
      <c r="J46" s="81">
        <v>315</v>
      </c>
      <c r="K46" s="81">
        <f t="shared" ref="K46" si="9">I46*J46</f>
        <v>0</v>
      </c>
      <c r="L46" s="79"/>
      <c r="M46" s="79"/>
      <c r="N46" s="337"/>
    </row>
    <row r="47" spans="1:14" s="334" customFormat="1" ht="15" customHeight="1">
      <c r="A47" s="310"/>
      <c r="B47" s="310"/>
      <c r="C47" s="310"/>
      <c r="D47" s="310"/>
      <c r="E47" s="273" t="s">
        <v>9</v>
      </c>
      <c r="F47" s="108">
        <f>SUM(F46:F46)</f>
        <v>0</v>
      </c>
      <c r="G47" s="273"/>
      <c r="H47" s="273"/>
      <c r="I47" s="80"/>
      <c r="J47" s="81"/>
      <c r="K47" s="103">
        <f>SUM(K46:K46)</f>
        <v>0</v>
      </c>
      <c r="L47" s="103" t="e">
        <f>K47/F47</f>
        <v>#DIV/0!</v>
      </c>
      <c r="M47" s="79"/>
      <c r="N47" s="337"/>
    </row>
    <row r="48" spans="1:14" s="334" customFormat="1" ht="15" customHeight="1">
      <c r="A48" s="308"/>
      <c r="B48" s="308"/>
      <c r="C48" s="308"/>
      <c r="D48" s="133" t="s">
        <v>30</v>
      </c>
      <c r="E48" s="133"/>
      <c r="F48" s="134">
        <f>F47</f>
        <v>0</v>
      </c>
      <c r="G48" s="135"/>
      <c r="H48" s="135"/>
      <c r="I48" s="135"/>
      <c r="J48" s="135"/>
      <c r="K48" s="134">
        <f>K47</f>
        <v>0</v>
      </c>
      <c r="L48" s="151" t="e">
        <f>K48/F48</f>
        <v>#DIV/0!</v>
      </c>
      <c r="M48" s="137"/>
      <c r="N48" s="337"/>
    </row>
    <row r="49" spans="1:14" s="334" customFormat="1" ht="15" customHeight="1">
      <c r="A49" s="106" t="s">
        <v>72</v>
      </c>
      <c r="B49" s="106"/>
      <c r="C49" s="106"/>
      <c r="D49" s="106"/>
      <c r="E49" s="106"/>
      <c r="F49" s="107"/>
      <c r="G49" s="107"/>
      <c r="H49" s="107"/>
      <c r="I49" s="149"/>
      <c r="J49" s="107"/>
      <c r="K49" s="867" t="s">
        <v>763</v>
      </c>
      <c r="L49" s="867"/>
      <c r="M49" s="867"/>
      <c r="N49" s="337"/>
    </row>
    <row r="50" spans="1:14" s="342" customFormat="1" ht="15" customHeight="1">
      <c r="A50" s="273" t="s">
        <v>0</v>
      </c>
      <c r="B50" s="273" t="s">
        <v>7</v>
      </c>
      <c r="C50" s="273" t="s">
        <v>13</v>
      </c>
      <c r="D50" s="273" t="s">
        <v>14</v>
      </c>
      <c r="E50" s="273" t="s">
        <v>8</v>
      </c>
      <c r="F50" s="273" t="s">
        <v>1</v>
      </c>
      <c r="G50" s="273" t="s">
        <v>2</v>
      </c>
      <c r="H50" s="273" t="s">
        <v>15</v>
      </c>
      <c r="I50" s="150" t="s">
        <v>3</v>
      </c>
      <c r="J50" s="273" t="s">
        <v>4</v>
      </c>
      <c r="K50" s="273" t="s">
        <v>5</v>
      </c>
      <c r="L50" s="273" t="s">
        <v>12</v>
      </c>
      <c r="M50" s="273" t="s">
        <v>6</v>
      </c>
      <c r="N50" s="341"/>
    </row>
    <row r="51" spans="1:14" s="334" customFormat="1" ht="15" customHeight="1">
      <c r="A51" s="310">
        <v>9642</v>
      </c>
      <c r="B51" s="310" t="s">
        <v>780</v>
      </c>
      <c r="C51" s="310" t="s">
        <v>513</v>
      </c>
      <c r="D51" s="310" t="s">
        <v>297</v>
      </c>
      <c r="E51" s="310" t="s">
        <v>781</v>
      </c>
      <c r="F51" s="87">
        <f>13790*1.0936</f>
        <v>15080.743999999999</v>
      </c>
      <c r="G51" s="526" t="s">
        <v>405</v>
      </c>
      <c r="H51" s="79"/>
      <c r="I51" s="80">
        <f>3.24+1.477+1.3+0.142</f>
        <v>6.1590000000000007</v>
      </c>
      <c r="J51" s="81">
        <v>1708</v>
      </c>
      <c r="K51" s="81">
        <f t="shared" ref="K51:K56" si="10">I51*J51</f>
        <v>10519.572000000002</v>
      </c>
      <c r="L51" s="79"/>
      <c r="M51" s="79"/>
      <c r="N51" s="337"/>
    </row>
    <row r="52" spans="1:14" s="334" customFormat="1" ht="15" customHeight="1">
      <c r="A52" s="310"/>
      <c r="B52" s="310"/>
      <c r="C52" s="310"/>
      <c r="D52" s="310"/>
      <c r="E52" s="310"/>
      <c r="F52" s="525"/>
      <c r="G52" s="91" t="s">
        <v>192</v>
      </c>
      <c r="H52" s="79"/>
      <c r="I52" s="80">
        <f>2.28+1.108+0.85+0.085+0.036</f>
        <v>4.3589999999999991</v>
      </c>
      <c r="J52" s="81">
        <v>1126</v>
      </c>
      <c r="K52" s="81">
        <f t="shared" si="10"/>
        <v>4908.2339999999986</v>
      </c>
      <c r="L52" s="36"/>
      <c r="M52" s="79"/>
      <c r="N52" s="337"/>
    </row>
    <row r="53" spans="1:14" s="334" customFormat="1" ht="15" customHeight="1">
      <c r="A53" s="310"/>
      <c r="B53" s="310"/>
      <c r="C53" s="310"/>
      <c r="D53" s="310"/>
      <c r="E53" s="310"/>
      <c r="F53" s="87"/>
      <c r="G53" s="91" t="s">
        <v>193</v>
      </c>
      <c r="H53" s="79"/>
      <c r="I53" s="80">
        <f>20.64+9.394+8.7+0.52+0.3</f>
        <v>39.553999999999995</v>
      </c>
      <c r="J53" s="81">
        <v>1150</v>
      </c>
      <c r="K53" s="81">
        <f t="shared" si="10"/>
        <v>45487.099999999991</v>
      </c>
      <c r="L53" s="79"/>
      <c r="M53" s="79"/>
      <c r="N53" s="337"/>
    </row>
    <row r="54" spans="1:14" s="334" customFormat="1" ht="15" customHeight="1">
      <c r="A54" s="310"/>
      <c r="B54" s="310"/>
      <c r="C54" s="310"/>
      <c r="D54" s="310"/>
      <c r="E54" s="310"/>
      <c r="F54" s="87"/>
      <c r="G54" s="91" t="s">
        <v>196</v>
      </c>
      <c r="H54" s="79"/>
      <c r="I54" s="80">
        <v>4.8000000000000001E-2</v>
      </c>
      <c r="J54" s="81">
        <v>888</v>
      </c>
      <c r="K54" s="81">
        <f t="shared" si="10"/>
        <v>42.624000000000002</v>
      </c>
      <c r="L54" s="79"/>
      <c r="M54" s="79"/>
      <c r="N54" s="337"/>
    </row>
    <row r="55" spans="1:14" s="334" customFormat="1" ht="15" customHeight="1">
      <c r="A55" s="310"/>
      <c r="B55" s="310"/>
      <c r="C55" s="310"/>
      <c r="D55" s="310"/>
      <c r="E55" s="310"/>
      <c r="F55" s="87"/>
      <c r="G55" s="525" t="s">
        <v>184</v>
      </c>
      <c r="H55" s="525"/>
      <c r="I55" s="80">
        <f>12+5.6+5</f>
        <v>22.6</v>
      </c>
      <c r="J55" s="81">
        <v>336</v>
      </c>
      <c r="K55" s="94">
        <f t="shared" si="10"/>
        <v>7593.6</v>
      </c>
      <c r="L55" s="79"/>
      <c r="M55" s="79"/>
      <c r="N55" s="337"/>
    </row>
    <row r="56" spans="1:14" s="334" customFormat="1" ht="15" customHeight="1">
      <c r="A56" s="525"/>
      <c r="B56" s="525"/>
      <c r="C56" s="525"/>
      <c r="D56" s="525"/>
      <c r="E56" s="525"/>
      <c r="F56" s="87"/>
      <c r="G56" s="95" t="s">
        <v>185</v>
      </c>
      <c r="H56" s="79"/>
      <c r="I56" s="96">
        <f>2.4+1.12+1</f>
        <v>4.5199999999999996</v>
      </c>
      <c r="J56" s="81">
        <v>490</v>
      </c>
      <c r="K56" s="81">
        <f t="shared" si="10"/>
        <v>2214.7999999999997</v>
      </c>
      <c r="L56" s="79"/>
      <c r="M56" s="79"/>
      <c r="N56" s="337"/>
    </row>
    <row r="57" spans="1:14" s="334" customFormat="1" ht="15" customHeight="1">
      <c r="A57" s="310"/>
      <c r="B57" s="310"/>
      <c r="C57" s="310"/>
      <c r="D57" s="310"/>
      <c r="E57" s="273" t="s">
        <v>9</v>
      </c>
      <c r="F57" s="108">
        <f>SUM(F51:F56)</f>
        <v>15080.743999999999</v>
      </c>
      <c r="G57" s="273"/>
      <c r="H57" s="273"/>
      <c r="I57" s="80"/>
      <c r="J57" s="81"/>
      <c r="K57" s="103">
        <f>SUM(K51:K56)</f>
        <v>70765.929999999993</v>
      </c>
      <c r="L57" s="103">
        <f>K57/F57</f>
        <v>4.692469416628251</v>
      </c>
      <c r="M57" s="79"/>
      <c r="N57" s="337"/>
    </row>
    <row r="58" spans="1:14" s="334" customFormat="1" ht="15" customHeight="1">
      <c r="A58" s="310">
        <v>9636</v>
      </c>
      <c r="B58" s="310" t="s">
        <v>782</v>
      </c>
      <c r="C58" s="310" t="s">
        <v>233</v>
      </c>
      <c r="D58" s="310" t="s">
        <v>783</v>
      </c>
      <c r="E58" s="310" t="s">
        <v>784</v>
      </c>
      <c r="F58" s="87">
        <f>200*1.0936</f>
        <v>218.71999999999997</v>
      </c>
      <c r="G58" s="311" t="s">
        <v>405</v>
      </c>
      <c r="H58" s="79"/>
      <c r="I58" s="80">
        <f>0.19+0.588</f>
        <v>0.77800000000000002</v>
      </c>
      <c r="J58" s="81">
        <v>1708</v>
      </c>
      <c r="K58" s="81">
        <f t="shared" ref="K58:K62" si="11">I58*J58</f>
        <v>1328.8240000000001</v>
      </c>
      <c r="L58" s="79"/>
      <c r="M58" s="79"/>
      <c r="N58" s="337"/>
    </row>
    <row r="59" spans="1:14" s="334" customFormat="1" ht="15" customHeight="1">
      <c r="A59" s="310"/>
      <c r="B59" s="310"/>
      <c r="C59" s="310"/>
      <c r="D59" s="310"/>
      <c r="E59" s="310"/>
      <c r="F59" s="87"/>
      <c r="G59" s="311" t="s">
        <v>183</v>
      </c>
      <c r="H59" s="79"/>
      <c r="I59" s="80">
        <f>0.025+0.048</f>
        <v>7.3000000000000009E-2</v>
      </c>
      <c r="J59" s="81">
        <v>1600</v>
      </c>
      <c r="K59" s="81">
        <f t="shared" si="11"/>
        <v>116.80000000000001</v>
      </c>
      <c r="L59" s="79"/>
      <c r="M59" s="79"/>
      <c r="N59" s="337"/>
    </row>
    <row r="60" spans="1:14" s="334" customFormat="1" ht="15" customHeight="1">
      <c r="A60" s="310"/>
      <c r="B60" s="310"/>
      <c r="C60" s="310"/>
      <c r="D60" s="310"/>
      <c r="E60" s="310"/>
      <c r="F60" s="87"/>
      <c r="G60" s="93" t="s">
        <v>315</v>
      </c>
      <c r="H60" s="79"/>
      <c r="I60" s="80">
        <f>0.12+0.552</f>
        <v>0.67200000000000004</v>
      </c>
      <c r="J60" s="81">
        <v>2184</v>
      </c>
      <c r="K60" s="81">
        <f t="shared" si="11"/>
        <v>1467.6480000000001</v>
      </c>
      <c r="L60" s="79"/>
      <c r="M60" s="79"/>
      <c r="N60" s="337"/>
    </row>
    <row r="61" spans="1:14" s="334" customFormat="1" ht="15" customHeight="1">
      <c r="A61" s="310"/>
      <c r="B61" s="310"/>
      <c r="C61" s="310"/>
      <c r="D61" s="310"/>
      <c r="E61" s="310"/>
      <c r="F61" s="87"/>
      <c r="G61" s="310" t="s">
        <v>184</v>
      </c>
      <c r="H61" s="310"/>
      <c r="I61" s="80">
        <v>1.2</v>
      </c>
      <c r="J61" s="81">
        <v>336</v>
      </c>
      <c r="K61" s="94">
        <f t="shared" si="11"/>
        <v>403.2</v>
      </c>
      <c r="L61" s="79"/>
      <c r="M61" s="79"/>
      <c r="N61" s="337"/>
    </row>
    <row r="62" spans="1:14" s="334" customFormat="1" ht="15" customHeight="1">
      <c r="A62" s="310"/>
      <c r="B62" s="310"/>
      <c r="C62" s="310"/>
      <c r="D62" s="310"/>
      <c r="E62" s="310"/>
      <c r="F62" s="87"/>
      <c r="G62" s="95" t="s">
        <v>185</v>
      </c>
      <c r="H62" s="79"/>
      <c r="I62" s="96">
        <v>0.24</v>
      </c>
      <c r="J62" s="81">
        <v>490</v>
      </c>
      <c r="K62" s="81">
        <f t="shared" si="11"/>
        <v>117.6</v>
      </c>
      <c r="L62" s="79"/>
      <c r="M62" s="79"/>
      <c r="N62" s="337"/>
    </row>
    <row r="63" spans="1:14" s="334" customFormat="1" ht="15" customHeight="1">
      <c r="A63" s="310"/>
      <c r="B63" s="310"/>
      <c r="C63" s="310"/>
      <c r="D63" s="310"/>
      <c r="E63" s="273" t="s">
        <v>9</v>
      </c>
      <c r="F63" s="108">
        <f>SUM(F58:F62)</f>
        <v>218.71999999999997</v>
      </c>
      <c r="G63" s="273"/>
      <c r="H63" s="273"/>
      <c r="I63" s="80"/>
      <c r="J63" s="81"/>
      <c r="K63" s="103">
        <f>SUM(K58:K62)</f>
        <v>3434.0719999999997</v>
      </c>
      <c r="L63" s="103">
        <f>K63/F63</f>
        <v>15.700768105340162</v>
      </c>
      <c r="M63" s="79"/>
      <c r="N63" s="337"/>
    </row>
    <row r="64" spans="1:14" s="334" customFormat="1" ht="15" customHeight="1">
      <c r="A64" s="310">
        <v>9633</v>
      </c>
      <c r="B64" s="310" t="s">
        <v>771</v>
      </c>
      <c r="C64" s="89" t="s">
        <v>785</v>
      </c>
      <c r="D64" s="310" t="s">
        <v>684</v>
      </c>
      <c r="E64" s="310" t="s">
        <v>635</v>
      </c>
      <c r="F64" s="87">
        <f>490*1.0936</f>
        <v>535.86399999999992</v>
      </c>
      <c r="G64" s="311" t="s">
        <v>405</v>
      </c>
      <c r="H64" s="79"/>
      <c r="I64" s="80">
        <f>0.69+0.342+0.34</f>
        <v>1.3720000000000001</v>
      </c>
      <c r="J64" s="81">
        <v>1708</v>
      </c>
      <c r="K64" s="81">
        <f t="shared" ref="K64:K70" si="12">I64*J64</f>
        <v>2343.3760000000002</v>
      </c>
      <c r="L64" s="79"/>
      <c r="M64" s="79"/>
      <c r="N64" s="337"/>
    </row>
    <row r="65" spans="1:14" s="334" customFormat="1" ht="15" customHeight="1">
      <c r="A65" s="310"/>
      <c r="B65" s="310"/>
      <c r="C65" s="310"/>
      <c r="D65" s="310"/>
      <c r="E65" s="310"/>
      <c r="F65" s="87"/>
      <c r="G65" s="311" t="s">
        <v>183</v>
      </c>
      <c r="H65" s="79"/>
      <c r="I65" s="80">
        <f>0.12+0.06+0.065</f>
        <v>0.245</v>
      </c>
      <c r="J65" s="81">
        <v>1600</v>
      </c>
      <c r="K65" s="81">
        <f t="shared" si="12"/>
        <v>392</v>
      </c>
      <c r="L65" s="79"/>
      <c r="M65" s="79"/>
      <c r="N65" s="337"/>
    </row>
    <row r="66" spans="1:14" s="334" customFormat="1" ht="15" customHeight="1">
      <c r="A66" s="310"/>
      <c r="B66" s="310"/>
      <c r="C66" s="310"/>
      <c r="D66" s="310"/>
      <c r="E66" s="310"/>
      <c r="F66" s="87"/>
      <c r="G66" s="93" t="s">
        <v>315</v>
      </c>
      <c r="H66" s="79"/>
      <c r="I66" s="80">
        <f>0.27+0.118+0.045</f>
        <v>0.433</v>
      </c>
      <c r="J66" s="81">
        <v>2184</v>
      </c>
      <c r="K66" s="81">
        <f t="shared" si="12"/>
        <v>945.67200000000003</v>
      </c>
      <c r="L66" s="79"/>
      <c r="M66" s="79"/>
      <c r="N66" s="337"/>
    </row>
    <row r="67" spans="1:14" s="334" customFormat="1" ht="15" customHeight="1">
      <c r="A67" s="310"/>
      <c r="B67" s="310"/>
      <c r="C67" s="310"/>
      <c r="D67" s="310"/>
      <c r="E67" s="310"/>
      <c r="F67" s="87"/>
      <c r="G67" s="91" t="s">
        <v>562</v>
      </c>
      <c r="H67" s="79"/>
      <c r="I67" s="80">
        <v>6.8000000000000005E-2</v>
      </c>
      <c r="J67" s="81">
        <v>2885</v>
      </c>
      <c r="K67" s="81">
        <f t="shared" si="12"/>
        <v>196.18</v>
      </c>
      <c r="L67" s="36"/>
      <c r="M67" s="79"/>
      <c r="N67" s="337"/>
    </row>
    <row r="68" spans="1:14" s="334" customFormat="1" ht="15" customHeight="1">
      <c r="A68" s="310"/>
      <c r="B68" s="310"/>
      <c r="C68" s="310"/>
      <c r="D68" s="310"/>
      <c r="E68" s="310"/>
      <c r="F68" s="87"/>
      <c r="G68" s="91" t="s">
        <v>288</v>
      </c>
      <c r="H68" s="79"/>
      <c r="I68" s="80">
        <v>1.2E-2</v>
      </c>
      <c r="J68" s="81">
        <v>1346</v>
      </c>
      <c r="K68" s="81">
        <f t="shared" si="12"/>
        <v>16.152000000000001</v>
      </c>
      <c r="L68" s="79"/>
      <c r="M68" s="79"/>
      <c r="N68" s="337"/>
    </row>
    <row r="69" spans="1:14" s="334" customFormat="1" ht="15" customHeight="1">
      <c r="A69" s="310"/>
      <c r="B69" s="310"/>
      <c r="C69" s="310"/>
      <c r="D69" s="310"/>
      <c r="E69" s="310"/>
      <c r="F69" s="87"/>
      <c r="G69" s="310" t="s">
        <v>184</v>
      </c>
      <c r="H69" s="310"/>
      <c r="I69" s="80">
        <v>1.5</v>
      </c>
      <c r="J69" s="81">
        <v>336</v>
      </c>
      <c r="K69" s="94">
        <f t="shared" si="12"/>
        <v>504</v>
      </c>
      <c r="L69" s="79"/>
      <c r="M69" s="79"/>
      <c r="N69" s="337"/>
    </row>
    <row r="70" spans="1:14" s="334" customFormat="1" ht="15" customHeight="1">
      <c r="A70" s="310"/>
      <c r="B70" s="310"/>
      <c r="C70" s="310"/>
      <c r="D70" s="310"/>
      <c r="E70" s="310"/>
      <c r="F70" s="87"/>
      <c r="G70" s="95" t="s">
        <v>185</v>
      </c>
      <c r="H70" s="79"/>
      <c r="I70" s="96">
        <v>0.3</v>
      </c>
      <c r="J70" s="81">
        <v>490</v>
      </c>
      <c r="K70" s="81">
        <f t="shared" si="12"/>
        <v>147</v>
      </c>
      <c r="L70" s="79"/>
      <c r="M70" s="79"/>
      <c r="N70" s="337"/>
    </row>
    <row r="71" spans="1:14" s="334" customFormat="1" ht="15" customHeight="1">
      <c r="A71" s="310"/>
      <c r="B71" s="310"/>
      <c r="C71" s="310"/>
      <c r="D71" s="310"/>
      <c r="E71" s="273" t="s">
        <v>9</v>
      </c>
      <c r="F71" s="108">
        <f>SUM(F64:F70)</f>
        <v>535.86399999999992</v>
      </c>
      <c r="G71" s="273"/>
      <c r="H71" s="273"/>
      <c r="I71" s="80"/>
      <c r="J71" s="81"/>
      <c r="K71" s="103">
        <f>SUM(K64:K70)</f>
        <v>4544.38</v>
      </c>
      <c r="L71" s="103">
        <f>K71/F71</f>
        <v>8.4804726572413909</v>
      </c>
      <c r="M71" s="79"/>
      <c r="N71" s="337"/>
    </row>
    <row r="72" spans="1:14" s="334" customFormat="1" ht="15" customHeight="1">
      <c r="A72" s="310">
        <v>8942</v>
      </c>
      <c r="B72" s="310" t="s">
        <v>786</v>
      </c>
      <c r="C72" s="310" t="s">
        <v>513</v>
      </c>
      <c r="D72" s="310" t="s">
        <v>297</v>
      </c>
      <c r="E72" s="310" t="s">
        <v>787</v>
      </c>
      <c r="F72" s="87">
        <f>5340*1.0936</f>
        <v>5839.8239999999996</v>
      </c>
      <c r="G72" s="93" t="s">
        <v>190</v>
      </c>
      <c r="H72" s="79"/>
      <c r="I72" s="80">
        <f>7.54+0.15</f>
        <v>7.69</v>
      </c>
      <c r="J72" s="81">
        <v>644</v>
      </c>
      <c r="K72" s="81">
        <f t="shared" ref="K72:K76" si="13">I72*J72</f>
        <v>4952.3600000000006</v>
      </c>
      <c r="L72" s="79"/>
      <c r="M72" s="79"/>
      <c r="N72" s="337"/>
    </row>
    <row r="73" spans="1:14" s="334" customFormat="1" ht="15" customHeight="1">
      <c r="A73" s="310"/>
      <c r="B73" s="310"/>
      <c r="C73" s="310"/>
      <c r="D73" s="310"/>
      <c r="E73" s="310"/>
      <c r="F73" s="87"/>
      <c r="G73" s="91" t="s">
        <v>192</v>
      </c>
      <c r="H73" s="79"/>
      <c r="I73" s="80">
        <v>17.431999999999999</v>
      </c>
      <c r="J73" s="81">
        <v>1126</v>
      </c>
      <c r="K73" s="81">
        <f t="shared" si="13"/>
        <v>19628.431999999997</v>
      </c>
      <c r="L73" s="79"/>
      <c r="M73" s="79"/>
      <c r="N73" s="337"/>
    </row>
    <row r="74" spans="1:14" s="334" customFormat="1" ht="15" customHeight="1">
      <c r="A74" s="310"/>
      <c r="B74" s="310"/>
      <c r="C74" s="310"/>
      <c r="D74" s="310"/>
      <c r="E74" s="310"/>
      <c r="F74" s="87"/>
      <c r="G74" s="93" t="s">
        <v>315</v>
      </c>
      <c r="H74" s="79"/>
      <c r="I74" s="80">
        <v>0.96699999999999997</v>
      </c>
      <c r="J74" s="81">
        <v>2184</v>
      </c>
      <c r="K74" s="81">
        <f t="shared" si="13"/>
        <v>2111.9279999999999</v>
      </c>
      <c r="L74" s="79"/>
      <c r="M74" s="79"/>
      <c r="N74" s="337"/>
    </row>
    <row r="75" spans="1:14" s="334" customFormat="1" ht="15" customHeight="1">
      <c r="A75" s="310"/>
      <c r="B75" s="310"/>
      <c r="C75" s="310"/>
      <c r="D75" s="310"/>
      <c r="E75" s="310"/>
      <c r="F75" s="87"/>
      <c r="G75" s="310" t="s">
        <v>184</v>
      </c>
      <c r="H75" s="310"/>
      <c r="I75" s="80">
        <v>10</v>
      </c>
      <c r="J75" s="81">
        <v>336</v>
      </c>
      <c r="K75" s="94">
        <f t="shared" si="13"/>
        <v>3360</v>
      </c>
      <c r="L75" s="79"/>
      <c r="M75" s="79"/>
      <c r="N75" s="337"/>
    </row>
    <row r="76" spans="1:14" s="334" customFormat="1" ht="15" customHeight="1">
      <c r="A76" s="310"/>
      <c r="B76" s="310"/>
      <c r="C76" s="310"/>
      <c r="D76" s="310"/>
      <c r="E76" s="310"/>
      <c r="F76" s="87"/>
      <c r="G76" s="95" t="s">
        <v>185</v>
      </c>
      <c r="H76" s="79"/>
      <c r="I76" s="96">
        <v>2</v>
      </c>
      <c r="J76" s="81">
        <v>490</v>
      </c>
      <c r="K76" s="81">
        <f t="shared" si="13"/>
        <v>980</v>
      </c>
      <c r="L76" s="79"/>
      <c r="M76" s="79"/>
      <c r="N76" s="337"/>
    </row>
    <row r="77" spans="1:14" s="334" customFormat="1" ht="15" customHeight="1">
      <c r="A77" s="310"/>
      <c r="B77" s="310"/>
      <c r="C77" s="310"/>
      <c r="D77" s="310"/>
      <c r="E77" s="273" t="s">
        <v>9</v>
      </c>
      <c r="F77" s="108">
        <f>SUM(F72:F76)</f>
        <v>5839.8239999999996</v>
      </c>
      <c r="G77" s="273"/>
      <c r="H77" s="273"/>
      <c r="I77" s="80"/>
      <c r="J77" s="81"/>
      <c r="K77" s="103">
        <f>SUM(K72:K76)</f>
        <v>31032.719999999998</v>
      </c>
      <c r="L77" s="103">
        <f>K77/F77</f>
        <v>5.3139820652129242</v>
      </c>
      <c r="M77" s="79"/>
      <c r="N77" s="337"/>
    </row>
    <row r="78" spans="1:14" s="334" customFormat="1" ht="15" customHeight="1">
      <c r="A78" s="310">
        <v>9631</v>
      </c>
      <c r="B78" s="310" t="s">
        <v>478</v>
      </c>
      <c r="C78" s="310" t="s">
        <v>788</v>
      </c>
      <c r="D78" s="310" t="s">
        <v>503</v>
      </c>
      <c r="E78" s="310" t="s">
        <v>232</v>
      </c>
      <c r="F78" s="222">
        <f>55*1.0936</f>
        <v>60.147999999999996</v>
      </c>
      <c r="G78" s="93" t="s">
        <v>190</v>
      </c>
      <c r="H78" s="79"/>
      <c r="I78" s="80">
        <f>0.042</f>
        <v>4.2000000000000003E-2</v>
      </c>
      <c r="J78" s="81">
        <v>644</v>
      </c>
      <c r="K78" s="81">
        <f t="shared" ref="K78:K84" si="14">I78*J78</f>
        <v>27.048000000000002</v>
      </c>
      <c r="L78" s="79"/>
      <c r="M78" s="79"/>
      <c r="N78" s="337"/>
    </row>
    <row r="79" spans="1:14" s="334" customFormat="1" ht="15" customHeight="1">
      <c r="A79" s="315"/>
      <c r="B79" s="315"/>
      <c r="C79" s="315"/>
      <c r="D79" s="315"/>
      <c r="E79" s="315"/>
      <c r="F79" s="222"/>
      <c r="G79" s="91" t="s">
        <v>196</v>
      </c>
      <c r="H79" s="79"/>
      <c r="I79" s="80">
        <f>0.2+0.2+0.06</f>
        <v>0.46</v>
      </c>
      <c r="J79" s="81">
        <v>888</v>
      </c>
      <c r="K79" s="81">
        <f t="shared" si="14"/>
        <v>408.48</v>
      </c>
      <c r="L79" s="36"/>
      <c r="M79" s="79"/>
      <c r="N79" s="337"/>
    </row>
    <row r="80" spans="1:14" s="334" customFormat="1" ht="15" customHeight="1">
      <c r="A80" s="310"/>
      <c r="B80" s="310"/>
      <c r="C80" s="310"/>
      <c r="D80" s="310"/>
      <c r="E80" s="310"/>
      <c r="F80" s="222"/>
      <c r="G80" s="91" t="s">
        <v>789</v>
      </c>
      <c r="H80" s="79"/>
      <c r="I80" s="80">
        <v>0.126</v>
      </c>
      <c r="J80" s="81">
        <v>1035</v>
      </c>
      <c r="K80" s="81">
        <f t="shared" si="14"/>
        <v>130.41</v>
      </c>
      <c r="L80" s="79"/>
      <c r="M80" s="79"/>
      <c r="N80" s="337"/>
    </row>
    <row r="81" spans="1:14" s="334" customFormat="1" ht="15" customHeight="1">
      <c r="A81" s="315"/>
      <c r="B81" s="315"/>
      <c r="C81" s="315"/>
      <c r="D81" s="315"/>
      <c r="E81" s="315"/>
      <c r="F81" s="222"/>
      <c r="G81" s="91" t="s">
        <v>192</v>
      </c>
      <c r="H81" s="79"/>
      <c r="I81" s="80">
        <f>0.02+0.03</f>
        <v>0.05</v>
      </c>
      <c r="J81" s="81">
        <v>1126</v>
      </c>
      <c r="K81" s="81">
        <f t="shared" si="14"/>
        <v>56.300000000000004</v>
      </c>
      <c r="L81" s="36"/>
      <c r="M81" s="79"/>
      <c r="N81" s="337"/>
    </row>
    <row r="82" spans="1:14" s="334" customFormat="1" ht="15" customHeight="1">
      <c r="A82" s="310"/>
      <c r="B82" s="310"/>
      <c r="C82" s="310"/>
      <c r="D82" s="310"/>
      <c r="E82" s="310"/>
      <c r="F82" s="87"/>
      <c r="G82" s="91" t="s">
        <v>199</v>
      </c>
      <c r="H82" s="79"/>
      <c r="I82" s="80">
        <f>1.596+0.1+0.1</f>
        <v>1.7960000000000003</v>
      </c>
      <c r="J82" s="81">
        <v>530</v>
      </c>
      <c r="K82" s="81">
        <f t="shared" si="14"/>
        <v>951.88000000000011</v>
      </c>
      <c r="L82" s="79"/>
      <c r="M82" s="79"/>
      <c r="N82" s="337"/>
    </row>
    <row r="83" spans="1:14" s="334" customFormat="1" ht="15" customHeight="1">
      <c r="A83" s="310"/>
      <c r="B83" s="310"/>
      <c r="C83" s="310"/>
      <c r="D83" s="310"/>
      <c r="E83" s="310"/>
      <c r="F83" s="87"/>
      <c r="G83" s="310" t="s">
        <v>184</v>
      </c>
      <c r="H83" s="310"/>
      <c r="I83" s="80">
        <v>0.6</v>
      </c>
      <c r="J83" s="81">
        <v>336</v>
      </c>
      <c r="K83" s="94">
        <f t="shared" si="14"/>
        <v>201.6</v>
      </c>
      <c r="L83" s="79"/>
      <c r="M83" s="79"/>
      <c r="N83" s="337"/>
    </row>
    <row r="84" spans="1:14" s="334" customFormat="1" ht="15" customHeight="1">
      <c r="A84" s="310"/>
      <c r="B84" s="310"/>
      <c r="C84" s="310"/>
      <c r="D84" s="310"/>
      <c r="E84" s="310"/>
      <c r="F84" s="87"/>
      <c r="G84" s="95" t="s">
        <v>185</v>
      </c>
      <c r="H84" s="79"/>
      <c r="I84" s="96">
        <v>0.12</v>
      </c>
      <c r="J84" s="81">
        <v>490</v>
      </c>
      <c r="K84" s="81">
        <f t="shared" si="14"/>
        <v>58.8</v>
      </c>
      <c r="L84" s="79"/>
      <c r="M84" s="79"/>
      <c r="N84" s="337"/>
    </row>
    <row r="85" spans="1:14" s="334" customFormat="1" ht="15" customHeight="1">
      <c r="A85" s="310"/>
      <c r="B85" s="310"/>
      <c r="C85" s="310"/>
      <c r="D85" s="310"/>
      <c r="E85" s="273" t="s">
        <v>9</v>
      </c>
      <c r="F85" s="108">
        <f>SUM(F78:F84)</f>
        <v>60.147999999999996</v>
      </c>
      <c r="G85" s="273"/>
      <c r="H85" s="273"/>
      <c r="I85" s="80"/>
      <c r="J85" s="81"/>
      <c r="K85" s="103">
        <f>SUM(K78:K84)</f>
        <v>1834.5179999999998</v>
      </c>
      <c r="L85" s="103">
        <f>K85/F85</f>
        <v>30.500066502626851</v>
      </c>
      <c r="M85" s="79"/>
      <c r="N85" s="337"/>
    </row>
    <row r="86" spans="1:14" s="334" customFormat="1" ht="15" customHeight="1">
      <c r="A86" s="310">
        <v>9641</v>
      </c>
      <c r="B86" s="310" t="s">
        <v>277</v>
      </c>
      <c r="C86" s="310" t="s">
        <v>788</v>
      </c>
      <c r="D86" s="310" t="s">
        <v>790</v>
      </c>
      <c r="E86" s="310" t="s">
        <v>127</v>
      </c>
      <c r="F86" s="222">
        <f>50*1.0936</f>
        <v>54.679999999999993</v>
      </c>
      <c r="G86" s="93" t="s">
        <v>258</v>
      </c>
      <c r="H86" s="79"/>
      <c r="I86" s="80">
        <v>4.2000000000000003E-2</v>
      </c>
      <c r="J86" s="81">
        <v>3562</v>
      </c>
      <c r="K86" s="81">
        <f t="shared" ref="K86:K90" si="15">I86*J86</f>
        <v>149.60400000000001</v>
      </c>
      <c r="L86" s="79"/>
      <c r="M86" s="79"/>
      <c r="N86" s="337"/>
    </row>
    <row r="87" spans="1:14" s="334" customFormat="1" ht="15" customHeight="1">
      <c r="A87" s="310"/>
      <c r="B87" s="310"/>
      <c r="C87" s="310"/>
      <c r="D87" s="310"/>
      <c r="E87" s="310"/>
      <c r="F87" s="87"/>
      <c r="G87" s="93" t="s">
        <v>259</v>
      </c>
      <c r="H87" s="79"/>
      <c r="I87" s="80">
        <v>0.02</v>
      </c>
      <c r="J87" s="81">
        <v>3520</v>
      </c>
      <c r="K87" s="81">
        <f t="shared" si="15"/>
        <v>70.400000000000006</v>
      </c>
      <c r="L87" s="79"/>
      <c r="M87" s="79"/>
      <c r="N87" s="337"/>
    </row>
    <row r="88" spans="1:14" s="334" customFormat="1" ht="15" customHeight="1">
      <c r="A88" s="310"/>
      <c r="B88" s="310"/>
      <c r="C88" s="310"/>
      <c r="D88" s="310"/>
      <c r="E88" s="310"/>
      <c r="F88" s="87"/>
      <c r="G88" s="91" t="s">
        <v>260</v>
      </c>
      <c r="H88" s="79"/>
      <c r="I88" s="80">
        <v>4.9000000000000002E-2</v>
      </c>
      <c r="J88" s="81">
        <v>4545</v>
      </c>
      <c r="K88" s="81">
        <f t="shared" si="15"/>
        <v>222.70500000000001</v>
      </c>
      <c r="L88" s="79"/>
      <c r="M88" s="79"/>
      <c r="N88" s="337"/>
    </row>
    <row r="89" spans="1:14" s="334" customFormat="1" ht="15" customHeight="1">
      <c r="A89" s="310"/>
      <c r="B89" s="310"/>
      <c r="C89" s="310"/>
      <c r="D89" s="310"/>
      <c r="E89" s="310"/>
      <c r="F89" s="87"/>
      <c r="G89" s="310" t="s">
        <v>184</v>
      </c>
      <c r="H89" s="79"/>
      <c r="I89" s="80">
        <v>0.6</v>
      </c>
      <c r="J89" s="81">
        <v>336</v>
      </c>
      <c r="K89" s="81">
        <f t="shared" si="15"/>
        <v>201.6</v>
      </c>
      <c r="L89" s="79"/>
      <c r="M89" s="79"/>
      <c r="N89" s="337"/>
    </row>
    <row r="90" spans="1:14" s="334" customFormat="1" ht="15" customHeight="1">
      <c r="A90" s="310"/>
      <c r="B90" s="310"/>
      <c r="C90" s="310"/>
      <c r="D90" s="310"/>
      <c r="E90" s="310"/>
      <c r="F90" s="87"/>
      <c r="G90" s="95" t="s">
        <v>185</v>
      </c>
      <c r="H90" s="79"/>
      <c r="I90" s="96">
        <v>0.12</v>
      </c>
      <c r="J90" s="81">
        <v>490</v>
      </c>
      <c r="K90" s="81">
        <f t="shared" si="15"/>
        <v>58.8</v>
      </c>
      <c r="L90" s="79"/>
      <c r="M90" s="79"/>
      <c r="N90" s="337"/>
    </row>
    <row r="91" spans="1:14" s="334" customFormat="1" ht="15" customHeight="1">
      <c r="A91" s="310"/>
      <c r="B91" s="310"/>
      <c r="C91" s="310"/>
      <c r="D91" s="310"/>
      <c r="E91" s="273" t="s">
        <v>9</v>
      </c>
      <c r="F91" s="108">
        <f>SUM(F86:F90)</f>
        <v>54.679999999999993</v>
      </c>
      <c r="G91" s="273"/>
      <c r="H91" s="273"/>
      <c r="I91" s="80"/>
      <c r="J91" s="81"/>
      <c r="K91" s="103">
        <f>SUM(K86:K90)</f>
        <v>703.10900000000004</v>
      </c>
      <c r="L91" s="103">
        <f>K91/F91</f>
        <v>12.858613752743235</v>
      </c>
      <c r="M91" s="79"/>
      <c r="N91" s="337"/>
    </row>
    <row r="92" spans="1:14" s="334" customFormat="1" ht="15" customHeight="1">
      <c r="A92" s="310">
        <v>9640</v>
      </c>
      <c r="B92" s="310" t="s">
        <v>791</v>
      </c>
      <c r="C92" s="310" t="s">
        <v>792</v>
      </c>
      <c r="D92" s="310" t="s">
        <v>794</v>
      </c>
      <c r="E92" s="310" t="s">
        <v>793</v>
      </c>
      <c r="F92" s="87">
        <f>4800*1.0936</f>
        <v>5249.28</v>
      </c>
      <c r="G92" s="91" t="s">
        <v>196</v>
      </c>
      <c r="H92" s="79"/>
      <c r="I92" s="80">
        <f>0.39+0.135</f>
        <v>0.52500000000000002</v>
      </c>
      <c r="J92" s="81">
        <v>888</v>
      </c>
      <c r="K92" s="81">
        <f t="shared" ref="K92:K96" si="16">I92*J92</f>
        <v>466.20000000000005</v>
      </c>
      <c r="L92" s="36"/>
      <c r="M92" s="79"/>
      <c r="N92" s="337"/>
    </row>
    <row r="93" spans="1:14" s="334" customFormat="1" ht="15" customHeight="1">
      <c r="A93" s="310"/>
      <c r="B93" s="310"/>
      <c r="C93" s="310"/>
      <c r="D93" s="310"/>
      <c r="E93" s="310"/>
      <c r="F93" s="87"/>
      <c r="G93" s="91" t="s">
        <v>195</v>
      </c>
      <c r="H93" s="36"/>
      <c r="I93" s="39">
        <f>0.189+0.015</f>
        <v>0.20400000000000001</v>
      </c>
      <c r="J93" s="81">
        <v>645</v>
      </c>
      <c r="K93" s="81">
        <f t="shared" si="16"/>
        <v>131.58000000000001</v>
      </c>
      <c r="L93" s="36"/>
      <c r="M93" s="79"/>
      <c r="N93" s="337"/>
    </row>
    <row r="94" spans="1:14" s="334" customFormat="1" ht="15" customHeight="1">
      <c r="A94" s="310"/>
      <c r="B94" s="310"/>
      <c r="C94" s="310"/>
      <c r="D94" s="310"/>
      <c r="E94" s="310"/>
      <c r="F94" s="87"/>
      <c r="G94" s="91" t="s">
        <v>191</v>
      </c>
      <c r="H94" s="79"/>
      <c r="I94" s="80">
        <f>0.783+0.09</f>
        <v>0.873</v>
      </c>
      <c r="J94" s="188">
        <v>1628</v>
      </c>
      <c r="K94" s="81">
        <f t="shared" si="16"/>
        <v>1421.2439999999999</v>
      </c>
      <c r="L94" s="36"/>
      <c r="M94" s="79"/>
      <c r="N94" s="337"/>
    </row>
    <row r="95" spans="1:14" s="334" customFormat="1" ht="15" customHeight="1">
      <c r="A95" s="310"/>
      <c r="B95" s="310"/>
      <c r="C95" s="310"/>
      <c r="D95" s="310"/>
      <c r="E95" s="310"/>
      <c r="F95" s="87"/>
      <c r="G95" s="310" t="s">
        <v>184</v>
      </c>
      <c r="H95" s="79"/>
      <c r="I95" s="80">
        <v>5</v>
      </c>
      <c r="J95" s="81">
        <v>336</v>
      </c>
      <c r="K95" s="81">
        <f t="shared" si="16"/>
        <v>1680</v>
      </c>
      <c r="L95" s="79"/>
      <c r="M95" s="79"/>
      <c r="N95" s="337"/>
    </row>
    <row r="96" spans="1:14" s="334" customFormat="1" ht="15" customHeight="1">
      <c r="A96" s="310"/>
      <c r="B96" s="310"/>
      <c r="C96" s="310"/>
      <c r="D96" s="310"/>
      <c r="E96" s="310"/>
      <c r="F96" s="87"/>
      <c r="G96" s="95" t="s">
        <v>185</v>
      </c>
      <c r="H96" s="79"/>
      <c r="I96" s="96">
        <v>1</v>
      </c>
      <c r="J96" s="81">
        <v>490</v>
      </c>
      <c r="K96" s="81">
        <f t="shared" si="16"/>
        <v>490</v>
      </c>
      <c r="L96" s="79"/>
      <c r="M96" s="79"/>
      <c r="N96" s="337"/>
    </row>
    <row r="97" spans="1:14" s="334" customFormat="1" ht="15" customHeight="1">
      <c r="A97" s="310"/>
      <c r="B97" s="310"/>
      <c r="C97" s="310"/>
      <c r="D97" s="310"/>
      <c r="E97" s="273" t="s">
        <v>9</v>
      </c>
      <c r="F97" s="108">
        <f>SUM(F92:F96)</f>
        <v>5249.28</v>
      </c>
      <c r="G97" s="273"/>
      <c r="H97" s="273"/>
      <c r="I97" s="80"/>
      <c r="J97" s="81"/>
      <c r="K97" s="103">
        <f>SUM(K92:K96)</f>
        <v>4189.0239999999994</v>
      </c>
      <c r="L97" s="103">
        <f>K97/F97</f>
        <v>0.79801877590831494</v>
      </c>
      <c r="M97" s="79"/>
      <c r="N97" s="337"/>
    </row>
    <row r="98" spans="1:14" s="334" customFormat="1" ht="15" customHeight="1">
      <c r="A98" s="308"/>
      <c r="B98" s="308"/>
      <c r="C98" s="308"/>
      <c r="D98" s="133" t="s">
        <v>30</v>
      </c>
      <c r="E98" s="133"/>
      <c r="F98" s="134">
        <f>F57+F63+F71+F77+F85+F91+F97</f>
        <v>27039.26</v>
      </c>
      <c r="G98" s="135"/>
      <c r="H98" s="135"/>
      <c r="I98" s="135"/>
      <c r="J98" s="135"/>
      <c r="K98" s="134">
        <f>K57+K63+K71+K77+K85+K91+K97</f>
        <v>116503.753</v>
      </c>
      <c r="L98" s="151">
        <f>K98/F98</f>
        <v>4.3086886623376532</v>
      </c>
      <c r="M98" s="137"/>
      <c r="N98" s="337"/>
    </row>
    <row r="99" spans="1:14" s="334" customFormat="1" ht="15" customHeight="1">
      <c r="A99" s="106" t="s">
        <v>40</v>
      </c>
      <c r="B99" s="106"/>
      <c r="C99" s="106"/>
      <c r="D99" s="106"/>
      <c r="E99" s="106"/>
      <c r="F99" s="107"/>
      <c r="G99" s="107"/>
      <c r="H99" s="107"/>
      <c r="I99" s="149"/>
      <c r="J99" s="107"/>
      <c r="K99" s="867" t="s">
        <v>763</v>
      </c>
      <c r="L99" s="867"/>
      <c r="M99" s="867"/>
      <c r="N99" s="337"/>
    </row>
    <row r="100" spans="1:14" s="342" customFormat="1" ht="15" customHeight="1">
      <c r="A100" s="273" t="s">
        <v>0</v>
      </c>
      <c r="B100" s="273" t="s">
        <v>7</v>
      </c>
      <c r="C100" s="273" t="s">
        <v>13</v>
      </c>
      <c r="D100" s="273" t="s">
        <v>14</v>
      </c>
      <c r="E100" s="273" t="s">
        <v>8</v>
      </c>
      <c r="F100" s="273" t="s">
        <v>1</v>
      </c>
      <c r="G100" s="273" t="s">
        <v>2</v>
      </c>
      <c r="H100" s="273" t="s">
        <v>15</v>
      </c>
      <c r="I100" s="150" t="s">
        <v>3</v>
      </c>
      <c r="J100" s="273" t="s">
        <v>4</v>
      </c>
      <c r="K100" s="273" t="s">
        <v>5</v>
      </c>
      <c r="L100" s="273" t="s">
        <v>12</v>
      </c>
      <c r="M100" s="273" t="s">
        <v>6</v>
      </c>
      <c r="N100" s="341"/>
    </row>
    <row r="101" spans="1:14" s="344" customFormat="1" ht="15" customHeight="1">
      <c r="A101" s="310">
        <v>8945</v>
      </c>
      <c r="B101" s="310" t="s">
        <v>795</v>
      </c>
      <c r="C101" s="310" t="s">
        <v>513</v>
      </c>
      <c r="D101" s="310" t="s">
        <v>297</v>
      </c>
      <c r="E101" s="310" t="s">
        <v>779</v>
      </c>
      <c r="F101" s="87">
        <f>8940*1.0936</f>
        <v>9776.7839999999997</v>
      </c>
      <c r="G101" s="310" t="s">
        <v>27</v>
      </c>
      <c r="H101" s="79"/>
      <c r="I101" s="80">
        <v>375</v>
      </c>
      <c r="J101" s="81">
        <v>22</v>
      </c>
      <c r="K101" s="81">
        <f t="shared" ref="K101:K103" si="17">I101*J101</f>
        <v>8250</v>
      </c>
      <c r="L101" s="310"/>
      <c r="M101" s="310"/>
      <c r="N101" s="343"/>
    </row>
    <row r="102" spans="1:14" s="344" customFormat="1" ht="15" customHeight="1">
      <c r="A102" s="310"/>
      <c r="B102" s="310"/>
      <c r="C102" s="310"/>
      <c r="D102" s="310"/>
      <c r="E102" s="310"/>
      <c r="F102" s="310"/>
      <c r="G102" s="311" t="s">
        <v>49</v>
      </c>
      <c r="H102" s="79"/>
      <c r="I102" s="80">
        <v>30</v>
      </c>
      <c r="J102" s="81">
        <v>34</v>
      </c>
      <c r="K102" s="81">
        <f t="shared" si="17"/>
        <v>1020</v>
      </c>
      <c r="L102" s="310"/>
      <c r="M102" s="310"/>
      <c r="N102" s="343"/>
    </row>
    <row r="103" spans="1:14" s="344" customFormat="1" ht="15" customHeight="1">
      <c r="A103" s="310"/>
      <c r="B103" s="310"/>
      <c r="C103" s="310"/>
      <c r="D103" s="310"/>
      <c r="E103" s="310"/>
      <c r="F103" s="310"/>
      <c r="G103" s="310" t="s">
        <v>19</v>
      </c>
      <c r="H103" s="79"/>
      <c r="I103" s="80">
        <v>9</v>
      </c>
      <c r="J103" s="81">
        <v>74</v>
      </c>
      <c r="K103" s="81">
        <f t="shared" si="17"/>
        <v>666</v>
      </c>
      <c r="L103" s="310"/>
      <c r="M103" s="310"/>
      <c r="N103" s="343"/>
    </row>
    <row r="104" spans="1:14" s="334" customFormat="1" ht="15" customHeight="1">
      <c r="A104" s="310"/>
      <c r="B104" s="310"/>
      <c r="C104" s="310"/>
      <c r="D104" s="310"/>
      <c r="E104" s="273" t="s">
        <v>9</v>
      </c>
      <c r="F104" s="108">
        <f>SUM(F101:F103)</f>
        <v>9776.7839999999997</v>
      </c>
      <c r="G104" s="273"/>
      <c r="H104" s="273"/>
      <c r="I104" s="80"/>
      <c r="J104" s="81"/>
      <c r="K104" s="103">
        <f>SUM(K101:K103)</f>
        <v>9936</v>
      </c>
      <c r="L104" s="103">
        <f>K104/F104</f>
        <v>1.0162851097047865</v>
      </c>
      <c r="M104" s="79"/>
      <c r="N104" s="337"/>
    </row>
    <row r="105" spans="1:14" s="344" customFormat="1" ht="15" customHeight="1">
      <c r="A105" s="310">
        <v>8950</v>
      </c>
      <c r="B105" s="310" t="s">
        <v>780</v>
      </c>
      <c r="C105" s="310" t="s">
        <v>513</v>
      </c>
      <c r="D105" s="310" t="s">
        <v>297</v>
      </c>
      <c r="E105" s="310" t="s">
        <v>781</v>
      </c>
      <c r="F105" s="87">
        <f>9000*1.0936</f>
        <v>9842.4</v>
      </c>
      <c r="G105" s="310" t="s">
        <v>27</v>
      </c>
      <c r="H105" s="79"/>
      <c r="I105" s="80">
        <v>375</v>
      </c>
      <c r="J105" s="81">
        <v>22</v>
      </c>
      <c r="K105" s="81">
        <f t="shared" ref="K105:K107" si="18">I105*J105</f>
        <v>8250</v>
      </c>
      <c r="L105" s="310"/>
      <c r="M105" s="310"/>
      <c r="N105" s="343"/>
    </row>
    <row r="106" spans="1:14" s="344" customFormat="1" ht="15" customHeight="1">
      <c r="A106" s="310"/>
      <c r="B106" s="310"/>
      <c r="C106" s="310"/>
      <c r="D106" s="310"/>
      <c r="E106" s="310"/>
      <c r="F106" s="87"/>
      <c r="G106" s="311" t="s">
        <v>49</v>
      </c>
      <c r="H106" s="79"/>
      <c r="I106" s="80">
        <v>30</v>
      </c>
      <c r="J106" s="81">
        <v>34</v>
      </c>
      <c r="K106" s="81">
        <f t="shared" si="18"/>
        <v>1020</v>
      </c>
      <c r="L106" s="310"/>
      <c r="M106" s="310"/>
      <c r="N106" s="343"/>
    </row>
    <row r="107" spans="1:14" s="344" customFormat="1" ht="15" customHeight="1">
      <c r="A107" s="310"/>
      <c r="B107" s="310"/>
      <c r="C107" s="310"/>
      <c r="D107" s="310"/>
      <c r="E107" s="310"/>
      <c r="F107" s="310"/>
      <c r="G107" s="310" t="s">
        <v>19</v>
      </c>
      <c r="H107" s="79"/>
      <c r="I107" s="80">
        <v>9</v>
      </c>
      <c r="J107" s="81">
        <v>74</v>
      </c>
      <c r="K107" s="81">
        <f t="shared" si="18"/>
        <v>666</v>
      </c>
      <c r="L107" s="310"/>
      <c r="M107" s="310"/>
      <c r="N107" s="343"/>
    </row>
    <row r="108" spans="1:14" s="334" customFormat="1" ht="15" customHeight="1">
      <c r="A108" s="310"/>
      <c r="B108" s="310"/>
      <c r="C108" s="310"/>
      <c r="D108" s="310"/>
      <c r="E108" s="273" t="s">
        <v>9</v>
      </c>
      <c r="F108" s="108">
        <f>SUM(F105:F107)</f>
        <v>9842.4</v>
      </c>
      <c r="G108" s="273"/>
      <c r="H108" s="273"/>
      <c r="I108" s="80"/>
      <c r="J108" s="81"/>
      <c r="K108" s="103">
        <f>SUM(K105:K107)</f>
        <v>9936</v>
      </c>
      <c r="L108" s="103">
        <f>K108/F108</f>
        <v>1.0095098756400878</v>
      </c>
      <c r="M108" s="79"/>
      <c r="N108" s="337"/>
    </row>
    <row r="109" spans="1:14" s="344" customFormat="1" ht="15" customHeight="1">
      <c r="A109" s="310">
        <v>8949</v>
      </c>
      <c r="B109" s="310" t="s">
        <v>796</v>
      </c>
      <c r="C109" s="310" t="s">
        <v>271</v>
      </c>
      <c r="D109" s="310" t="s">
        <v>797</v>
      </c>
      <c r="E109" s="310" t="s">
        <v>126</v>
      </c>
      <c r="F109" s="99">
        <f>270*1.0936</f>
        <v>295.27199999999999</v>
      </c>
      <c r="G109" s="310" t="s">
        <v>27</v>
      </c>
      <c r="H109" s="79"/>
      <c r="I109" s="80">
        <v>2</v>
      </c>
      <c r="J109" s="81">
        <v>22</v>
      </c>
      <c r="K109" s="81">
        <f t="shared" ref="K109:K110" si="19">I109*J109</f>
        <v>44</v>
      </c>
      <c r="L109" s="310"/>
      <c r="M109" s="310"/>
      <c r="N109" s="343"/>
    </row>
    <row r="110" spans="1:14" s="344" customFormat="1" ht="15" customHeight="1">
      <c r="A110" s="310"/>
      <c r="B110" s="310"/>
      <c r="C110" s="310"/>
      <c r="D110" s="310"/>
      <c r="E110" s="310"/>
      <c r="F110" s="310"/>
      <c r="G110" s="311" t="s">
        <v>49</v>
      </c>
      <c r="H110" s="79"/>
      <c r="I110" s="80">
        <v>1</v>
      </c>
      <c r="J110" s="81">
        <v>34</v>
      </c>
      <c r="K110" s="81">
        <f t="shared" si="19"/>
        <v>34</v>
      </c>
      <c r="L110" s="310"/>
      <c r="M110" s="310"/>
      <c r="N110" s="343"/>
    </row>
    <row r="111" spans="1:14" s="344" customFormat="1" ht="15" customHeight="1">
      <c r="A111" s="310"/>
      <c r="B111" s="310"/>
      <c r="C111" s="310"/>
      <c r="D111" s="310"/>
      <c r="E111" s="273" t="s">
        <v>9</v>
      </c>
      <c r="F111" s="108">
        <f>SUM(F109:F110)</f>
        <v>295.27199999999999</v>
      </c>
      <c r="G111" s="273"/>
      <c r="H111" s="273"/>
      <c r="I111" s="80"/>
      <c r="J111" s="81"/>
      <c r="K111" s="103">
        <f>SUM(K109:K110)</f>
        <v>78</v>
      </c>
      <c r="L111" s="103">
        <f>K111/F111</f>
        <v>0.26416321222466066</v>
      </c>
      <c r="M111" s="310"/>
      <c r="N111" s="343"/>
    </row>
    <row r="112" spans="1:14" s="334" customFormat="1" ht="15" customHeight="1">
      <c r="A112" s="308"/>
      <c r="B112" s="308"/>
      <c r="C112" s="308"/>
      <c r="D112" s="133" t="s">
        <v>30</v>
      </c>
      <c r="E112" s="186"/>
      <c r="F112" s="134">
        <f>F104+F108+F111</f>
        <v>19914.456000000002</v>
      </c>
      <c r="G112" s="135"/>
      <c r="H112" s="135"/>
      <c r="I112" s="135"/>
      <c r="J112" s="135"/>
      <c r="K112" s="134">
        <f>K104+K108+K111</f>
        <v>19950</v>
      </c>
      <c r="L112" s="151">
        <f>K112/F112</f>
        <v>1.0017848340923798</v>
      </c>
      <c r="M112" s="137"/>
      <c r="N112" s="337"/>
    </row>
    <row r="113" spans="1:14" s="334" customFormat="1" ht="15" customHeight="1">
      <c r="A113" s="106" t="s">
        <v>11</v>
      </c>
      <c r="B113" s="106"/>
      <c r="C113" s="106"/>
      <c r="D113" s="106"/>
      <c r="E113" s="106"/>
      <c r="F113" s="107"/>
      <c r="G113" s="107"/>
      <c r="H113" s="107"/>
      <c r="I113" s="107"/>
      <c r="J113" s="107"/>
      <c r="K113" s="867" t="s">
        <v>763</v>
      </c>
      <c r="L113" s="867"/>
      <c r="M113" s="867"/>
      <c r="N113" s="337"/>
    </row>
    <row r="114" spans="1:14" s="342" customFormat="1" ht="15" customHeight="1">
      <c r="A114" s="273" t="s">
        <v>0</v>
      </c>
      <c r="B114" s="273" t="s">
        <v>7</v>
      </c>
      <c r="C114" s="273" t="s">
        <v>13</v>
      </c>
      <c r="D114" s="273" t="s">
        <v>14</v>
      </c>
      <c r="E114" s="273" t="s">
        <v>8</v>
      </c>
      <c r="F114" s="273" t="s">
        <v>1</v>
      </c>
      <c r="G114" s="273" t="s">
        <v>2</v>
      </c>
      <c r="H114" s="273" t="s">
        <v>15</v>
      </c>
      <c r="I114" s="273" t="s">
        <v>3</v>
      </c>
      <c r="J114" s="273" t="s">
        <v>4</v>
      </c>
      <c r="K114" s="273" t="s">
        <v>5</v>
      </c>
      <c r="L114" s="273" t="s">
        <v>12</v>
      </c>
      <c r="M114" s="273" t="s">
        <v>6</v>
      </c>
      <c r="N114" s="341"/>
    </row>
    <row r="115" spans="1:14" s="334" customFormat="1" ht="15" customHeight="1">
      <c r="A115" s="310">
        <v>9589</v>
      </c>
      <c r="B115" s="310" t="s">
        <v>795</v>
      </c>
      <c r="C115" s="310" t="s">
        <v>513</v>
      </c>
      <c r="D115" s="310" t="s">
        <v>297</v>
      </c>
      <c r="E115" s="310" t="s">
        <v>779</v>
      </c>
      <c r="F115" s="87">
        <f>7300*1.0936</f>
        <v>7983.28</v>
      </c>
      <c r="G115" s="311" t="s">
        <v>206</v>
      </c>
      <c r="H115" s="79"/>
      <c r="I115" s="81">
        <v>10</v>
      </c>
      <c r="J115" s="81">
        <v>375</v>
      </c>
      <c r="K115" s="81">
        <f t="shared" ref="K115:K117" si="20">I115*J115</f>
        <v>3750</v>
      </c>
      <c r="L115" s="79"/>
      <c r="M115" s="79"/>
      <c r="N115" s="337"/>
    </row>
    <row r="116" spans="1:14" s="334" customFormat="1" ht="15" customHeight="1">
      <c r="A116" s="310"/>
      <c r="B116" s="310"/>
      <c r="C116" s="310"/>
      <c r="D116" s="310"/>
      <c r="E116" s="310"/>
      <c r="F116" s="310"/>
      <c r="G116" s="173" t="s">
        <v>298</v>
      </c>
      <c r="H116" s="79"/>
      <c r="I116" s="80">
        <f>10+2</f>
        <v>12</v>
      </c>
      <c r="J116" s="81">
        <v>435</v>
      </c>
      <c r="K116" s="94">
        <f t="shared" si="20"/>
        <v>5220</v>
      </c>
      <c r="L116" s="79"/>
      <c r="M116" s="79"/>
      <c r="N116" s="337"/>
    </row>
    <row r="117" spans="1:14" s="334" customFormat="1" ht="15" customHeight="1">
      <c r="A117" s="310"/>
      <c r="B117" s="310"/>
      <c r="C117" s="310"/>
      <c r="D117" s="310"/>
      <c r="E117" s="310"/>
      <c r="F117" s="310"/>
      <c r="G117" s="173" t="s">
        <v>799</v>
      </c>
      <c r="H117" s="79"/>
      <c r="I117" s="188">
        <f>5+2</f>
        <v>7</v>
      </c>
      <c r="J117" s="81">
        <v>350</v>
      </c>
      <c r="K117" s="94">
        <f t="shared" si="20"/>
        <v>2450</v>
      </c>
      <c r="L117" s="36"/>
      <c r="M117" s="79"/>
      <c r="N117" s="337"/>
    </row>
    <row r="118" spans="1:14" s="334" customFormat="1" ht="15" customHeight="1">
      <c r="A118" s="310"/>
      <c r="B118" s="310"/>
      <c r="C118" s="310"/>
      <c r="D118" s="310"/>
      <c r="E118" s="310"/>
      <c r="F118" s="310"/>
      <c r="G118" s="311" t="s">
        <v>798</v>
      </c>
      <c r="H118" s="79"/>
      <c r="I118" s="81">
        <v>5</v>
      </c>
      <c r="J118" s="81">
        <v>248</v>
      </c>
      <c r="K118" s="81">
        <f>I118*J118</f>
        <v>1240</v>
      </c>
      <c r="L118" s="79"/>
      <c r="M118" s="79"/>
      <c r="N118" s="337"/>
    </row>
    <row r="119" spans="1:14" s="334" customFormat="1" ht="15" customHeight="1">
      <c r="A119" s="310"/>
      <c r="B119" s="310"/>
      <c r="C119" s="310"/>
      <c r="D119" s="310"/>
      <c r="E119" s="273" t="s">
        <v>9</v>
      </c>
      <c r="F119" s="108">
        <f>SUM(F115:F118)</f>
        <v>7983.28</v>
      </c>
      <c r="G119" s="273"/>
      <c r="H119" s="273"/>
      <c r="I119" s="81"/>
      <c r="J119" s="81"/>
      <c r="K119" s="103">
        <f>SUM(K115:K118)</f>
        <v>12660</v>
      </c>
      <c r="L119" s="103">
        <f>K119/F119</f>
        <v>1.5858143519956711</v>
      </c>
      <c r="M119" s="79"/>
      <c r="N119" s="337"/>
    </row>
    <row r="120" spans="1:14" s="334" customFormat="1" ht="15" customHeight="1">
      <c r="A120" s="310">
        <v>9591</v>
      </c>
      <c r="B120" s="310" t="s">
        <v>800</v>
      </c>
      <c r="C120" s="89" t="s">
        <v>785</v>
      </c>
      <c r="D120" s="89" t="s">
        <v>801</v>
      </c>
      <c r="E120" s="310" t="s">
        <v>232</v>
      </c>
      <c r="F120" s="90">
        <f>950*1.0936</f>
        <v>1038.9199999999998</v>
      </c>
      <c r="G120" s="310" t="s">
        <v>202</v>
      </c>
      <c r="H120" s="79"/>
      <c r="I120" s="81">
        <v>2</v>
      </c>
      <c r="J120" s="103">
        <v>386</v>
      </c>
      <c r="K120" s="81">
        <f t="shared" ref="K120" si="21">I120*J120</f>
        <v>772</v>
      </c>
      <c r="L120" s="79"/>
      <c r="M120" s="79"/>
      <c r="N120" s="337"/>
    </row>
    <row r="121" spans="1:14" s="334" customFormat="1" ht="15" customHeight="1">
      <c r="A121" s="310"/>
      <c r="B121" s="310"/>
      <c r="C121" s="310"/>
      <c r="D121" s="310"/>
      <c r="E121" s="310"/>
      <c r="F121" s="310"/>
      <c r="G121" s="311"/>
      <c r="H121" s="79"/>
      <c r="I121" s="188"/>
      <c r="J121" s="81"/>
      <c r="K121" s="81"/>
      <c r="L121" s="79"/>
      <c r="M121" s="79"/>
      <c r="N121" s="337"/>
    </row>
    <row r="122" spans="1:14" s="334" customFormat="1" ht="15" customHeight="1">
      <c r="A122" s="310"/>
      <c r="B122" s="310"/>
      <c r="C122" s="310"/>
      <c r="D122" s="310"/>
      <c r="E122" s="273" t="s">
        <v>9</v>
      </c>
      <c r="F122" s="108">
        <f>SUM(F120:F121)</f>
        <v>1038.9199999999998</v>
      </c>
      <c r="G122" s="273"/>
      <c r="H122" s="273"/>
      <c r="I122" s="81"/>
      <c r="J122" s="81"/>
      <c r="K122" s="103">
        <f>SUM(K120:K121)</f>
        <v>772</v>
      </c>
      <c r="L122" s="103">
        <f>K122/F122</f>
        <v>0.74307935163438965</v>
      </c>
      <c r="M122" s="79"/>
      <c r="N122" s="337"/>
    </row>
    <row r="123" spans="1:14" s="334" customFormat="1" ht="15" customHeight="1">
      <c r="A123" s="310">
        <v>9588</v>
      </c>
      <c r="B123" s="310" t="s">
        <v>802</v>
      </c>
      <c r="C123" s="310" t="s">
        <v>121</v>
      </c>
      <c r="D123" s="310" t="s">
        <v>803</v>
      </c>
      <c r="E123" s="310" t="s">
        <v>129</v>
      </c>
      <c r="F123" s="87">
        <f>210*1.0936</f>
        <v>229.65599999999998</v>
      </c>
      <c r="G123" s="311" t="s">
        <v>798</v>
      </c>
      <c r="H123" s="79"/>
      <c r="I123" s="81">
        <v>5</v>
      </c>
      <c r="J123" s="81">
        <v>248</v>
      </c>
      <c r="K123" s="81">
        <f>I123*J123</f>
        <v>1240</v>
      </c>
      <c r="L123" s="79"/>
      <c r="M123" s="79"/>
      <c r="N123" s="337"/>
    </row>
    <row r="124" spans="1:14" s="334" customFormat="1" ht="15" customHeight="1">
      <c r="A124" s="310"/>
      <c r="B124" s="310"/>
      <c r="C124" s="310"/>
      <c r="D124" s="310"/>
      <c r="E124" s="310"/>
      <c r="F124" s="87"/>
      <c r="G124" s="311"/>
      <c r="H124" s="79"/>
      <c r="I124" s="81"/>
      <c r="J124" s="81"/>
      <c r="K124" s="81"/>
      <c r="L124" s="79"/>
      <c r="M124" s="79"/>
      <c r="N124" s="337"/>
    </row>
    <row r="125" spans="1:14" s="334" customFormat="1" ht="15" customHeight="1">
      <c r="A125" s="310"/>
      <c r="B125" s="310"/>
      <c r="C125" s="310"/>
      <c r="D125" s="310"/>
      <c r="E125" s="273" t="s">
        <v>9</v>
      </c>
      <c r="F125" s="108">
        <f>SUM(F123:F124)</f>
        <v>229.65599999999998</v>
      </c>
      <c r="G125" s="273"/>
      <c r="H125" s="273"/>
      <c r="I125" s="81"/>
      <c r="J125" s="81"/>
      <c r="K125" s="103">
        <f>SUM(K123:K124)</f>
        <v>1240</v>
      </c>
      <c r="L125" s="103">
        <f>K125/F125</f>
        <v>5.3993799421743827</v>
      </c>
      <c r="M125" s="79"/>
      <c r="N125" s="337"/>
    </row>
    <row r="126" spans="1:14" s="334" customFormat="1" ht="15" customHeight="1">
      <c r="A126" s="310">
        <v>9592</v>
      </c>
      <c r="B126" s="310" t="s">
        <v>804</v>
      </c>
      <c r="C126" s="310" t="s">
        <v>805</v>
      </c>
      <c r="D126" s="310" t="s">
        <v>775</v>
      </c>
      <c r="E126" s="310" t="s">
        <v>236</v>
      </c>
      <c r="F126" s="90">
        <f>8190*1.0936</f>
        <v>8956.5839999999989</v>
      </c>
      <c r="G126" s="311" t="s">
        <v>587</v>
      </c>
      <c r="H126" s="79"/>
      <c r="I126" s="80">
        <v>10</v>
      </c>
      <c r="J126" s="81">
        <v>456</v>
      </c>
      <c r="K126" s="94">
        <f t="shared" ref="K126:K127" si="22">I126*J126</f>
        <v>4560</v>
      </c>
      <c r="L126" s="79"/>
      <c r="M126" s="79"/>
      <c r="N126" s="337"/>
    </row>
    <row r="127" spans="1:14" s="334" customFormat="1" ht="15" customHeight="1">
      <c r="A127" s="310"/>
      <c r="B127" s="310"/>
      <c r="C127" s="310"/>
      <c r="D127" s="310"/>
      <c r="E127" s="310"/>
      <c r="F127" s="87"/>
      <c r="G127" s="311" t="s">
        <v>206</v>
      </c>
      <c r="H127" s="79"/>
      <c r="I127" s="81"/>
      <c r="J127" s="81">
        <v>375</v>
      </c>
      <c r="K127" s="81">
        <f t="shared" si="22"/>
        <v>0</v>
      </c>
      <c r="L127" s="79"/>
      <c r="M127" s="79"/>
      <c r="N127" s="337"/>
    </row>
    <row r="128" spans="1:14" s="334" customFormat="1" ht="15" customHeight="1">
      <c r="A128" s="310"/>
      <c r="B128" s="310"/>
      <c r="C128" s="310"/>
      <c r="D128" s="310"/>
      <c r="E128" s="273" t="s">
        <v>9</v>
      </c>
      <c r="F128" s="108">
        <f>SUM(F126:F127)</f>
        <v>8956.5839999999989</v>
      </c>
      <c r="G128" s="273"/>
      <c r="H128" s="273"/>
      <c r="I128" s="81"/>
      <c r="J128" s="81"/>
      <c r="K128" s="103">
        <f>SUM(K126:K127)</f>
        <v>4560</v>
      </c>
      <c r="L128" s="103">
        <f>K128/F128</f>
        <v>0.50912267444820491</v>
      </c>
      <c r="M128" s="79"/>
      <c r="N128" s="337"/>
    </row>
    <row r="129" spans="1:14" s="334" customFormat="1" ht="15" customHeight="1">
      <c r="A129" s="107"/>
      <c r="B129" s="107"/>
      <c r="C129" s="107"/>
      <c r="D129" s="133" t="s">
        <v>30</v>
      </c>
      <c r="E129" s="133"/>
      <c r="F129" s="134">
        <f>F119+F122+F125+F128</f>
        <v>18208.439999999999</v>
      </c>
      <c r="G129" s="135"/>
      <c r="H129" s="135"/>
      <c r="I129" s="135"/>
      <c r="J129" s="135"/>
      <c r="K129" s="134">
        <f>K119+K122+K125+K128</f>
        <v>19232</v>
      </c>
      <c r="L129" s="151">
        <f>K129/F129</f>
        <v>1.0562134922047139</v>
      </c>
      <c r="M129" s="107"/>
      <c r="N129" s="337"/>
    </row>
    <row r="130" spans="1:14" s="334" customFormat="1" ht="15" customHeight="1">
      <c r="A130" s="867" t="s">
        <v>42</v>
      </c>
      <c r="B130" s="867"/>
      <c r="C130" s="106"/>
      <c r="D130" s="106"/>
      <c r="E130" s="106"/>
      <c r="F130" s="107"/>
      <c r="G130" s="107"/>
      <c r="H130" s="107"/>
      <c r="I130" s="107"/>
      <c r="J130" s="107"/>
      <c r="K130" s="867" t="s">
        <v>763</v>
      </c>
      <c r="L130" s="867"/>
      <c r="M130" s="867"/>
      <c r="N130" s="337"/>
    </row>
    <row r="131" spans="1:14" s="342" customFormat="1" ht="15" customHeight="1">
      <c r="A131" s="273" t="s">
        <v>0</v>
      </c>
      <c r="B131" s="273" t="s">
        <v>7</v>
      </c>
      <c r="C131" s="273" t="s">
        <v>13</v>
      </c>
      <c r="D131" s="273" t="s">
        <v>14</v>
      </c>
      <c r="E131" s="273" t="s">
        <v>8</v>
      </c>
      <c r="F131" s="273" t="s">
        <v>1</v>
      </c>
      <c r="G131" s="273" t="s">
        <v>2</v>
      </c>
      <c r="H131" s="273" t="s">
        <v>15</v>
      </c>
      <c r="I131" s="273" t="s">
        <v>3</v>
      </c>
      <c r="J131" s="273" t="s">
        <v>4</v>
      </c>
      <c r="K131" s="273" t="s">
        <v>5</v>
      </c>
      <c r="L131" s="273" t="s">
        <v>12</v>
      </c>
      <c r="M131" s="273" t="s">
        <v>6</v>
      </c>
      <c r="N131" s="341"/>
    </row>
    <row r="132" spans="1:14" s="342" customFormat="1" ht="15" customHeight="1">
      <c r="A132" s="310">
        <v>7041</v>
      </c>
      <c r="B132" s="310" t="s">
        <v>776</v>
      </c>
      <c r="C132" s="310" t="s">
        <v>233</v>
      </c>
      <c r="D132" s="310" t="s">
        <v>777</v>
      </c>
      <c r="E132" s="310" t="s">
        <v>93</v>
      </c>
      <c r="F132" s="87">
        <f>20*1.0936</f>
        <v>21.872</v>
      </c>
      <c r="G132" s="91" t="s">
        <v>209</v>
      </c>
      <c r="H132" s="79"/>
      <c r="I132" s="80">
        <v>1.4</v>
      </c>
      <c r="J132" s="81">
        <v>350</v>
      </c>
      <c r="K132" s="81">
        <f t="shared" ref="K132:K135" si="23">I132*J132</f>
        <v>489.99999999999994</v>
      </c>
      <c r="L132" s="103"/>
      <c r="M132" s="273"/>
      <c r="N132" s="341"/>
    </row>
    <row r="133" spans="1:14" s="342" customFormat="1" ht="15" customHeight="1">
      <c r="A133" s="273"/>
      <c r="B133" s="310"/>
      <c r="C133" s="310"/>
      <c r="D133" s="310"/>
      <c r="E133" s="310"/>
      <c r="F133" s="310"/>
      <c r="G133" s="91" t="s">
        <v>123</v>
      </c>
      <c r="H133" s="79"/>
      <c r="I133" s="80">
        <v>0.3</v>
      </c>
      <c r="J133" s="81">
        <v>750</v>
      </c>
      <c r="K133" s="81">
        <f t="shared" si="23"/>
        <v>225</v>
      </c>
      <c r="L133" s="79"/>
      <c r="M133" s="273"/>
      <c r="N133" s="341"/>
    </row>
    <row r="134" spans="1:14" s="342" customFormat="1" ht="15" customHeight="1">
      <c r="A134" s="273"/>
      <c r="B134" s="273"/>
      <c r="C134" s="273"/>
      <c r="D134" s="273"/>
      <c r="E134" s="273"/>
      <c r="F134" s="273"/>
      <c r="G134" s="91" t="s">
        <v>210</v>
      </c>
      <c r="H134" s="79"/>
      <c r="I134" s="80">
        <v>0.12</v>
      </c>
      <c r="J134" s="81">
        <v>690</v>
      </c>
      <c r="K134" s="81">
        <f t="shared" si="23"/>
        <v>82.8</v>
      </c>
      <c r="L134" s="103"/>
      <c r="M134" s="273"/>
      <c r="N134" s="341"/>
    </row>
    <row r="135" spans="1:14" s="342" customFormat="1" ht="15" customHeight="1">
      <c r="A135" s="273"/>
      <c r="B135" s="273"/>
      <c r="C135" s="273"/>
      <c r="D135" s="273"/>
      <c r="E135" s="273"/>
      <c r="F135" s="273"/>
      <c r="G135" s="91" t="s">
        <v>221</v>
      </c>
      <c r="H135" s="112"/>
      <c r="I135" s="113">
        <v>0.23</v>
      </c>
      <c r="J135" s="81">
        <v>980</v>
      </c>
      <c r="K135" s="81">
        <f t="shared" si="23"/>
        <v>225.4</v>
      </c>
      <c r="L135" s="103"/>
      <c r="M135" s="273"/>
      <c r="N135" s="341"/>
    </row>
    <row r="136" spans="1:14" s="342" customFormat="1" ht="15" customHeight="1">
      <c r="A136" s="273"/>
      <c r="B136" s="273"/>
      <c r="C136" s="273"/>
      <c r="D136" s="273"/>
      <c r="E136" s="273"/>
      <c r="F136" s="273"/>
      <c r="G136" s="311" t="s">
        <v>211</v>
      </c>
      <c r="H136" s="79"/>
      <c r="I136" s="80">
        <v>10</v>
      </c>
      <c r="J136" s="81">
        <v>120</v>
      </c>
      <c r="K136" s="81">
        <f>I136*J136</f>
        <v>1200</v>
      </c>
      <c r="L136" s="103"/>
      <c r="M136" s="273"/>
      <c r="N136" s="341"/>
    </row>
    <row r="137" spans="1:14" s="342" customFormat="1" ht="15" customHeight="1">
      <c r="A137" s="273"/>
      <c r="B137" s="273"/>
      <c r="C137" s="273"/>
      <c r="D137" s="273"/>
      <c r="E137" s="273"/>
      <c r="F137" s="273"/>
      <c r="G137" s="311" t="s">
        <v>212</v>
      </c>
      <c r="H137" s="79"/>
      <c r="I137" s="80">
        <v>0.9</v>
      </c>
      <c r="J137" s="81">
        <v>527</v>
      </c>
      <c r="K137" s="81">
        <f t="shared" ref="K137:K140" si="24">I137*J137</f>
        <v>474.3</v>
      </c>
      <c r="L137" s="103"/>
      <c r="M137" s="273"/>
      <c r="N137" s="341"/>
    </row>
    <row r="138" spans="1:14" s="342" customFormat="1" ht="15" customHeight="1">
      <c r="A138" s="273"/>
      <c r="B138" s="273"/>
      <c r="C138" s="273"/>
      <c r="D138" s="273"/>
      <c r="E138" s="273"/>
      <c r="F138" s="273"/>
      <c r="G138" s="311" t="s">
        <v>45</v>
      </c>
      <c r="H138" s="79"/>
      <c r="I138" s="80">
        <v>1</v>
      </c>
      <c r="J138" s="81">
        <v>45</v>
      </c>
      <c r="K138" s="81">
        <f t="shared" si="24"/>
        <v>45</v>
      </c>
      <c r="L138" s="103"/>
      <c r="M138" s="273"/>
      <c r="N138" s="341"/>
    </row>
    <row r="139" spans="1:14" s="342" customFormat="1" ht="15" customHeight="1">
      <c r="A139" s="273"/>
      <c r="B139" s="273"/>
      <c r="C139" s="273"/>
      <c r="D139" s="273"/>
      <c r="E139" s="273"/>
      <c r="F139" s="273"/>
      <c r="G139" s="311" t="s">
        <v>213</v>
      </c>
      <c r="H139" s="79"/>
      <c r="I139" s="80">
        <v>1.4</v>
      </c>
      <c r="J139" s="81">
        <v>348</v>
      </c>
      <c r="K139" s="81">
        <f t="shared" si="24"/>
        <v>487.2</v>
      </c>
      <c r="L139" s="103"/>
      <c r="M139" s="273"/>
      <c r="N139" s="341"/>
    </row>
    <row r="140" spans="1:14" s="342" customFormat="1" ht="15" customHeight="1">
      <c r="A140" s="273"/>
      <c r="B140" s="273"/>
      <c r="C140" s="273"/>
      <c r="D140" s="273"/>
      <c r="E140" s="273"/>
      <c r="F140" s="273"/>
      <c r="G140" s="310" t="s">
        <v>28</v>
      </c>
      <c r="H140" s="79"/>
      <c r="I140" s="80">
        <v>1</v>
      </c>
      <c r="J140" s="81">
        <v>17</v>
      </c>
      <c r="K140" s="81">
        <f t="shared" si="24"/>
        <v>17</v>
      </c>
      <c r="L140" s="79"/>
      <c r="M140" s="273"/>
      <c r="N140" s="341"/>
    </row>
    <row r="141" spans="1:14" s="342" customFormat="1" ht="15" customHeight="1">
      <c r="A141" s="273"/>
      <c r="B141" s="273"/>
      <c r="C141" s="273"/>
      <c r="D141" s="273"/>
      <c r="E141" s="273" t="s">
        <v>9</v>
      </c>
      <c r="F141" s="108">
        <f>SUM(F132:F140)</f>
        <v>21.872</v>
      </c>
      <c r="G141" s="273"/>
      <c r="H141" s="273"/>
      <c r="I141" s="81"/>
      <c r="J141" s="81"/>
      <c r="K141" s="103">
        <f>SUM(K132:K140)</f>
        <v>3246.7</v>
      </c>
      <c r="L141" s="103">
        <f>K141/F141</f>
        <v>148.44092904169713</v>
      </c>
      <c r="M141" s="79"/>
      <c r="N141" s="341"/>
    </row>
    <row r="142" spans="1:14" s="334" customFormat="1" ht="15" customHeight="1">
      <c r="A142" s="107"/>
      <c r="B142" s="107"/>
      <c r="C142" s="107"/>
      <c r="D142" s="133" t="s">
        <v>30</v>
      </c>
      <c r="E142" s="133"/>
      <c r="F142" s="134">
        <f>F141</f>
        <v>21.872</v>
      </c>
      <c r="G142" s="135"/>
      <c r="H142" s="135"/>
      <c r="I142" s="135"/>
      <c r="J142" s="135"/>
      <c r="K142" s="134">
        <f>K141</f>
        <v>3246.7</v>
      </c>
      <c r="L142" s="151">
        <f>K142/F142</f>
        <v>148.44092904169713</v>
      </c>
      <c r="M142" s="107"/>
      <c r="N142" s="337"/>
    </row>
    <row r="143" spans="1:14" s="334" customFormat="1" ht="15" customHeight="1">
      <c r="A143" s="337"/>
      <c r="B143" s="337"/>
      <c r="C143" s="337"/>
      <c r="D143" s="337"/>
      <c r="E143" s="337"/>
      <c r="F143" s="337"/>
      <c r="G143" s="337"/>
      <c r="H143" s="337"/>
      <c r="I143" s="337"/>
      <c r="J143" s="337"/>
      <c r="K143" s="337"/>
      <c r="L143" s="337"/>
      <c r="M143" s="337"/>
      <c r="N143" s="337"/>
    </row>
    <row r="144" spans="1:14" s="334" customFormat="1" ht="15" customHeight="1">
      <c r="A144" s="337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</row>
    <row r="145" spans="1:14" s="334" customFormat="1" ht="15" customHeight="1">
      <c r="A145" s="337"/>
      <c r="B145" s="337"/>
      <c r="C145" s="337"/>
      <c r="D145" s="133" t="s">
        <v>1009</v>
      </c>
      <c r="E145" s="285">
        <f>F98+F142</f>
        <v>27061.131999999998</v>
      </c>
      <c r="F145" s="126"/>
      <c r="G145" s="127">
        <f>K14+K29+K42+K98+K112+K129+K142</f>
        <v>239973.45300000001</v>
      </c>
      <c r="H145" s="128"/>
      <c r="I145" s="128"/>
      <c r="J145" s="128"/>
      <c r="K145" s="128"/>
      <c r="L145" s="127">
        <f>G145/E145</f>
        <v>8.8678275912478473</v>
      </c>
      <c r="M145" s="337"/>
      <c r="N145" s="337"/>
    </row>
    <row r="146" spans="1:14" s="334" customFormat="1" ht="15" customHeight="1">
      <c r="A146" s="337"/>
      <c r="B146" s="337"/>
      <c r="C146" s="337"/>
      <c r="D146" s="317" t="s">
        <v>855</v>
      </c>
      <c r="E146" s="286"/>
      <c r="F146" s="102"/>
      <c r="G146" s="345">
        <f>K51+K52+K53+K54+K58+K59+K60+K64+K65+K66+K67+K68+K72+K73+K74+K78+K79+K80+K81+K82+K86+K87+K88+K92+K93+K94+K132+K133+K134+K135</f>
        <v>99515.953000000009</v>
      </c>
      <c r="H146" s="369"/>
      <c r="I146" s="345">
        <f>G146+M162</f>
        <v>100750.97300000001</v>
      </c>
      <c r="J146" s="369"/>
      <c r="K146" s="369"/>
      <c r="L146" s="415"/>
      <c r="M146" s="337"/>
      <c r="N146" s="337"/>
    </row>
    <row r="147" spans="1:14" s="334" customFormat="1" ht="15" customHeight="1">
      <c r="A147" s="337"/>
      <c r="B147" s="337"/>
      <c r="C147" s="337"/>
      <c r="D147" s="347" t="s">
        <v>854</v>
      </c>
      <c r="E147" s="287"/>
      <c r="F147" s="348"/>
      <c r="G147" s="349">
        <f>G145-G146</f>
        <v>140457.5</v>
      </c>
      <c r="H147" s="413"/>
      <c r="I147" s="413"/>
      <c r="J147" s="369"/>
      <c r="K147" s="346"/>
      <c r="L147" s="414"/>
      <c r="M147" s="337"/>
      <c r="N147" s="337"/>
    </row>
    <row r="148" spans="1:14" s="334" customFormat="1" ht="15" customHeight="1">
      <c r="A148" s="337"/>
      <c r="B148" s="337"/>
      <c r="C148" s="337"/>
      <c r="D148" s="317" t="s">
        <v>853</v>
      </c>
      <c r="E148" s="102"/>
      <c r="F148" s="102"/>
      <c r="G148" s="288">
        <f>SUM(G146:G147)</f>
        <v>239973.45300000001</v>
      </c>
      <c r="H148" s="375"/>
      <c r="I148" s="376"/>
      <c r="J148" s="376"/>
      <c r="K148" s="377"/>
      <c r="L148" s="289">
        <f>G148/E145</f>
        <v>8.8678275912478473</v>
      </c>
      <c r="M148" s="337"/>
      <c r="N148" s="337"/>
    </row>
    <row r="149" spans="1:14" s="334" customFormat="1" ht="15" customHeight="1">
      <c r="A149" s="337"/>
      <c r="B149" s="337"/>
      <c r="C149" s="337"/>
      <c r="D149" s="395" t="s">
        <v>906</v>
      </c>
      <c r="E149" s="408"/>
      <c r="F149" s="317"/>
      <c r="G149" s="465">
        <f>M162</f>
        <v>1235.02</v>
      </c>
      <c r="H149" s="138"/>
      <c r="I149" s="138"/>
      <c r="J149" s="138"/>
      <c r="K149" s="138"/>
      <c r="L149" s="487"/>
      <c r="M149" s="337"/>
      <c r="N149" s="337"/>
    </row>
    <row r="150" spans="1:14" s="334" customFormat="1" ht="15" customHeight="1">
      <c r="A150" s="337"/>
      <c r="B150" s="337"/>
      <c r="C150" s="337"/>
      <c r="D150" s="71"/>
      <c r="E150" s="71"/>
      <c r="F150" s="71"/>
      <c r="G150" s="71"/>
      <c r="H150" s="71"/>
      <c r="I150" s="71"/>
      <c r="J150" s="71"/>
      <c r="K150" s="71"/>
      <c r="L150" s="71"/>
      <c r="M150" s="337"/>
      <c r="N150" s="337"/>
    </row>
    <row r="151" spans="1:14" s="334" customFormat="1" ht="15" customHeight="1">
      <c r="A151" s="337"/>
      <c r="B151" s="337"/>
      <c r="C151" s="337"/>
      <c r="D151" s="931" t="s">
        <v>834</v>
      </c>
      <c r="E151" s="931"/>
      <c r="F151" s="320">
        <f>G161+G162+G163+G164</f>
        <v>152340</v>
      </c>
      <c r="G151" s="71"/>
      <c r="H151" s="30"/>
      <c r="I151" s="29"/>
      <c r="J151" s="29"/>
      <c r="K151" s="29"/>
      <c r="L151" s="29"/>
      <c r="M151"/>
    </row>
    <row r="152" spans="1:14" s="334" customFormat="1" ht="15" customHeight="1">
      <c r="A152" s="337"/>
      <c r="B152" s="337"/>
      <c r="C152" s="337"/>
      <c r="D152" s="931" t="s">
        <v>835</v>
      </c>
      <c r="E152" s="931"/>
      <c r="F152" s="320">
        <f>G157+G158</f>
        <v>15464</v>
      </c>
      <c r="G152" s="71"/>
      <c r="H152" s="500" t="s">
        <v>908</v>
      </c>
      <c r="I152" s="834" t="s">
        <v>315</v>
      </c>
      <c r="J152" s="835"/>
      <c r="K152" s="80">
        <f>0.06+0.036</f>
        <v>9.6000000000000002E-2</v>
      </c>
      <c r="L152" s="81">
        <v>2184</v>
      </c>
      <c r="M152" s="81">
        <f t="shared" ref="M152:M153" si="25">K152*L152</f>
        <v>209.66400000000002</v>
      </c>
      <c r="N152" s="337"/>
    </row>
    <row r="153" spans="1:14" s="334" customFormat="1" ht="15" customHeight="1">
      <c r="A153" s="337"/>
      <c r="B153" s="337"/>
      <c r="C153" s="337"/>
      <c r="D153" s="931" t="s">
        <v>836</v>
      </c>
      <c r="E153" s="931"/>
      <c r="F153" s="317">
        <f>SUM(F151:F152)</f>
        <v>167804</v>
      </c>
      <c r="G153" s="71"/>
      <c r="H153" s="500" t="s">
        <v>909</v>
      </c>
      <c r="I153" s="832" t="s">
        <v>405</v>
      </c>
      <c r="J153" s="833"/>
      <c r="K153" s="80">
        <v>0.56999999999999995</v>
      </c>
      <c r="L153" s="81">
        <v>1708</v>
      </c>
      <c r="M153" s="81">
        <f t="shared" si="25"/>
        <v>973.56</v>
      </c>
      <c r="N153" s="337"/>
    </row>
    <row r="154" spans="1:14" s="334" customFormat="1" ht="15" customHeight="1">
      <c r="A154" s="337"/>
      <c r="B154" s="337"/>
      <c r="C154" s="337"/>
      <c r="D154" s="350" t="s">
        <v>847</v>
      </c>
      <c r="E154" s="350"/>
      <c r="F154" s="320">
        <f>F151-G147</f>
        <v>11882.5</v>
      </c>
      <c r="G154" s="71"/>
      <c r="H154" s="500" t="s">
        <v>910</v>
      </c>
      <c r="I154" s="830" t="s">
        <v>192</v>
      </c>
      <c r="J154" s="831"/>
      <c r="K154" s="80">
        <f>0.04+0.006</f>
        <v>4.5999999999999999E-2</v>
      </c>
      <c r="L154" s="81">
        <v>1126</v>
      </c>
      <c r="M154" s="81">
        <f t="shared" ref="M154:M157" si="26">K154*L154</f>
        <v>51.795999999999999</v>
      </c>
      <c r="N154" s="337"/>
    </row>
    <row r="155" spans="1:14" s="334" customFormat="1" ht="15" customHeight="1">
      <c r="A155" s="337"/>
      <c r="B155" s="337"/>
      <c r="C155" s="337"/>
      <c r="D155" s="71"/>
      <c r="E155" s="71"/>
      <c r="F155" s="71"/>
      <c r="G155" s="71"/>
      <c r="H155" s="500" t="s">
        <v>908</v>
      </c>
      <c r="I155" s="832" t="s">
        <v>460</v>
      </c>
      <c r="J155" s="833"/>
      <c r="K155" s="80"/>
      <c r="L155" s="81">
        <v>920</v>
      </c>
      <c r="M155" s="81">
        <f t="shared" si="26"/>
        <v>0</v>
      </c>
      <c r="N155" s="337"/>
    </row>
    <row r="156" spans="1:14" s="334" customFormat="1" ht="15" customHeight="1">
      <c r="A156" s="337"/>
      <c r="B156" s="836" t="s">
        <v>833</v>
      </c>
      <c r="C156" s="837"/>
      <c r="D156" s="274" t="s">
        <v>844</v>
      </c>
      <c r="E156" s="274" t="s">
        <v>845</v>
      </c>
      <c r="F156" s="274" t="s">
        <v>846</v>
      </c>
      <c r="G156" s="274" t="s">
        <v>5</v>
      </c>
      <c r="H156" s="500" t="s">
        <v>912</v>
      </c>
      <c r="I156" s="834"/>
      <c r="J156" s="835"/>
      <c r="K156" s="80"/>
      <c r="L156" s="81"/>
      <c r="M156" s="81">
        <f t="shared" si="26"/>
        <v>0</v>
      </c>
      <c r="N156" s="337"/>
    </row>
    <row r="157" spans="1:14" s="334" customFormat="1" ht="15" customHeight="1">
      <c r="A157" s="337"/>
      <c r="B157" s="337"/>
      <c r="C157" s="337"/>
      <c r="D157" s="312" t="s">
        <v>837</v>
      </c>
      <c r="E157" s="102">
        <v>15.5</v>
      </c>
      <c r="F157" s="147">
        <f>888</f>
        <v>888</v>
      </c>
      <c r="G157" s="145">
        <f>F157*E157</f>
        <v>13764</v>
      </c>
      <c r="H157" s="500" t="s">
        <v>911</v>
      </c>
      <c r="I157" s="830"/>
      <c r="J157" s="831"/>
      <c r="K157" s="80"/>
      <c r="L157" s="81"/>
      <c r="M157" s="81">
        <f t="shared" si="26"/>
        <v>0</v>
      </c>
      <c r="N157" s="337"/>
    </row>
    <row r="158" spans="1:14" s="334" customFormat="1" ht="15" customHeight="1">
      <c r="A158" s="337"/>
      <c r="B158" s="337"/>
      <c r="C158" s="337"/>
      <c r="D158" s="146" t="s">
        <v>838</v>
      </c>
      <c r="E158" s="102">
        <v>34</v>
      </c>
      <c r="F158" s="147">
        <f>50</f>
        <v>50</v>
      </c>
      <c r="G158" s="145">
        <f t="shared" ref="G158:G164" si="27">F158*E158</f>
        <v>1700</v>
      </c>
      <c r="H158" s="500" t="s">
        <v>909</v>
      </c>
      <c r="I158" s="838"/>
      <c r="J158" s="839"/>
      <c r="K158" s="2"/>
      <c r="L158" s="2"/>
      <c r="M158" s="388"/>
      <c r="N158" s="337"/>
    </row>
    <row r="159" spans="1:14" s="1" customFormat="1" ht="15" customHeight="1">
      <c r="B159" s="29"/>
      <c r="C159" s="29"/>
      <c r="D159" s="322" t="s">
        <v>843</v>
      </c>
      <c r="E159" s="317"/>
      <c r="F159" s="321">
        <f>SUM(F157:F158)</f>
        <v>938</v>
      </c>
      <c r="G159" s="320">
        <f>SUM(G157:G158)</f>
        <v>15464</v>
      </c>
      <c r="H159" s="500" t="s">
        <v>911</v>
      </c>
      <c r="I159" s="417"/>
      <c r="J159" s="418"/>
      <c r="K159" s="394"/>
      <c r="L159" s="394"/>
      <c r="M159" s="437"/>
    </row>
    <row r="160" spans="1:14" s="1" customFormat="1" ht="15" customHeight="1">
      <c r="B160" s="29"/>
      <c r="C160" s="29"/>
      <c r="D160" s="322"/>
      <c r="E160" s="317"/>
      <c r="F160" s="321"/>
      <c r="G160" s="320"/>
      <c r="H160" s="30"/>
      <c r="I160" s="417"/>
      <c r="J160" s="418"/>
      <c r="K160" s="394"/>
      <c r="L160" s="394"/>
      <c r="M160" s="437"/>
    </row>
    <row r="161" spans="1:14" s="334" customFormat="1" ht="15" customHeight="1">
      <c r="A161" s="337"/>
      <c r="B161" s="337"/>
      <c r="C161" s="337"/>
      <c r="D161" s="312" t="s">
        <v>839</v>
      </c>
      <c r="E161" s="102">
        <v>120</v>
      </c>
      <c r="F161" s="147">
        <f>120</f>
        <v>120</v>
      </c>
      <c r="G161" s="145">
        <f t="shared" si="27"/>
        <v>14400</v>
      </c>
      <c r="H161" s="30"/>
      <c r="I161" s="841"/>
      <c r="J161" s="842"/>
      <c r="K161" s="394"/>
      <c r="L161" s="394"/>
      <c r="M161" s="2"/>
      <c r="N161" s="337"/>
    </row>
    <row r="162" spans="1:14" s="334" customFormat="1" ht="15" customHeight="1">
      <c r="A162" s="337"/>
      <c r="B162" s="337"/>
      <c r="C162" s="337"/>
      <c r="D162" s="312" t="s">
        <v>842</v>
      </c>
      <c r="E162" s="102">
        <v>416</v>
      </c>
      <c r="F162" s="147">
        <v>180</v>
      </c>
      <c r="G162" s="145">
        <f t="shared" si="27"/>
        <v>74880</v>
      </c>
      <c r="H162" s="29"/>
      <c r="I162" s="844" t="s">
        <v>906</v>
      </c>
      <c r="J162" s="845"/>
      <c r="K162" s="490">
        <f>SUM(K152:K161)</f>
        <v>0.71199999999999997</v>
      </c>
      <c r="L162" s="491"/>
      <c r="M162" s="489">
        <f>SUM(M152:M161)</f>
        <v>1235.02</v>
      </c>
      <c r="N162" s="337"/>
    </row>
    <row r="163" spans="1:14" s="334" customFormat="1" ht="15" customHeight="1">
      <c r="A163" s="337"/>
      <c r="B163" s="337"/>
      <c r="C163" s="337"/>
      <c r="D163" s="148" t="s">
        <v>840</v>
      </c>
      <c r="E163" s="102">
        <v>165</v>
      </c>
      <c r="F163" s="102">
        <v>240</v>
      </c>
      <c r="G163" s="145">
        <f t="shared" si="27"/>
        <v>39600</v>
      </c>
      <c r="H163" s="29"/>
      <c r="I163" s="29"/>
      <c r="J163" s="29"/>
      <c r="K163" s="29"/>
      <c r="L163" s="29"/>
      <c r="M163" s="263">
        <f>G146+M162</f>
        <v>100750.97300000001</v>
      </c>
      <c r="N163" s="337"/>
    </row>
    <row r="164" spans="1:14" s="334" customFormat="1" ht="15" customHeight="1">
      <c r="A164" s="337"/>
      <c r="B164" s="337"/>
      <c r="C164" s="337"/>
      <c r="D164" s="312" t="s">
        <v>841</v>
      </c>
      <c r="E164" s="102">
        <v>46</v>
      </c>
      <c r="F164" s="147">
        <v>510</v>
      </c>
      <c r="G164" s="145">
        <f t="shared" si="27"/>
        <v>23460</v>
      </c>
      <c r="H164" s="71"/>
      <c r="I164" s="71"/>
      <c r="J164" s="71"/>
      <c r="K164" s="71"/>
      <c r="L164" s="71"/>
      <c r="M164" s="337"/>
      <c r="N164" s="337"/>
    </row>
    <row r="165" spans="1:14" s="334" customFormat="1" ht="15" customHeight="1">
      <c r="A165" s="337"/>
      <c r="B165" s="337"/>
      <c r="C165" s="337"/>
      <c r="D165" s="322" t="s">
        <v>843</v>
      </c>
      <c r="E165" s="317"/>
      <c r="F165" s="321">
        <f>SUM(F161:F164)</f>
        <v>1050</v>
      </c>
      <c r="G165" s="320">
        <f>SUM(G161:G164)</f>
        <v>152340</v>
      </c>
      <c r="H165" s="71"/>
      <c r="I165" s="71"/>
      <c r="J165" s="71"/>
      <c r="K165" s="71"/>
      <c r="L165" s="71"/>
      <c r="M165" s="337"/>
      <c r="N165" s="337"/>
    </row>
    <row r="166" spans="1:14" ht="15" customHeight="1">
      <c r="B166" s="28"/>
      <c r="C166" s="28"/>
      <c r="D166" s="322" t="s">
        <v>969</v>
      </c>
      <c r="E166" s="317"/>
      <c r="F166" s="321">
        <f>F159+F165</f>
        <v>1988</v>
      </c>
      <c r="G166" s="320">
        <f>G159+G165</f>
        <v>167804</v>
      </c>
      <c r="H166" s="28"/>
      <c r="I166" s="28"/>
      <c r="J166" s="28"/>
      <c r="K166" s="28"/>
      <c r="L166" s="28"/>
    </row>
    <row r="167" spans="1:14" s="334" customFormat="1" ht="15" customHeight="1">
      <c r="A167" s="337"/>
      <c r="B167" s="337"/>
      <c r="C167" s="337"/>
      <c r="D167" s="337"/>
      <c r="E167" s="337"/>
      <c r="F167" s="337"/>
      <c r="G167" s="337"/>
      <c r="H167" s="337"/>
      <c r="I167" s="337"/>
      <c r="J167" s="337"/>
      <c r="K167" s="337"/>
      <c r="L167" s="337"/>
      <c r="M167" s="337"/>
      <c r="N167" s="337"/>
    </row>
    <row r="168" spans="1:14" s="334" customFormat="1" ht="15" customHeight="1">
      <c r="A168" s="337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</row>
    <row r="169" spans="1:14" s="334" customFormat="1" ht="15" customHeight="1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</row>
    <row r="170" spans="1:14" s="334" customFormat="1" ht="15" customHeight="1">
      <c r="A170" s="337"/>
      <c r="B170" s="337"/>
      <c r="C170" s="337"/>
      <c r="D170" s="337"/>
      <c r="E170" s="337"/>
      <c r="F170" s="337"/>
      <c r="G170" s="337"/>
      <c r="H170" s="337"/>
      <c r="I170" s="337"/>
      <c r="J170" s="337"/>
      <c r="K170" s="337"/>
      <c r="L170" s="337"/>
      <c r="M170" s="337"/>
      <c r="N170" s="337"/>
    </row>
    <row r="171" spans="1:14" s="334" customFormat="1" ht="15" customHeight="1">
      <c r="A171" s="337"/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</row>
    <row r="172" spans="1:14" s="334" customFormat="1" ht="15" customHeight="1">
      <c r="A172" s="337"/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</row>
    <row r="173" spans="1:14" s="334" customFormat="1" ht="15" customHeight="1">
      <c r="A173" s="337"/>
      <c r="B173" s="337"/>
      <c r="C173" s="337"/>
      <c r="D173" s="337"/>
      <c r="E173" s="337"/>
      <c r="F173" s="337"/>
      <c r="G173" s="337"/>
      <c r="H173" s="337"/>
      <c r="I173" s="337"/>
      <c r="J173" s="337"/>
      <c r="K173" s="337"/>
      <c r="L173" s="337"/>
      <c r="M173" s="337"/>
      <c r="N173" s="337"/>
    </row>
    <row r="174" spans="1:14" s="334" customFormat="1" ht="15" customHeight="1">
      <c r="A174" s="337"/>
      <c r="B174" s="337"/>
      <c r="C174" s="337"/>
      <c r="D174" s="337"/>
      <c r="E174" s="337"/>
      <c r="F174" s="337"/>
      <c r="G174" s="337"/>
      <c r="H174" s="337"/>
      <c r="I174" s="337"/>
      <c r="J174" s="337"/>
      <c r="K174" s="337"/>
      <c r="L174" s="337"/>
      <c r="M174" s="337"/>
      <c r="N174" s="337"/>
    </row>
    <row r="175" spans="1:14" s="334" customFormat="1" ht="15" customHeight="1">
      <c r="A175" s="337"/>
      <c r="B175" s="337"/>
      <c r="C175" s="337"/>
      <c r="D175" s="337"/>
      <c r="E175" s="337"/>
      <c r="F175" s="337"/>
      <c r="G175" s="337"/>
      <c r="H175" s="337"/>
      <c r="I175" s="337"/>
      <c r="J175" s="337"/>
      <c r="K175" s="337"/>
      <c r="L175" s="337"/>
      <c r="M175" s="337"/>
      <c r="N175" s="337"/>
    </row>
    <row r="176" spans="1:14" s="334" customFormat="1" ht="15" customHeight="1">
      <c r="A176" s="337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</row>
    <row r="177" spans="1:14" s="334" customFormat="1" ht="15" customHeight="1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</row>
    <row r="178" spans="1:14" s="334" customFormat="1" ht="15" customHeight="1">
      <c r="A178" s="337"/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</row>
    <row r="179" spans="1:14" s="334" customFormat="1" ht="15" customHeight="1">
      <c r="A179" s="337"/>
      <c r="B179" s="337"/>
      <c r="C179" s="337"/>
      <c r="D179" s="337"/>
      <c r="E179" s="337"/>
      <c r="F179" s="337"/>
      <c r="G179" s="337"/>
      <c r="H179" s="337"/>
      <c r="I179" s="337"/>
      <c r="J179" s="337"/>
      <c r="K179" s="337"/>
      <c r="L179" s="337"/>
      <c r="M179" s="337"/>
      <c r="N179" s="337"/>
    </row>
    <row r="180" spans="1:14" s="334" customFormat="1" ht="15" customHeight="1">
      <c r="A180" s="337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</row>
    <row r="181" spans="1:14" s="334" customFormat="1" ht="15" customHeight="1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</row>
    <row r="182" spans="1:14" s="334" customFormat="1" ht="15" customHeight="1">
      <c r="A182" s="337"/>
      <c r="B182" s="337"/>
      <c r="C182" s="337"/>
      <c r="D182" s="337"/>
      <c r="E182" s="337"/>
      <c r="F182" s="337"/>
      <c r="G182" s="337"/>
      <c r="H182" s="337"/>
      <c r="I182" s="337"/>
      <c r="J182" s="337"/>
      <c r="K182" s="337"/>
      <c r="L182" s="337"/>
      <c r="M182" s="337"/>
      <c r="N182" s="337"/>
    </row>
    <row r="183" spans="1:14" s="334" customFormat="1" ht="15" customHeight="1">
      <c r="A183" s="337"/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</row>
    <row r="184" spans="1:14" s="334" customFormat="1" ht="15" customHeight="1">
      <c r="A184" s="337"/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</row>
    <row r="185" spans="1:14" s="64" customFormat="1" ht="15" customHeight="1">
      <c r="A185" s="840" t="s">
        <v>240</v>
      </c>
      <c r="B185" s="840"/>
      <c r="C185" s="840" t="s">
        <v>765</v>
      </c>
      <c r="D185" s="840"/>
      <c r="E185" s="840" t="s">
        <v>764</v>
      </c>
      <c r="F185" s="840"/>
      <c r="G185" s="380" t="s">
        <v>66</v>
      </c>
      <c r="H185" s="840" t="s">
        <v>411</v>
      </c>
      <c r="I185" s="840"/>
      <c r="J185" s="840"/>
      <c r="K185" s="840" t="s">
        <v>68</v>
      </c>
      <c r="L185" s="840"/>
      <c r="M185" s="840"/>
    </row>
    <row r="186" spans="1:14" ht="15" customHeight="1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</row>
    <row r="187" spans="1:14" ht="15" customHeight="1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</row>
    <row r="188" spans="1:14" ht="15" customHeight="1">
      <c r="A188" s="230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</row>
    <row r="189" spans="1:14" ht="15" customHeight="1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</row>
    <row r="190" spans="1:14" ht="15" customHeight="1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</row>
    <row r="191" spans="1:14" ht="15" customHeight="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</row>
    <row r="192" spans="1:14" ht="15" customHeight="1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</row>
    <row r="193" spans="1:14" ht="15" customHeight="1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</row>
    <row r="194" spans="1:14" ht="15" customHeight="1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</row>
    <row r="195" spans="1:14" ht="15" customHeight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</row>
    <row r="196" spans="1:14" ht="15" customHeight="1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</row>
    <row r="197" spans="1:14" ht="15" customHeight="1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</row>
    <row r="198" spans="1:14" ht="15" customHeight="1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</row>
    <row r="199" spans="1:14" ht="15" customHeight="1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</row>
    <row r="200" spans="1:14" ht="15" customHeight="1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</row>
    <row r="201" spans="1:14" ht="15" customHeight="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</row>
    <row r="202" spans="1:14" ht="15" customHeight="1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</row>
    <row r="203" spans="1:14" ht="15" customHeight="1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</row>
    <row r="204" spans="1:14" ht="15" customHeight="1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</row>
    <row r="205" spans="1:14" ht="15" customHeight="1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</row>
    <row r="206" spans="1:14" ht="15" customHeight="1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</row>
    <row r="207" spans="1:14" ht="15" customHeight="1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</row>
    <row r="208" spans="1:14" ht="15" customHeight="1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</row>
    <row r="209" spans="1:14" ht="15" customHeight="1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</row>
    <row r="210" spans="1:14" ht="15" customHeight="1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</row>
    <row r="211" spans="1:14" ht="15" customHeight="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</row>
    <row r="212" spans="1:14" ht="15" customHeight="1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</row>
    <row r="213" spans="1:14" ht="15" customHeight="1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</row>
    <row r="214" spans="1:14" ht="15" customHeight="1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</row>
    <row r="215" spans="1:14" ht="15" customHeight="1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</row>
    <row r="216" spans="1:14" ht="15" customHeight="1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</row>
    <row r="217" spans="1:14" ht="15" customHeight="1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</row>
    <row r="218" spans="1:14" ht="15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</row>
    <row r="219" spans="1:14" ht="15" customHeight="1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</row>
    <row r="220" spans="1:14" ht="15" customHeight="1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</row>
    <row r="221" spans="1:14" ht="15" customHeight="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</row>
    <row r="222" spans="1:14" ht="15" customHeight="1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</row>
    <row r="223" spans="1:14" ht="15" customHeight="1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</row>
    <row r="224" spans="1:14" ht="15" customHeight="1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</row>
    <row r="225" spans="1:14" ht="15" customHeight="1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</row>
    <row r="226" spans="1:14" ht="15" customHeight="1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</row>
    <row r="227" spans="1:14" ht="15" customHeight="1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</row>
    <row r="228" spans="1:14" ht="15" customHeight="1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</row>
    <row r="229" spans="1:14" ht="15" customHeight="1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</row>
    <row r="230" spans="1:14" ht="15" customHeight="1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</row>
    <row r="231" spans="1:14" ht="15" customHeight="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</row>
    <row r="232" spans="1:14" ht="15" customHeight="1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</row>
    <row r="233" spans="1:14" ht="15" customHeight="1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</row>
    <row r="234" spans="1:14" ht="15" customHeight="1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</row>
    <row r="235" spans="1:14" ht="15" customHeight="1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</row>
    <row r="236" spans="1:14" ht="15" customHeight="1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</row>
    <row r="237" spans="1:14" ht="15" customHeight="1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</row>
    <row r="238" spans="1:14" ht="15" customHeight="1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</row>
    <row r="239" spans="1:14" ht="15" customHeight="1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</row>
    <row r="240" spans="1:14" ht="15" customHeight="1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</row>
    <row r="241" spans="1:14" ht="15" customHeight="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</row>
    <row r="242" spans="1:14" ht="15" customHeight="1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</row>
    <row r="243" spans="1:14" ht="15" customHeight="1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</row>
    <row r="244" spans="1:14" ht="15" customHeight="1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</row>
    <row r="245" spans="1:14" ht="15" customHeight="1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</row>
    <row r="246" spans="1:14" ht="15" customHeight="1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</row>
    <row r="247" spans="1:14" ht="15" customHeight="1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</row>
    <row r="248" spans="1:14" ht="15" customHeight="1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</row>
    <row r="249" spans="1:14" ht="15" customHeight="1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</row>
    <row r="250" spans="1:14" ht="15" customHeight="1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</row>
    <row r="251" spans="1:14" ht="15" customHeight="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</row>
    <row r="252" spans="1:14" ht="15" customHeight="1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</row>
    <row r="253" spans="1:14" ht="15" customHeight="1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</row>
    <row r="254" spans="1:14" ht="15" customHeight="1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</row>
    <row r="255" spans="1:14" ht="15" customHeight="1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</row>
    <row r="256" spans="1:14" ht="15" customHeight="1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</row>
    <row r="257" spans="1:14" ht="15" customHeight="1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</row>
    <row r="258" spans="1:14" ht="15" customHeight="1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</row>
    <row r="259" spans="1:14" ht="15" customHeight="1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</row>
    <row r="260" spans="1:14" ht="15" customHeight="1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</row>
    <row r="261" spans="1:14" ht="15" customHeight="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</row>
    <row r="262" spans="1:14" ht="15.6" customHeight="1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</row>
    <row r="263" spans="1:14" ht="15.6" customHeight="1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</row>
    <row r="264" spans="1:14" ht="15.6" customHeight="1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</row>
    <row r="265" spans="1:14" ht="15.6" customHeight="1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</row>
    <row r="266" spans="1:14" ht="15.6" customHeight="1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</row>
    <row r="267" spans="1:14" ht="15.6" customHeight="1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</row>
    <row r="268" spans="1:14" ht="15.6" customHeight="1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</row>
    <row r="269" spans="1:14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</row>
    <row r="270" spans="1:14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</row>
    <row r="271" spans="1:14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</row>
    <row r="272" spans="1:14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</row>
    <row r="273" spans="1:14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</row>
    <row r="274" spans="1:1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</row>
    <row r="275" spans="1:14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</row>
    <row r="276" spans="1:14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</row>
    <row r="277" spans="1:14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</row>
    <row r="278" spans="1:14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</row>
    <row r="279" spans="1:14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</row>
    <row r="280" spans="1:14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</row>
    <row r="281" spans="1:14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</row>
    <row r="282" spans="1:14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</row>
    <row r="283" spans="1:14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</row>
    <row r="284" spans="1:1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</row>
    <row r="285" spans="1:14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</row>
    <row r="286" spans="1:14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</row>
    <row r="287" spans="1:14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</row>
    <row r="288" spans="1:14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</row>
    <row r="289" spans="1:14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</row>
    <row r="290" spans="1:14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</row>
    <row r="291" spans="1:14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</row>
    <row r="292" spans="1:14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</row>
    <row r="293" spans="1:14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</row>
    <row r="294" spans="1:1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</row>
    <row r="295" spans="1:14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</row>
    <row r="296" spans="1:14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</row>
    <row r="297" spans="1:14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</row>
    <row r="298" spans="1:14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</row>
    <row r="299" spans="1:14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</row>
    <row r="300" spans="1:14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</row>
    <row r="301" spans="1:14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</row>
    <row r="302" spans="1:14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</row>
    <row r="303" spans="1:14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</row>
    <row r="304" spans="1:1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</row>
    <row r="305" spans="1:14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</row>
    <row r="306" spans="1:14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</row>
    <row r="307" spans="1:14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</row>
    <row r="308" spans="1:14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</row>
    <row r="309" spans="1:14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</row>
    <row r="310" spans="1:14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</row>
    <row r="311" spans="1:14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</row>
    <row r="312" spans="1:14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</row>
    <row r="313" spans="1:14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</row>
    <row r="314" spans="1:14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</row>
    <row r="315" spans="1:14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</row>
    <row r="316" spans="1:14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</row>
    <row r="317" spans="1:14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</row>
    <row r="318" spans="1:14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</row>
    <row r="319" spans="1:14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</row>
    <row r="320" spans="1:14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</row>
    <row r="321" spans="1:14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</row>
    <row r="322" spans="1:14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</row>
    <row r="323" spans="1:14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</row>
    <row r="324" spans="1:14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</row>
    <row r="325" spans="1:14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</row>
    <row r="326" spans="1:14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</row>
    <row r="327" spans="1:14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</row>
    <row r="328" spans="1:14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</row>
    <row r="329" spans="1:14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</row>
    <row r="330" spans="1:14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</row>
    <row r="331" spans="1:14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</row>
    <row r="332" spans="1:14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</row>
    <row r="333" spans="1:14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</row>
    <row r="334" spans="1:14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</row>
    <row r="335" spans="1:14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</row>
    <row r="336" spans="1:14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</row>
    <row r="337" spans="1:14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</row>
    <row r="338" spans="1:14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</row>
    <row r="339" spans="1:14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</row>
    <row r="340" spans="1:14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</row>
    <row r="341" spans="1:14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</row>
    <row r="342" spans="1:14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</row>
    <row r="343" spans="1:14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</row>
    <row r="344" spans="1:14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</row>
    <row r="345" spans="1:14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</row>
    <row r="346" spans="1:14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</row>
    <row r="347" spans="1:14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</row>
    <row r="348" spans="1:14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</row>
    <row r="349" spans="1:14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</row>
    <row r="350" spans="1:14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</row>
    <row r="351" spans="1:14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</row>
    <row r="352" spans="1:14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</row>
    <row r="353" spans="1:14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</row>
    <row r="354" spans="1:14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</row>
    <row r="355" spans="1:14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</row>
    <row r="356" spans="1:14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</row>
    <row r="357" spans="1:14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</row>
    <row r="358" spans="1:14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</row>
    <row r="359" spans="1:14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</row>
    <row r="360" spans="1:14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</row>
    <row r="361" spans="1:14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</row>
    <row r="362" spans="1:14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</row>
    <row r="363" spans="1:14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</row>
    <row r="364" spans="1:14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</row>
    <row r="365" spans="1:14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</row>
    <row r="366" spans="1:14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</row>
    <row r="367" spans="1:14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</row>
    <row r="368" spans="1:14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</row>
    <row r="369" spans="1:14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</row>
    <row r="370" spans="1:14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</row>
    <row r="371" spans="1:14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</row>
    <row r="372" spans="1:14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</row>
    <row r="373" spans="1:14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</row>
    <row r="374" spans="1:14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</row>
    <row r="375" spans="1:14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</row>
    <row r="376" spans="1:14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</row>
    <row r="377" spans="1:14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</row>
    <row r="378" spans="1:14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</row>
    <row r="379" spans="1:14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</row>
    <row r="380" spans="1:14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</row>
    <row r="381" spans="1:14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</row>
    <row r="382" spans="1:14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</row>
    <row r="383" spans="1:14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</row>
    <row r="384" spans="1:14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</row>
    <row r="385" spans="1:14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</row>
    <row r="386" spans="1:14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</row>
    <row r="387" spans="1:14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</row>
    <row r="388" spans="1:14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</row>
    <row r="389" spans="1:14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</row>
    <row r="390" spans="1:14" ht="12.95" customHeight="1">
      <c r="A390" s="867" t="s">
        <v>42</v>
      </c>
      <c r="B390" s="867"/>
      <c r="C390" s="106"/>
      <c r="D390" s="106"/>
      <c r="E390" s="106"/>
      <c r="F390" s="183" t="s">
        <v>333</v>
      </c>
      <c r="G390" s="107"/>
      <c r="H390" s="107"/>
      <c r="I390" s="107"/>
      <c r="J390" s="107"/>
      <c r="K390" s="824" t="s">
        <v>441</v>
      </c>
      <c r="L390" s="824"/>
      <c r="M390" s="824"/>
      <c r="N390" s="71"/>
    </row>
    <row r="391" spans="1:14" ht="12.95" customHeight="1">
      <c r="A391" s="235" t="s">
        <v>0</v>
      </c>
      <c r="B391" s="235" t="s">
        <v>7</v>
      </c>
      <c r="C391" s="235" t="s">
        <v>13</v>
      </c>
      <c r="D391" s="235" t="s">
        <v>14</v>
      </c>
      <c r="E391" s="235" t="s">
        <v>8</v>
      </c>
      <c r="F391" s="235" t="s">
        <v>1</v>
      </c>
      <c r="G391" s="235" t="s">
        <v>2</v>
      </c>
      <c r="H391" s="235" t="s">
        <v>15</v>
      </c>
      <c r="I391" s="235" t="s">
        <v>3</v>
      </c>
      <c r="J391" s="235" t="s">
        <v>4</v>
      </c>
      <c r="K391" s="235" t="s">
        <v>5</v>
      </c>
      <c r="L391" s="235" t="s">
        <v>12</v>
      </c>
      <c r="M391" s="235" t="s">
        <v>6</v>
      </c>
      <c r="N391" s="71"/>
    </row>
    <row r="392" spans="1:14" ht="12.95" customHeight="1">
      <c r="A392" s="120">
        <v>5388</v>
      </c>
      <c r="B392" s="89" t="s">
        <v>220</v>
      </c>
      <c r="C392" s="120" t="s">
        <v>222</v>
      </c>
      <c r="D392" s="120" t="s">
        <v>223</v>
      </c>
      <c r="E392" s="89" t="s">
        <v>93</v>
      </c>
      <c r="F392" s="90">
        <v>10</v>
      </c>
      <c r="G392" s="91" t="s">
        <v>209</v>
      </c>
      <c r="H392" s="79"/>
      <c r="I392" s="80">
        <v>0.56999999999999995</v>
      </c>
      <c r="J392" s="81">
        <v>350</v>
      </c>
      <c r="K392" s="81">
        <f t="shared" ref="K392:K394" si="28">I392*J392</f>
        <v>199.49999999999997</v>
      </c>
      <c r="L392" s="235"/>
      <c r="M392" s="235"/>
      <c r="N392" s="71"/>
    </row>
    <row r="393" spans="1:14" ht="12.95" customHeight="1">
      <c r="A393" s="235"/>
      <c r="B393" s="235"/>
      <c r="C393" s="235"/>
      <c r="D393" s="235"/>
      <c r="E393" s="235"/>
      <c r="F393" s="235"/>
      <c r="G393" s="91" t="s">
        <v>215</v>
      </c>
      <c r="H393" s="109"/>
      <c r="I393" s="80">
        <v>5.5E-2</v>
      </c>
      <c r="J393" s="81">
        <v>750</v>
      </c>
      <c r="K393" s="81">
        <f t="shared" si="28"/>
        <v>41.25</v>
      </c>
      <c r="L393" s="235"/>
      <c r="M393" s="235"/>
      <c r="N393" s="71"/>
    </row>
    <row r="394" spans="1:14" ht="12.95" customHeight="1">
      <c r="A394" s="235"/>
      <c r="B394" s="235"/>
      <c r="C394" s="235"/>
      <c r="D394" s="235"/>
      <c r="E394" s="235"/>
      <c r="F394" s="235"/>
      <c r="G394" s="91" t="s">
        <v>221</v>
      </c>
      <c r="H394" s="112"/>
      <c r="I394" s="113">
        <v>1</v>
      </c>
      <c r="J394" s="81">
        <v>980</v>
      </c>
      <c r="K394" s="81">
        <f t="shared" si="28"/>
        <v>980</v>
      </c>
      <c r="L394" s="235"/>
      <c r="M394" s="235"/>
      <c r="N394" s="71"/>
    </row>
    <row r="395" spans="1:14" ht="12.95" customHeight="1">
      <c r="A395" s="235"/>
      <c r="B395" s="235"/>
      <c r="C395" s="235"/>
      <c r="D395" s="235"/>
      <c r="E395" s="235"/>
      <c r="F395" s="235"/>
      <c r="G395" s="83" t="s">
        <v>211</v>
      </c>
      <c r="H395" s="79"/>
      <c r="I395" s="80">
        <v>12</v>
      </c>
      <c r="J395" s="81">
        <v>120</v>
      </c>
      <c r="K395" s="81">
        <f>I395*J395</f>
        <v>1440</v>
      </c>
      <c r="L395" s="235"/>
      <c r="M395" s="235"/>
      <c r="N395" s="71"/>
    </row>
    <row r="396" spans="1:14" ht="12.95" customHeight="1">
      <c r="A396" s="235"/>
      <c r="B396" s="235"/>
      <c r="C396" s="235"/>
      <c r="D396" s="235"/>
      <c r="E396" s="235"/>
      <c r="F396" s="235"/>
      <c r="G396" s="83" t="s">
        <v>212</v>
      </c>
      <c r="H396" s="79"/>
      <c r="I396" s="80">
        <v>1.2</v>
      </c>
      <c r="J396" s="81">
        <v>527</v>
      </c>
      <c r="K396" s="81">
        <f t="shared" ref="K396:K398" si="29">I396*J396</f>
        <v>632.4</v>
      </c>
      <c r="L396" s="235"/>
      <c r="M396" s="235"/>
      <c r="N396" s="71"/>
    </row>
    <row r="397" spans="1:14" ht="12.95" customHeight="1">
      <c r="A397" s="235"/>
      <c r="B397" s="235"/>
      <c r="C397" s="235"/>
      <c r="D397" s="235"/>
      <c r="E397" s="235"/>
      <c r="F397" s="235"/>
      <c r="G397" s="83" t="s">
        <v>213</v>
      </c>
      <c r="H397" s="79"/>
      <c r="I397" s="80">
        <v>0.66</v>
      </c>
      <c r="J397" s="81">
        <v>348</v>
      </c>
      <c r="K397" s="81">
        <f t="shared" si="29"/>
        <v>229.68</v>
      </c>
      <c r="L397" s="235"/>
      <c r="M397" s="235"/>
      <c r="N397" s="71"/>
    </row>
    <row r="398" spans="1:14" ht="12.95" customHeight="1">
      <c r="A398" s="235"/>
      <c r="B398" s="235"/>
      <c r="C398" s="235"/>
      <c r="D398" s="235"/>
      <c r="E398" s="235"/>
      <c r="F398" s="235"/>
      <c r="G398" s="83" t="s">
        <v>45</v>
      </c>
      <c r="H398" s="79"/>
      <c r="I398" s="80">
        <v>0.9</v>
      </c>
      <c r="J398" s="81">
        <v>45</v>
      </c>
      <c r="K398" s="81">
        <f t="shared" si="29"/>
        <v>40.5</v>
      </c>
      <c r="L398" s="235"/>
      <c r="M398" s="235"/>
      <c r="N398" s="71"/>
    </row>
    <row r="399" spans="1:14" ht="12.95" customHeight="1">
      <c r="A399" s="235"/>
      <c r="B399" s="235"/>
      <c r="C399" s="235"/>
      <c r="D399" s="235"/>
      <c r="E399" s="235" t="s">
        <v>9</v>
      </c>
      <c r="F399" s="108">
        <f>SUM(F392:F398)</f>
        <v>10</v>
      </c>
      <c r="G399" s="235"/>
      <c r="H399" s="235"/>
      <c r="I399" s="81"/>
      <c r="J399" s="81"/>
      <c r="K399" s="103">
        <f>SUM(K392:K398)</f>
        <v>3563.33</v>
      </c>
      <c r="L399" s="103">
        <f>K399/F399</f>
        <v>356.33299999999997</v>
      </c>
      <c r="M399" s="180" t="s">
        <v>95</v>
      </c>
      <c r="N399" s="71"/>
    </row>
    <row r="400" spans="1:14" ht="12.95" customHeight="1">
      <c r="A400" s="120">
        <v>5389</v>
      </c>
      <c r="B400" s="89" t="s">
        <v>220</v>
      </c>
      <c r="C400" s="120" t="s">
        <v>222</v>
      </c>
      <c r="D400" s="120" t="s">
        <v>223</v>
      </c>
      <c r="E400" s="89" t="s">
        <v>93</v>
      </c>
      <c r="F400" s="90">
        <v>10</v>
      </c>
      <c r="G400" s="91" t="s">
        <v>209</v>
      </c>
      <c r="H400" s="79"/>
      <c r="I400" s="80">
        <v>0.09</v>
      </c>
      <c r="J400" s="81">
        <v>350</v>
      </c>
      <c r="K400" s="81">
        <f t="shared" ref="K400:K402" si="30">I400*J400</f>
        <v>31.5</v>
      </c>
      <c r="L400" s="235"/>
      <c r="M400" s="235"/>
      <c r="N400" s="71"/>
    </row>
    <row r="401" spans="1:14" ht="12.95" customHeight="1">
      <c r="A401" s="235"/>
      <c r="B401" s="235"/>
      <c r="C401" s="235"/>
      <c r="D401" s="235"/>
      <c r="E401" s="235"/>
      <c r="F401" s="235"/>
      <c r="G401" s="91" t="s">
        <v>123</v>
      </c>
      <c r="H401" s="120"/>
      <c r="I401" s="96">
        <v>1.6</v>
      </c>
      <c r="J401" s="81">
        <v>750</v>
      </c>
      <c r="K401" s="94">
        <f t="shared" si="30"/>
        <v>1200</v>
      </c>
      <c r="L401" s="235"/>
      <c r="M401" s="235"/>
      <c r="N401" s="71"/>
    </row>
    <row r="402" spans="1:14" ht="12.95" customHeight="1">
      <c r="A402" s="235"/>
      <c r="B402" s="235"/>
      <c r="C402" s="235"/>
      <c r="D402" s="235"/>
      <c r="E402" s="235"/>
      <c r="F402" s="235"/>
      <c r="G402" s="91" t="s">
        <v>210</v>
      </c>
      <c r="H402" s="109"/>
      <c r="I402" s="80">
        <v>0.35</v>
      </c>
      <c r="J402" s="81">
        <v>890</v>
      </c>
      <c r="K402" s="81">
        <f t="shared" si="30"/>
        <v>311.5</v>
      </c>
      <c r="L402" s="235"/>
      <c r="M402" s="235"/>
      <c r="N402" s="71"/>
    </row>
    <row r="403" spans="1:14" ht="12.95" customHeight="1">
      <c r="A403" s="235"/>
      <c r="B403" s="235"/>
      <c r="C403" s="235"/>
      <c r="D403" s="235"/>
      <c r="E403" s="235"/>
      <c r="F403" s="235"/>
      <c r="G403" s="83" t="s">
        <v>211</v>
      </c>
      <c r="H403" s="79"/>
      <c r="I403" s="80">
        <v>10</v>
      </c>
      <c r="J403" s="81">
        <v>120</v>
      </c>
      <c r="K403" s="81">
        <f>I403*J403</f>
        <v>1200</v>
      </c>
      <c r="L403" s="235"/>
      <c r="M403" s="235"/>
      <c r="N403" s="71"/>
    </row>
    <row r="404" spans="1:14" ht="12.95" customHeight="1">
      <c r="A404" s="235"/>
      <c r="B404" s="235"/>
      <c r="C404" s="235"/>
      <c r="D404" s="235"/>
      <c r="E404" s="235"/>
      <c r="F404" s="235"/>
      <c r="G404" s="83" t="s">
        <v>212</v>
      </c>
      <c r="H404" s="79"/>
      <c r="I404" s="80">
        <v>1</v>
      </c>
      <c r="J404" s="81">
        <v>527</v>
      </c>
      <c r="K404" s="81">
        <f t="shared" ref="K404:K406" si="31">I404*J404</f>
        <v>527</v>
      </c>
      <c r="L404" s="235"/>
      <c r="M404" s="235"/>
      <c r="N404" s="71"/>
    </row>
    <row r="405" spans="1:14" ht="12.95" customHeight="1">
      <c r="A405" s="235"/>
      <c r="B405" s="235"/>
      <c r="C405" s="235"/>
      <c r="D405" s="235"/>
      <c r="E405" s="235"/>
      <c r="F405" s="235"/>
      <c r="G405" s="83" t="s">
        <v>213</v>
      </c>
      <c r="H405" s="79"/>
      <c r="I405" s="80">
        <v>0.6</v>
      </c>
      <c r="J405" s="81">
        <v>348</v>
      </c>
      <c r="K405" s="81">
        <f t="shared" si="31"/>
        <v>208.79999999999998</v>
      </c>
      <c r="L405" s="235"/>
      <c r="M405" s="235"/>
      <c r="N405" s="71"/>
    </row>
    <row r="406" spans="1:14" ht="12.95" customHeight="1">
      <c r="A406" s="235"/>
      <c r="B406" s="235"/>
      <c r="C406" s="235"/>
      <c r="D406" s="235"/>
      <c r="E406" s="235"/>
      <c r="F406" s="235"/>
      <c r="G406" s="83" t="s">
        <v>45</v>
      </c>
      <c r="H406" s="79"/>
      <c r="I406" s="80">
        <v>1.2</v>
      </c>
      <c r="J406" s="81">
        <v>45</v>
      </c>
      <c r="K406" s="81">
        <f t="shared" si="31"/>
        <v>54</v>
      </c>
      <c r="L406" s="235"/>
      <c r="M406" s="235"/>
      <c r="N406" s="71"/>
    </row>
    <row r="407" spans="1:14" ht="12.95" customHeight="1">
      <c r="A407" s="235"/>
      <c r="B407" s="235"/>
      <c r="C407" s="235"/>
      <c r="D407" s="235"/>
      <c r="E407" s="235" t="s">
        <v>9</v>
      </c>
      <c r="F407" s="108">
        <f>SUM(F400:F406)</f>
        <v>10</v>
      </c>
      <c r="G407" s="235"/>
      <c r="H407" s="235"/>
      <c r="I407" s="81"/>
      <c r="J407" s="81"/>
      <c r="K407" s="103">
        <f>SUM(K400:K406)</f>
        <v>3532.8</v>
      </c>
      <c r="L407" s="103">
        <f>K407/F407</f>
        <v>353.28000000000003</v>
      </c>
      <c r="M407" s="180" t="s">
        <v>95</v>
      </c>
      <c r="N407" s="71"/>
    </row>
    <row r="408" spans="1:14" ht="12.95" customHeight="1">
      <c r="A408" s="232"/>
      <c r="B408" s="232"/>
      <c r="C408" s="236"/>
      <c r="D408" s="133" t="s">
        <v>30</v>
      </c>
      <c r="E408" s="133"/>
      <c r="F408" s="134">
        <f>F399+F407</f>
        <v>20</v>
      </c>
      <c r="G408" s="135"/>
      <c r="H408" s="135"/>
      <c r="I408" s="135"/>
      <c r="J408" s="135"/>
      <c r="K408" s="134">
        <f>K399+K407</f>
        <v>7096.13</v>
      </c>
      <c r="L408" s="151">
        <f>K408/F408</f>
        <v>354.80650000000003</v>
      </c>
      <c r="M408" s="181"/>
      <c r="N408" s="71"/>
    </row>
    <row r="409" spans="1:14" ht="12.95" customHeight="1">
      <c r="A409" s="867" t="s">
        <v>42</v>
      </c>
      <c r="B409" s="867"/>
      <c r="C409" s="106"/>
      <c r="D409" s="106"/>
      <c r="E409" s="106"/>
      <c r="F409" s="107"/>
      <c r="G409" s="107"/>
      <c r="H409" s="107"/>
      <c r="I409" s="107"/>
      <c r="J409" s="107"/>
      <c r="K409" s="106" t="s">
        <v>331</v>
      </c>
      <c r="L409" s="106"/>
      <c r="M409" s="106"/>
      <c r="N409" s="71"/>
    </row>
    <row r="410" spans="1:14" ht="12.95" customHeight="1">
      <c r="A410" s="235" t="s">
        <v>0</v>
      </c>
      <c r="B410" s="235" t="s">
        <v>7</v>
      </c>
      <c r="C410" s="235" t="s">
        <v>13</v>
      </c>
      <c r="D410" s="235" t="s">
        <v>14</v>
      </c>
      <c r="E410" s="235" t="s">
        <v>8</v>
      </c>
      <c r="F410" s="235" t="s">
        <v>1</v>
      </c>
      <c r="G410" s="235" t="s">
        <v>2</v>
      </c>
      <c r="H410" s="235" t="s">
        <v>15</v>
      </c>
      <c r="I410" s="235" t="s">
        <v>3</v>
      </c>
      <c r="J410" s="235" t="s">
        <v>4</v>
      </c>
      <c r="K410" s="235" t="s">
        <v>5</v>
      </c>
      <c r="L410" s="235" t="s">
        <v>12</v>
      </c>
      <c r="M410" s="235" t="s">
        <v>6</v>
      </c>
      <c r="N410" s="71"/>
    </row>
    <row r="411" spans="1:14" ht="12.95" customHeight="1">
      <c r="A411" s="120">
        <v>5395</v>
      </c>
      <c r="B411" s="120" t="s">
        <v>277</v>
      </c>
      <c r="C411" s="120" t="s">
        <v>121</v>
      </c>
      <c r="D411" s="120" t="s">
        <v>246</v>
      </c>
      <c r="E411" s="120" t="s">
        <v>93</v>
      </c>
      <c r="F411" s="87">
        <v>15</v>
      </c>
      <c r="G411" s="91" t="s">
        <v>209</v>
      </c>
      <c r="H411" s="79"/>
      <c r="I411" s="80">
        <v>0.45</v>
      </c>
      <c r="J411" s="81">
        <v>350</v>
      </c>
      <c r="K411" s="81">
        <f t="shared" ref="K411:K414" si="32">I411*J411</f>
        <v>157.5</v>
      </c>
      <c r="L411" s="112"/>
      <c r="M411" s="178" t="s">
        <v>95</v>
      </c>
      <c r="N411" s="71"/>
    </row>
    <row r="412" spans="1:14" ht="12.95" customHeight="1">
      <c r="A412" s="120"/>
      <c r="B412" s="120"/>
      <c r="C412" s="120"/>
      <c r="D412" s="120"/>
      <c r="E412" s="120"/>
      <c r="F412" s="87"/>
      <c r="G412" s="91" t="s">
        <v>215</v>
      </c>
      <c r="H412" s="109"/>
      <c r="I412" s="80">
        <v>0.19700000000000001</v>
      </c>
      <c r="J412" s="81">
        <v>750</v>
      </c>
      <c r="K412" s="81">
        <f t="shared" si="32"/>
        <v>147.75</v>
      </c>
      <c r="L412" s="79"/>
      <c r="M412" s="79"/>
      <c r="N412" s="71"/>
    </row>
    <row r="413" spans="1:14" ht="12.95" customHeight="1">
      <c r="A413" s="120"/>
      <c r="B413" s="120"/>
      <c r="C413" s="120"/>
      <c r="D413" s="120"/>
      <c r="E413" s="120"/>
      <c r="F413" s="87"/>
      <c r="G413" s="91" t="s">
        <v>210</v>
      </c>
      <c r="H413" s="109"/>
      <c r="I413" s="80">
        <v>1.4999999999999999E-2</v>
      </c>
      <c r="J413" s="81">
        <v>890</v>
      </c>
      <c r="K413" s="81">
        <f t="shared" si="32"/>
        <v>13.35</v>
      </c>
      <c r="L413" s="79"/>
      <c r="M413" s="79"/>
      <c r="N413" s="71"/>
    </row>
    <row r="414" spans="1:14" ht="12.95" customHeight="1">
      <c r="A414" s="120"/>
      <c r="B414" s="120"/>
      <c r="C414" s="120"/>
      <c r="D414" s="120"/>
      <c r="E414" s="120"/>
      <c r="F414" s="87"/>
      <c r="G414" s="91" t="s">
        <v>216</v>
      </c>
      <c r="H414" s="112"/>
      <c r="I414" s="113">
        <v>0.1</v>
      </c>
      <c r="J414" s="81">
        <v>352</v>
      </c>
      <c r="K414" s="81">
        <f t="shared" si="32"/>
        <v>35.200000000000003</v>
      </c>
      <c r="L414" s="79"/>
      <c r="M414" s="79"/>
      <c r="N414" s="71"/>
    </row>
    <row r="415" spans="1:14" ht="12.95" customHeight="1">
      <c r="A415" s="120"/>
      <c r="B415" s="120"/>
      <c r="C415" s="120"/>
      <c r="D415" s="120"/>
      <c r="E415" s="120"/>
      <c r="F415" s="87"/>
      <c r="G415" s="83" t="s">
        <v>211</v>
      </c>
      <c r="H415" s="79"/>
      <c r="I415" s="80">
        <v>6.5</v>
      </c>
      <c r="J415" s="81">
        <v>120</v>
      </c>
      <c r="K415" s="81">
        <f>I415*J415</f>
        <v>780</v>
      </c>
      <c r="L415" s="79"/>
      <c r="M415" s="79"/>
      <c r="N415" s="71"/>
    </row>
    <row r="416" spans="1:14" ht="12.95" customHeight="1">
      <c r="A416" s="120"/>
      <c r="B416" s="120"/>
      <c r="C416" s="120"/>
      <c r="D416" s="120"/>
      <c r="E416" s="120"/>
      <c r="F416" s="87"/>
      <c r="G416" s="83" t="s">
        <v>212</v>
      </c>
      <c r="H416" s="79"/>
      <c r="I416" s="80">
        <v>1</v>
      </c>
      <c r="J416" s="81">
        <v>527</v>
      </c>
      <c r="K416" s="81">
        <f t="shared" ref="K416:K419" si="33">I416*J416</f>
        <v>527</v>
      </c>
      <c r="L416" s="79"/>
      <c r="M416" s="79"/>
      <c r="N416" s="71"/>
    </row>
    <row r="417" spans="1:14" ht="12.95" customHeight="1">
      <c r="A417" s="120"/>
      <c r="B417" s="120"/>
      <c r="C417" s="120"/>
      <c r="D417" s="120"/>
      <c r="E417" s="120"/>
      <c r="F417" s="87"/>
      <c r="G417" s="83" t="s">
        <v>213</v>
      </c>
      <c r="H417" s="79"/>
      <c r="I417" s="80">
        <v>1.5</v>
      </c>
      <c r="J417" s="81">
        <v>348</v>
      </c>
      <c r="K417" s="81">
        <f t="shared" si="33"/>
        <v>522</v>
      </c>
      <c r="L417" s="79"/>
      <c r="M417" s="79"/>
      <c r="N417" s="71"/>
    </row>
    <row r="418" spans="1:14" ht="12.95" customHeight="1">
      <c r="A418" s="120"/>
      <c r="B418" s="120"/>
      <c r="C418" s="120"/>
      <c r="D418" s="120"/>
      <c r="E418" s="120"/>
      <c r="F418" s="87"/>
      <c r="G418" s="83" t="s">
        <v>45</v>
      </c>
      <c r="H418" s="79"/>
      <c r="I418" s="80">
        <v>1.8</v>
      </c>
      <c r="J418" s="81">
        <v>45</v>
      </c>
      <c r="K418" s="81">
        <f t="shared" si="33"/>
        <v>81</v>
      </c>
      <c r="L418" s="79"/>
      <c r="M418" s="79"/>
      <c r="N418" s="71"/>
    </row>
    <row r="419" spans="1:14" ht="12.95" customHeight="1">
      <c r="A419" s="120"/>
      <c r="B419" s="120"/>
      <c r="C419" s="120"/>
      <c r="D419" s="120"/>
      <c r="E419" s="120"/>
      <c r="F419" s="87"/>
      <c r="G419" s="83" t="s">
        <v>214</v>
      </c>
      <c r="H419" s="79"/>
      <c r="I419" s="80">
        <v>28</v>
      </c>
      <c r="J419" s="81">
        <v>360</v>
      </c>
      <c r="K419" s="81">
        <f t="shared" si="33"/>
        <v>10080</v>
      </c>
      <c r="L419" s="79"/>
      <c r="M419" s="79"/>
      <c r="N419" s="71"/>
    </row>
    <row r="420" spans="1:14" ht="12.95" customHeight="1">
      <c r="A420" s="120"/>
      <c r="B420" s="120"/>
      <c r="C420" s="120"/>
      <c r="D420" s="120"/>
      <c r="E420" s="235" t="s">
        <v>9</v>
      </c>
      <c r="F420" s="108">
        <f>SUM(F411:F419)</f>
        <v>15</v>
      </c>
      <c r="G420" s="235"/>
      <c r="H420" s="235"/>
      <c r="I420" s="81"/>
      <c r="J420" s="81"/>
      <c r="K420" s="103">
        <f>SUM(K411:K419)</f>
        <v>12343.8</v>
      </c>
      <c r="L420" s="158">
        <f>K420/F420</f>
        <v>822.92</v>
      </c>
      <c r="M420" s="178" t="s">
        <v>249</v>
      </c>
      <c r="N420" s="71"/>
    </row>
    <row r="421" spans="1:14" ht="12.95" customHeight="1">
      <c r="A421" s="107"/>
      <c r="B421" s="107"/>
      <c r="C421" s="107"/>
      <c r="D421" s="133" t="s">
        <v>30</v>
      </c>
      <c r="E421" s="133"/>
      <c r="F421" s="134">
        <f>F420</f>
        <v>15</v>
      </c>
      <c r="G421" s="135"/>
      <c r="H421" s="135"/>
      <c r="I421" s="135"/>
      <c r="J421" s="135"/>
      <c r="K421" s="134">
        <f>K420</f>
        <v>12343.8</v>
      </c>
      <c r="L421" s="151">
        <f>K421/F421</f>
        <v>822.92</v>
      </c>
      <c r="M421" s="107"/>
      <c r="N421" s="71"/>
    </row>
    <row r="422" spans="1:14" ht="12.95" customHeight="1">
      <c r="A422" s="106" t="s">
        <v>42</v>
      </c>
      <c r="B422" s="106"/>
      <c r="C422" s="106"/>
      <c r="D422" s="106"/>
      <c r="E422" s="106"/>
      <c r="F422" s="107"/>
      <c r="G422" s="107"/>
      <c r="H422" s="107"/>
      <c r="I422" s="107"/>
      <c r="J422" s="107"/>
      <c r="K422" s="106" t="s">
        <v>252</v>
      </c>
      <c r="L422" s="106"/>
      <c r="M422" s="106"/>
      <c r="N422" s="71"/>
    </row>
    <row r="423" spans="1:14" ht="12.95" customHeight="1">
      <c r="A423" s="235" t="s">
        <v>0</v>
      </c>
      <c r="B423" s="235" t="s">
        <v>7</v>
      </c>
      <c r="C423" s="235" t="s">
        <v>13</v>
      </c>
      <c r="D423" s="235" t="s">
        <v>14</v>
      </c>
      <c r="E423" s="235" t="s">
        <v>8</v>
      </c>
      <c r="F423" s="235" t="s">
        <v>1</v>
      </c>
      <c r="G423" s="235" t="s">
        <v>2</v>
      </c>
      <c r="H423" s="235" t="s">
        <v>15</v>
      </c>
      <c r="I423" s="235" t="s">
        <v>3</v>
      </c>
      <c r="J423" s="235" t="s">
        <v>4</v>
      </c>
      <c r="K423" s="235" t="s">
        <v>5</v>
      </c>
      <c r="L423" s="235" t="s">
        <v>12</v>
      </c>
      <c r="M423" s="235" t="s">
        <v>6</v>
      </c>
      <c r="N423" s="71"/>
    </row>
    <row r="424" spans="1:14" ht="12.95" customHeight="1">
      <c r="A424" s="120">
        <v>5397</v>
      </c>
      <c r="B424" s="120" t="s">
        <v>218</v>
      </c>
      <c r="C424" s="120" t="s">
        <v>222</v>
      </c>
      <c r="D424" s="120" t="s">
        <v>266</v>
      </c>
      <c r="E424" s="120" t="s">
        <v>93</v>
      </c>
      <c r="F424" s="87">
        <v>425</v>
      </c>
      <c r="G424" s="91" t="s">
        <v>209</v>
      </c>
      <c r="H424" s="79"/>
      <c r="I424" s="80">
        <v>1.548</v>
      </c>
      <c r="J424" s="81">
        <v>350</v>
      </c>
      <c r="K424" s="81">
        <f t="shared" ref="K424:K426" si="34">I424*J424</f>
        <v>541.80000000000007</v>
      </c>
      <c r="L424" s="79"/>
      <c r="M424" s="178" t="s">
        <v>95</v>
      </c>
      <c r="N424" s="71"/>
    </row>
    <row r="425" spans="1:14" ht="12.95" customHeight="1">
      <c r="A425" s="120"/>
      <c r="B425" s="120"/>
      <c r="C425" s="120"/>
      <c r="D425" s="120"/>
      <c r="E425" s="120"/>
      <c r="F425" s="87"/>
      <c r="G425" s="91" t="s">
        <v>210</v>
      </c>
      <c r="H425" s="109"/>
      <c r="I425" s="80">
        <v>5.16</v>
      </c>
      <c r="J425" s="81">
        <v>890</v>
      </c>
      <c r="K425" s="81">
        <f t="shared" si="34"/>
        <v>4592.4000000000005</v>
      </c>
      <c r="L425" s="79"/>
      <c r="M425" s="79"/>
      <c r="N425" s="71"/>
    </row>
    <row r="426" spans="1:14" ht="12.95" customHeight="1">
      <c r="A426" s="120"/>
      <c r="B426" s="120"/>
      <c r="C426" s="120"/>
      <c r="D426" s="120"/>
      <c r="E426" s="120"/>
      <c r="F426" s="87"/>
      <c r="G426" s="91" t="s">
        <v>215</v>
      </c>
      <c r="H426" s="109"/>
      <c r="I426" s="80">
        <v>27.52</v>
      </c>
      <c r="J426" s="81">
        <v>750</v>
      </c>
      <c r="K426" s="81">
        <f t="shared" si="34"/>
        <v>20640</v>
      </c>
      <c r="L426" s="79"/>
      <c r="M426" s="79"/>
      <c r="N426" s="71"/>
    </row>
    <row r="427" spans="1:14" ht="12.95" customHeight="1">
      <c r="A427" s="120"/>
      <c r="B427" s="120"/>
      <c r="C427" s="120"/>
      <c r="D427" s="120"/>
      <c r="E427" s="120"/>
      <c r="F427" s="87"/>
      <c r="G427" s="83" t="s">
        <v>211</v>
      </c>
      <c r="H427" s="79"/>
      <c r="I427" s="80">
        <v>172</v>
      </c>
      <c r="J427" s="81">
        <v>120</v>
      </c>
      <c r="K427" s="81">
        <f>I427*J427</f>
        <v>20640</v>
      </c>
      <c r="L427" s="79"/>
      <c r="M427" s="79"/>
      <c r="N427" s="71"/>
    </row>
    <row r="428" spans="1:14" ht="12.95" customHeight="1">
      <c r="A428" s="120"/>
      <c r="B428" s="120"/>
      <c r="C428" s="120"/>
      <c r="D428" s="120"/>
      <c r="E428" s="120"/>
      <c r="F428" s="87"/>
      <c r="G428" s="83" t="s">
        <v>212</v>
      </c>
      <c r="H428" s="79"/>
      <c r="I428" s="80">
        <v>17.2</v>
      </c>
      <c r="J428" s="81">
        <v>527</v>
      </c>
      <c r="K428" s="81">
        <f t="shared" ref="K428:K431" si="35">I428*J428</f>
        <v>9064.4</v>
      </c>
      <c r="L428" s="79"/>
      <c r="M428" s="79"/>
      <c r="N428" s="71"/>
    </row>
    <row r="429" spans="1:14" ht="12.95" customHeight="1">
      <c r="A429" s="120"/>
      <c r="B429" s="120"/>
      <c r="C429" s="120"/>
      <c r="D429" s="120"/>
      <c r="E429" s="120"/>
      <c r="F429" s="87"/>
      <c r="G429" s="83" t="s">
        <v>213</v>
      </c>
      <c r="H429" s="79"/>
      <c r="I429" s="80">
        <v>11.61</v>
      </c>
      <c r="J429" s="81">
        <v>348</v>
      </c>
      <c r="K429" s="81">
        <f t="shared" si="35"/>
        <v>4040.2799999999997</v>
      </c>
      <c r="L429" s="79"/>
      <c r="M429" s="79"/>
      <c r="N429" s="71"/>
    </row>
    <row r="430" spans="1:14" ht="12.95" customHeight="1">
      <c r="A430" s="120"/>
      <c r="B430" s="120"/>
      <c r="C430" s="120"/>
      <c r="D430" s="120"/>
      <c r="E430" s="235"/>
      <c r="F430" s="108"/>
      <c r="G430" s="83" t="s">
        <v>45</v>
      </c>
      <c r="H430" s="79"/>
      <c r="I430" s="80">
        <v>12.9</v>
      </c>
      <c r="J430" s="81">
        <v>45</v>
      </c>
      <c r="K430" s="81">
        <f t="shared" si="35"/>
        <v>580.5</v>
      </c>
      <c r="L430" s="79"/>
      <c r="M430" s="79"/>
      <c r="N430" s="71"/>
    </row>
    <row r="431" spans="1:14" ht="12.95" customHeight="1">
      <c r="A431" s="120"/>
      <c r="B431" s="120"/>
      <c r="C431" s="120"/>
      <c r="D431" s="120"/>
      <c r="E431" s="120"/>
      <c r="F431" s="87"/>
      <c r="G431" s="120" t="s">
        <v>28</v>
      </c>
      <c r="H431" s="120" t="s">
        <v>86</v>
      </c>
      <c r="I431" s="81">
        <v>17.2</v>
      </c>
      <c r="J431" s="81">
        <v>17</v>
      </c>
      <c r="K431" s="81">
        <f t="shared" si="35"/>
        <v>292.39999999999998</v>
      </c>
      <c r="L431" s="79"/>
      <c r="M431" s="79"/>
      <c r="N431" s="71"/>
    </row>
    <row r="432" spans="1:14" ht="12.95" customHeight="1">
      <c r="A432" s="120"/>
      <c r="B432" s="120"/>
      <c r="C432" s="120"/>
      <c r="D432" s="120"/>
      <c r="E432" s="235" t="s">
        <v>9</v>
      </c>
      <c r="F432" s="108">
        <f>SUM(F424:F431)</f>
        <v>425</v>
      </c>
      <c r="G432" s="235"/>
      <c r="H432" s="235"/>
      <c r="I432" s="81"/>
      <c r="J432" s="81"/>
      <c r="K432" s="103">
        <f>SUM(K424:K431)</f>
        <v>60391.78</v>
      </c>
      <c r="L432" s="103">
        <f>K432/F432</f>
        <v>142.09830588235295</v>
      </c>
      <c r="M432" s="79"/>
      <c r="N432" s="71"/>
    </row>
    <row r="433" spans="1:14" ht="12.95" customHeight="1">
      <c r="A433" s="120">
        <v>5397</v>
      </c>
      <c r="B433" s="120" t="s">
        <v>218</v>
      </c>
      <c r="C433" s="120" t="s">
        <v>222</v>
      </c>
      <c r="D433" s="120" t="s">
        <v>266</v>
      </c>
      <c r="E433" s="120" t="s">
        <v>93</v>
      </c>
      <c r="F433" s="87">
        <v>425</v>
      </c>
      <c r="G433" s="91" t="s">
        <v>221</v>
      </c>
      <c r="H433" s="112"/>
      <c r="I433" s="113">
        <v>11.525</v>
      </c>
      <c r="J433" s="81">
        <v>980</v>
      </c>
      <c r="K433" s="81">
        <f t="shared" ref="K433:K435" si="36">I433*J433</f>
        <v>11294.5</v>
      </c>
      <c r="L433" s="79"/>
      <c r="M433" s="79"/>
      <c r="N433" s="71"/>
    </row>
    <row r="434" spans="1:14" ht="12.95" customHeight="1">
      <c r="A434" s="120"/>
      <c r="B434" s="120"/>
      <c r="C434" s="120"/>
      <c r="D434" s="120"/>
      <c r="E434" s="120"/>
      <c r="F434" s="87"/>
      <c r="G434" s="91" t="s">
        <v>209</v>
      </c>
      <c r="H434" s="79"/>
      <c r="I434" s="80">
        <v>7.6920000000000002</v>
      </c>
      <c r="J434" s="81">
        <v>350</v>
      </c>
      <c r="K434" s="81">
        <f t="shared" si="36"/>
        <v>2692.2000000000003</v>
      </c>
      <c r="L434" s="79"/>
      <c r="M434" s="79"/>
      <c r="N434" s="71"/>
    </row>
    <row r="435" spans="1:14" ht="12.95" customHeight="1">
      <c r="A435" s="120"/>
      <c r="B435" s="120"/>
      <c r="C435" s="120"/>
      <c r="D435" s="120"/>
      <c r="E435" s="120"/>
      <c r="F435" s="87"/>
      <c r="G435" s="91" t="s">
        <v>215</v>
      </c>
      <c r="H435" s="109"/>
      <c r="I435" s="80">
        <v>0.77</v>
      </c>
      <c r="J435" s="81">
        <v>750</v>
      </c>
      <c r="K435" s="81">
        <f t="shared" si="36"/>
        <v>577.5</v>
      </c>
      <c r="L435" s="79"/>
      <c r="M435" s="79"/>
      <c r="N435" s="71"/>
    </row>
    <row r="436" spans="1:14" ht="12.95" customHeight="1">
      <c r="A436" s="120"/>
      <c r="B436" s="120"/>
      <c r="C436" s="120"/>
      <c r="D436" s="120"/>
      <c r="E436" s="120"/>
      <c r="F436" s="87"/>
      <c r="G436" s="83" t="s">
        <v>211</v>
      </c>
      <c r="H436" s="79"/>
      <c r="I436" s="80">
        <v>136</v>
      </c>
      <c r="J436" s="81">
        <v>120</v>
      </c>
      <c r="K436" s="81">
        <f>I436*J436</f>
        <v>16320</v>
      </c>
      <c r="L436" s="79"/>
      <c r="M436" s="79"/>
      <c r="N436" s="71"/>
    </row>
    <row r="437" spans="1:14" ht="12.95" customHeight="1">
      <c r="A437" s="120"/>
      <c r="B437" s="120"/>
      <c r="C437" s="120"/>
      <c r="D437" s="120"/>
      <c r="E437" s="120"/>
      <c r="F437" s="87"/>
      <c r="G437" s="83" t="s">
        <v>212</v>
      </c>
      <c r="H437" s="79"/>
      <c r="I437" s="80">
        <v>15</v>
      </c>
      <c r="J437" s="81">
        <v>527</v>
      </c>
      <c r="K437" s="81">
        <f t="shared" ref="K437:K440" si="37">I437*J437</f>
        <v>7905</v>
      </c>
      <c r="L437" s="79"/>
      <c r="M437" s="79"/>
      <c r="N437" s="71"/>
    </row>
    <row r="438" spans="1:14" ht="12.95" customHeight="1">
      <c r="A438" s="120"/>
      <c r="B438" s="120"/>
      <c r="C438" s="120"/>
      <c r="D438" s="120"/>
      <c r="E438" s="120"/>
      <c r="F438" s="87"/>
      <c r="G438" s="83" t="s">
        <v>213</v>
      </c>
      <c r="H438" s="79"/>
      <c r="I438" s="80">
        <v>11.25</v>
      </c>
      <c r="J438" s="81">
        <v>348</v>
      </c>
      <c r="K438" s="81">
        <f t="shared" si="37"/>
        <v>3915</v>
      </c>
      <c r="L438" s="79"/>
      <c r="M438" s="79"/>
      <c r="N438" s="71"/>
    </row>
    <row r="439" spans="1:14" ht="12.95" customHeight="1">
      <c r="A439" s="120"/>
      <c r="B439" s="120"/>
      <c r="C439" s="120"/>
      <c r="D439" s="120"/>
      <c r="E439" s="120"/>
      <c r="F439" s="87"/>
      <c r="G439" s="83" t="s">
        <v>45</v>
      </c>
      <c r="H439" s="79"/>
      <c r="I439" s="80">
        <v>12.45</v>
      </c>
      <c r="J439" s="81">
        <v>45</v>
      </c>
      <c r="K439" s="81">
        <f t="shared" si="37"/>
        <v>560.25</v>
      </c>
      <c r="L439" s="79"/>
      <c r="M439" s="79"/>
      <c r="N439" s="71"/>
    </row>
    <row r="440" spans="1:14" ht="12.95" customHeight="1">
      <c r="A440" s="120"/>
      <c r="B440" s="120"/>
      <c r="C440" s="120"/>
      <c r="D440" s="120"/>
      <c r="E440" s="120"/>
      <c r="F440" s="87"/>
      <c r="G440" s="120" t="s">
        <v>28</v>
      </c>
      <c r="H440" s="120" t="s">
        <v>86</v>
      </c>
      <c r="I440" s="81">
        <v>16.600000000000001</v>
      </c>
      <c r="J440" s="81">
        <v>17</v>
      </c>
      <c r="K440" s="81">
        <f t="shared" si="37"/>
        <v>282.20000000000005</v>
      </c>
      <c r="L440" s="79"/>
      <c r="M440" s="179" t="s">
        <v>95</v>
      </c>
      <c r="N440" s="71"/>
    </row>
    <row r="441" spans="1:14" ht="12.95" customHeight="1">
      <c r="A441" s="120"/>
      <c r="B441" s="120"/>
      <c r="C441" s="120"/>
      <c r="D441" s="120"/>
      <c r="E441" s="235" t="s">
        <v>9</v>
      </c>
      <c r="F441" s="108">
        <f>SUM(F433:F440)</f>
        <v>425</v>
      </c>
      <c r="G441" s="235"/>
      <c r="H441" s="235"/>
      <c r="I441" s="81"/>
      <c r="J441" s="81"/>
      <c r="K441" s="103">
        <f>SUM(K433:K440)</f>
        <v>43546.649999999994</v>
      </c>
      <c r="L441" s="103">
        <f>K441/F441</f>
        <v>102.46270588235292</v>
      </c>
      <c r="M441" s="179"/>
      <c r="N441" s="71"/>
    </row>
    <row r="442" spans="1:14" ht="12.95" customHeight="1">
      <c r="A442" s="107"/>
      <c r="B442" s="107"/>
      <c r="C442" s="107"/>
      <c r="D442" s="133" t="s">
        <v>30</v>
      </c>
      <c r="E442" s="133"/>
      <c r="F442" s="134">
        <f>F432+F441</f>
        <v>850</v>
      </c>
      <c r="G442" s="135"/>
      <c r="H442" s="135"/>
      <c r="I442" s="135"/>
      <c r="J442" s="135"/>
      <c r="K442" s="134">
        <f>K432+K441</f>
        <v>103938.43</v>
      </c>
      <c r="L442" s="151">
        <f>K442/F442</f>
        <v>122.28050588235293</v>
      </c>
      <c r="M442" s="107"/>
      <c r="N442" s="71"/>
    </row>
    <row r="443" spans="1:14" ht="12.95" customHeight="1">
      <c r="A443" s="106" t="s">
        <v>42</v>
      </c>
      <c r="B443" s="106"/>
      <c r="C443" s="106"/>
      <c r="D443" s="106"/>
      <c r="E443" s="106"/>
      <c r="F443" s="107"/>
      <c r="G443" s="107"/>
      <c r="H443" s="107"/>
      <c r="I443" s="107"/>
      <c r="J443" s="107"/>
      <c r="K443" s="867" t="s">
        <v>292</v>
      </c>
      <c r="L443" s="867"/>
      <c r="M443" s="867"/>
      <c r="N443" s="71"/>
    </row>
    <row r="444" spans="1:14" ht="12.95" customHeight="1">
      <c r="A444" s="235" t="s">
        <v>0</v>
      </c>
      <c r="B444" s="235" t="s">
        <v>7</v>
      </c>
      <c r="C444" s="235" t="s">
        <v>13</v>
      </c>
      <c r="D444" s="235" t="s">
        <v>14</v>
      </c>
      <c r="E444" s="235" t="s">
        <v>8</v>
      </c>
      <c r="F444" s="235" t="s">
        <v>1</v>
      </c>
      <c r="G444" s="235" t="s">
        <v>2</v>
      </c>
      <c r="H444" s="235" t="s">
        <v>15</v>
      </c>
      <c r="I444" s="235" t="s">
        <v>3</v>
      </c>
      <c r="J444" s="235" t="s">
        <v>4</v>
      </c>
      <c r="K444" s="235" t="s">
        <v>5</v>
      </c>
      <c r="L444" s="235" t="s">
        <v>12</v>
      </c>
      <c r="M444" s="235" t="s">
        <v>6</v>
      </c>
      <c r="N444" s="71"/>
    </row>
    <row r="445" spans="1:14" ht="12.95" customHeight="1">
      <c r="A445" s="120">
        <v>5210</v>
      </c>
      <c r="B445" s="120" t="s">
        <v>293</v>
      </c>
      <c r="C445" s="120" t="s">
        <v>217</v>
      </c>
      <c r="D445" s="120" t="s">
        <v>246</v>
      </c>
      <c r="E445" s="120" t="s">
        <v>93</v>
      </c>
      <c r="F445" s="120">
        <f>20</f>
        <v>20</v>
      </c>
      <c r="G445" s="91" t="s">
        <v>209</v>
      </c>
      <c r="H445" s="79"/>
      <c r="I445" s="80">
        <v>0.01</v>
      </c>
      <c r="J445" s="81">
        <v>350</v>
      </c>
      <c r="K445" s="81">
        <f t="shared" ref="K445:K446" si="38">I445*J445</f>
        <v>3.5</v>
      </c>
      <c r="L445" s="79"/>
      <c r="M445" s="179" t="s">
        <v>95</v>
      </c>
      <c r="N445" s="71"/>
    </row>
    <row r="446" spans="1:14" ht="12.95" customHeight="1">
      <c r="A446" s="120"/>
      <c r="B446" s="120"/>
      <c r="C446" s="120"/>
      <c r="D446" s="120"/>
      <c r="E446" s="120"/>
      <c r="F446" s="87"/>
      <c r="G446" s="91" t="s">
        <v>221</v>
      </c>
      <c r="H446" s="112"/>
      <c r="I446" s="113">
        <v>0.01</v>
      </c>
      <c r="J446" s="81">
        <v>980</v>
      </c>
      <c r="K446" s="81">
        <f t="shared" si="38"/>
        <v>9.8000000000000007</v>
      </c>
      <c r="L446" s="79"/>
      <c r="M446" s="79"/>
      <c r="N446" s="71"/>
    </row>
    <row r="447" spans="1:14" ht="12.95" customHeight="1">
      <c r="A447" s="120"/>
      <c r="B447" s="120"/>
      <c r="C447" s="120"/>
      <c r="D447" s="120"/>
      <c r="E447" s="120"/>
      <c r="F447" s="87"/>
      <c r="G447" s="83" t="s">
        <v>211</v>
      </c>
      <c r="H447" s="79"/>
      <c r="I447" s="80">
        <v>1</v>
      </c>
      <c r="J447" s="81">
        <v>120</v>
      </c>
      <c r="K447" s="81">
        <f>I447*J447</f>
        <v>120</v>
      </c>
      <c r="L447" s="79"/>
      <c r="M447" s="79"/>
      <c r="N447" s="71"/>
    </row>
    <row r="448" spans="1:14" ht="12.95" customHeight="1">
      <c r="A448" s="120"/>
      <c r="B448" s="120"/>
      <c r="C448" s="120"/>
      <c r="D448" s="120"/>
      <c r="E448" s="120"/>
      <c r="F448" s="87"/>
      <c r="G448" s="83" t="s">
        <v>212</v>
      </c>
      <c r="H448" s="79"/>
      <c r="I448" s="80">
        <v>0.1</v>
      </c>
      <c r="J448" s="81">
        <v>527</v>
      </c>
      <c r="K448" s="81">
        <f t="shared" ref="K448:K451" si="39">I448*J448</f>
        <v>52.7</v>
      </c>
      <c r="L448" s="79"/>
      <c r="M448" s="79"/>
      <c r="N448" s="71"/>
    </row>
    <row r="449" spans="1:14" ht="12.95" customHeight="1">
      <c r="A449" s="120"/>
      <c r="B449" s="120"/>
      <c r="C449" s="120"/>
      <c r="D449" s="120"/>
      <c r="E449" s="120"/>
      <c r="F449" s="87"/>
      <c r="G449" s="83" t="s">
        <v>45</v>
      </c>
      <c r="H449" s="79"/>
      <c r="I449" s="80">
        <v>0.1</v>
      </c>
      <c r="J449" s="81">
        <v>45</v>
      </c>
      <c r="K449" s="81">
        <f t="shared" si="39"/>
        <v>4.5</v>
      </c>
      <c r="L449" s="79"/>
      <c r="M449" s="79"/>
      <c r="N449" s="71"/>
    </row>
    <row r="450" spans="1:14" ht="12.95" customHeight="1">
      <c r="A450" s="120"/>
      <c r="B450" s="120"/>
      <c r="C450" s="120"/>
      <c r="D450" s="120"/>
      <c r="E450" s="235"/>
      <c r="F450" s="108"/>
      <c r="G450" s="83" t="s">
        <v>213</v>
      </c>
      <c r="H450" s="79"/>
      <c r="I450" s="80">
        <v>0.1</v>
      </c>
      <c r="J450" s="81">
        <v>348</v>
      </c>
      <c r="K450" s="81">
        <f t="shared" si="39"/>
        <v>34.800000000000004</v>
      </c>
      <c r="L450" s="79"/>
      <c r="M450" s="79"/>
      <c r="N450" s="71"/>
    </row>
    <row r="451" spans="1:14" ht="12.95" customHeight="1">
      <c r="A451" s="120"/>
      <c r="B451" s="120"/>
      <c r="C451" s="120"/>
      <c r="D451" s="120"/>
      <c r="E451" s="235"/>
      <c r="F451" s="108"/>
      <c r="G451" s="83" t="s">
        <v>214</v>
      </c>
      <c r="H451" s="79"/>
      <c r="I451" s="80">
        <v>5</v>
      </c>
      <c r="J451" s="81">
        <v>360</v>
      </c>
      <c r="K451" s="81">
        <f t="shared" si="39"/>
        <v>1800</v>
      </c>
      <c r="L451" s="79"/>
      <c r="M451" s="79"/>
      <c r="N451" s="71"/>
    </row>
    <row r="452" spans="1:14" ht="12.95" customHeight="1">
      <c r="A452" s="120"/>
      <c r="B452" s="120"/>
      <c r="C452" s="120"/>
      <c r="D452" s="120"/>
      <c r="E452" s="235" t="s">
        <v>9</v>
      </c>
      <c r="F452" s="108">
        <f>SUM(F445:F451)</f>
        <v>20</v>
      </c>
      <c r="G452" s="235"/>
      <c r="H452" s="235"/>
      <c r="I452" s="81"/>
      <c r="J452" s="81"/>
      <c r="K452" s="103">
        <f>SUM(K445:K451)</f>
        <v>2025.3</v>
      </c>
      <c r="L452" s="103">
        <f>K452/F452</f>
        <v>101.265</v>
      </c>
      <c r="M452" s="179" t="s">
        <v>95</v>
      </c>
      <c r="N452" s="71"/>
    </row>
    <row r="453" spans="1:14" ht="12.95" customHeight="1">
      <c r="A453" s="120">
        <v>5213</v>
      </c>
      <c r="B453" s="120" t="s">
        <v>293</v>
      </c>
      <c r="C453" s="120" t="s">
        <v>217</v>
      </c>
      <c r="D453" s="120" t="s">
        <v>246</v>
      </c>
      <c r="E453" s="120" t="s">
        <v>93</v>
      </c>
      <c r="F453" s="120">
        <f>20</f>
        <v>20</v>
      </c>
      <c r="G453" s="91" t="s">
        <v>272</v>
      </c>
      <c r="H453" s="109"/>
      <c r="I453" s="80">
        <v>1.1000000000000001</v>
      </c>
      <c r="J453" s="81">
        <v>700</v>
      </c>
      <c r="K453" s="81">
        <f t="shared" ref="K453:K456" si="40">I453*J453</f>
        <v>770.00000000000011</v>
      </c>
      <c r="L453" s="79"/>
      <c r="M453" s="79"/>
      <c r="N453" s="71"/>
    </row>
    <row r="454" spans="1:14" ht="12.95" customHeight="1">
      <c r="A454" s="120"/>
      <c r="B454" s="120"/>
      <c r="C454" s="120"/>
      <c r="D454" s="120"/>
      <c r="E454" s="120"/>
      <c r="F454" s="87"/>
      <c r="G454" s="91" t="s">
        <v>209</v>
      </c>
      <c r="H454" s="79"/>
      <c r="I454" s="80">
        <v>0.25</v>
      </c>
      <c r="J454" s="81">
        <v>350</v>
      </c>
      <c r="K454" s="81">
        <f t="shared" si="40"/>
        <v>87.5</v>
      </c>
      <c r="L454" s="79"/>
      <c r="M454" s="79"/>
      <c r="N454" s="71"/>
    </row>
    <row r="455" spans="1:14" ht="12.95" customHeight="1">
      <c r="A455" s="120"/>
      <c r="B455" s="120"/>
      <c r="C455" s="120"/>
      <c r="D455" s="120"/>
      <c r="E455" s="120"/>
      <c r="F455" s="87"/>
      <c r="G455" s="91" t="s">
        <v>210</v>
      </c>
      <c r="H455" s="109"/>
      <c r="I455" s="80">
        <v>0.05</v>
      </c>
      <c r="J455" s="81">
        <v>890</v>
      </c>
      <c r="K455" s="81">
        <f t="shared" si="40"/>
        <v>44.5</v>
      </c>
      <c r="L455" s="79"/>
      <c r="M455" s="79"/>
      <c r="N455" s="71"/>
    </row>
    <row r="456" spans="1:14" ht="12.95" customHeight="1">
      <c r="A456" s="120"/>
      <c r="B456" s="120"/>
      <c r="C456" s="120"/>
      <c r="D456" s="120"/>
      <c r="E456" s="120"/>
      <c r="F456" s="87"/>
      <c r="G456" s="91" t="s">
        <v>294</v>
      </c>
      <c r="H456" s="112"/>
      <c r="I456" s="113">
        <v>0.05</v>
      </c>
      <c r="J456" s="81">
        <v>753</v>
      </c>
      <c r="K456" s="81">
        <f t="shared" si="40"/>
        <v>37.65</v>
      </c>
      <c r="L456" s="79"/>
      <c r="M456" s="79"/>
      <c r="N456" s="71"/>
    </row>
    <row r="457" spans="1:14" ht="12.95" customHeight="1">
      <c r="A457" s="120"/>
      <c r="B457" s="120"/>
      <c r="C457" s="120"/>
      <c r="D457" s="120"/>
      <c r="E457" s="120"/>
      <c r="F457" s="87"/>
      <c r="G457" s="83" t="s">
        <v>211</v>
      </c>
      <c r="H457" s="79"/>
      <c r="I457" s="80">
        <v>8</v>
      </c>
      <c r="J457" s="81">
        <v>120</v>
      </c>
      <c r="K457" s="81">
        <f>I457*J457</f>
        <v>960</v>
      </c>
      <c r="L457" s="79"/>
      <c r="M457" s="79"/>
      <c r="N457" s="71"/>
    </row>
    <row r="458" spans="1:14" ht="12.95" customHeight="1">
      <c r="A458" s="120"/>
      <c r="B458" s="120"/>
      <c r="C458" s="120"/>
      <c r="D458" s="120"/>
      <c r="E458" s="120"/>
      <c r="F458" s="87"/>
      <c r="G458" s="83" t="s">
        <v>212</v>
      </c>
      <c r="H458" s="79"/>
      <c r="I458" s="80">
        <v>0.8</v>
      </c>
      <c r="J458" s="81">
        <v>527</v>
      </c>
      <c r="K458" s="81">
        <f t="shared" ref="K458:K460" si="41">I458*J458</f>
        <v>421.6</v>
      </c>
      <c r="L458" s="79"/>
      <c r="M458" s="79"/>
      <c r="N458" s="71"/>
    </row>
    <row r="459" spans="1:14" ht="12.95" customHeight="1">
      <c r="A459" s="120"/>
      <c r="B459" s="120"/>
      <c r="C459" s="120"/>
      <c r="D459" s="120"/>
      <c r="E459" s="120"/>
      <c r="F459" s="87"/>
      <c r="G459" s="83" t="s">
        <v>213</v>
      </c>
      <c r="H459" s="79"/>
      <c r="I459" s="80">
        <v>1.5</v>
      </c>
      <c r="J459" s="81">
        <v>348</v>
      </c>
      <c r="K459" s="81">
        <f t="shared" si="41"/>
        <v>522</v>
      </c>
      <c r="L459" s="79"/>
      <c r="M459" s="79"/>
      <c r="N459" s="71"/>
    </row>
    <row r="460" spans="1:14" ht="12.95" customHeight="1">
      <c r="A460" s="120"/>
      <c r="B460" s="120"/>
      <c r="C460" s="120"/>
      <c r="D460" s="120"/>
      <c r="E460" s="120"/>
      <c r="F460" s="87"/>
      <c r="G460" s="83" t="s">
        <v>45</v>
      </c>
      <c r="H460" s="79"/>
      <c r="I460" s="80">
        <v>0.8</v>
      </c>
      <c r="J460" s="81">
        <v>45</v>
      </c>
      <c r="K460" s="81">
        <f t="shared" si="41"/>
        <v>36</v>
      </c>
      <c r="L460" s="79"/>
      <c r="M460" s="79"/>
      <c r="N460" s="71"/>
    </row>
    <row r="461" spans="1:14" ht="12.95" customHeight="1">
      <c r="A461" s="120"/>
      <c r="B461" s="120"/>
      <c r="C461" s="120"/>
      <c r="D461" s="120"/>
      <c r="E461" s="235" t="s">
        <v>9</v>
      </c>
      <c r="F461" s="108">
        <f>SUM(F453:F460)</f>
        <v>20</v>
      </c>
      <c r="G461" s="235"/>
      <c r="H461" s="235"/>
      <c r="I461" s="81"/>
      <c r="J461" s="81"/>
      <c r="K461" s="103">
        <f>SUM(K453:K460)</f>
        <v>2879.25</v>
      </c>
      <c r="L461" s="103">
        <f>K461/F461</f>
        <v>143.96250000000001</v>
      </c>
      <c r="M461" s="179" t="s">
        <v>95</v>
      </c>
      <c r="N461" s="71"/>
    </row>
    <row r="462" spans="1:14" ht="12.95" customHeight="1">
      <c r="A462" s="107"/>
      <c r="B462" s="107"/>
      <c r="C462" s="107"/>
      <c r="D462" s="133" t="s">
        <v>30</v>
      </c>
      <c r="E462" s="133"/>
      <c r="F462" s="134">
        <f>F452+F461</f>
        <v>40</v>
      </c>
      <c r="G462" s="135"/>
      <c r="H462" s="135"/>
      <c r="I462" s="135"/>
      <c r="J462" s="135"/>
      <c r="K462" s="134">
        <f>K452+K461</f>
        <v>4904.55</v>
      </c>
      <c r="L462" s="151">
        <f>K462/F462</f>
        <v>122.61375000000001</v>
      </c>
      <c r="M462" s="107"/>
      <c r="N462" s="71"/>
    </row>
    <row r="463" spans="1:14" ht="12.95" customHeight="1">
      <c r="A463" s="106" t="s">
        <v>42</v>
      </c>
      <c r="B463" s="106"/>
      <c r="C463" s="106"/>
      <c r="D463" s="106"/>
      <c r="E463" s="106"/>
      <c r="F463" s="107"/>
      <c r="G463" s="107"/>
      <c r="H463" s="107"/>
      <c r="I463" s="107"/>
      <c r="J463" s="107"/>
      <c r="K463" s="867" t="s">
        <v>332</v>
      </c>
      <c r="L463" s="867"/>
      <c r="M463" s="867"/>
      <c r="N463" s="71"/>
    </row>
    <row r="464" spans="1:14" ht="12.95" customHeight="1">
      <c r="A464" s="235" t="s">
        <v>0</v>
      </c>
      <c r="B464" s="235" t="s">
        <v>7</v>
      </c>
      <c r="C464" s="235" t="s">
        <v>13</v>
      </c>
      <c r="D464" s="235" t="s">
        <v>14</v>
      </c>
      <c r="E464" s="235" t="s">
        <v>8</v>
      </c>
      <c r="F464" s="235" t="s">
        <v>1</v>
      </c>
      <c r="G464" s="235" t="s">
        <v>2</v>
      </c>
      <c r="H464" s="235" t="s">
        <v>15</v>
      </c>
      <c r="I464" s="235" t="s">
        <v>3</v>
      </c>
      <c r="J464" s="235" t="s">
        <v>4</v>
      </c>
      <c r="K464" s="235" t="s">
        <v>5</v>
      </c>
      <c r="L464" s="235" t="s">
        <v>12</v>
      </c>
      <c r="M464" s="235" t="s">
        <v>6</v>
      </c>
      <c r="N464" s="71"/>
    </row>
    <row r="465" spans="1:14" ht="12.95" customHeight="1">
      <c r="A465" s="120">
        <v>5224</v>
      </c>
      <c r="B465" s="120" t="s">
        <v>238</v>
      </c>
      <c r="C465" s="120" t="s">
        <v>121</v>
      </c>
      <c r="D465" s="120" t="s">
        <v>246</v>
      </c>
      <c r="E465" s="120" t="s">
        <v>93</v>
      </c>
      <c r="F465" s="87">
        <v>15</v>
      </c>
      <c r="G465" s="91" t="s">
        <v>209</v>
      </c>
      <c r="H465" s="79"/>
      <c r="I465" s="80">
        <v>0.93600000000000005</v>
      </c>
      <c r="J465" s="81">
        <v>350</v>
      </c>
      <c r="K465" s="81">
        <f t="shared" ref="K465:K470" si="42">I465*J465</f>
        <v>327.60000000000002</v>
      </c>
      <c r="L465" s="112"/>
      <c r="M465" s="178" t="s">
        <v>95</v>
      </c>
      <c r="N465" s="71"/>
    </row>
    <row r="466" spans="1:14" ht="12.95" customHeight="1">
      <c r="A466" s="120"/>
      <c r="B466" s="120"/>
      <c r="C466" s="120"/>
      <c r="D466" s="120"/>
      <c r="E466" s="120"/>
      <c r="F466" s="87"/>
      <c r="G466" s="91" t="s">
        <v>215</v>
      </c>
      <c r="H466" s="109"/>
      <c r="I466" s="80">
        <v>0.26600000000000001</v>
      </c>
      <c r="J466" s="81">
        <v>750</v>
      </c>
      <c r="K466" s="81">
        <f t="shared" si="42"/>
        <v>199.5</v>
      </c>
      <c r="L466" s="79"/>
      <c r="M466" s="79"/>
      <c r="N466" s="71"/>
    </row>
    <row r="467" spans="1:14" ht="12.95" customHeight="1">
      <c r="A467" s="120"/>
      <c r="B467" s="120"/>
      <c r="C467" s="120"/>
      <c r="D467" s="120"/>
      <c r="E467" s="120"/>
      <c r="F467" s="87"/>
      <c r="G467" s="91" t="s">
        <v>210</v>
      </c>
      <c r="H467" s="109"/>
      <c r="I467" s="80">
        <v>0.14499999999999999</v>
      </c>
      <c r="J467" s="81">
        <v>890</v>
      </c>
      <c r="K467" s="81">
        <f t="shared" si="42"/>
        <v>129.04999999999998</v>
      </c>
      <c r="L467" s="79"/>
      <c r="M467" s="79"/>
      <c r="N467" s="71"/>
    </row>
    <row r="468" spans="1:14" ht="12.95" customHeight="1">
      <c r="A468" s="120"/>
      <c r="B468" s="120"/>
      <c r="C468" s="120"/>
      <c r="D468" s="120"/>
      <c r="E468" s="120"/>
      <c r="F468" s="87"/>
      <c r="G468" s="91" t="s">
        <v>272</v>
      </c>
      <c r="H468" s="109"/>
      <c r="I468" s="80">
        <v>1.0999999999999999E-2</v>
      </c>
      <c r="J468" s="81">
        <v>700</v>
      </c>
      <c r="K468" s="81">
        <f t="shared" si="42"/>
        <v>7.6999999999999993</v>
      </c>
      <c r="L468" s="79"/>
      <c r="M468" s="79"/>
      <c r="N468" s="71"/>
    </row>
    <row r="469" spans="1:14" ht="12.95" customHeight="1">
      <c r="A469" s="120"/>
      <c r="B469" s="120"/>
      <c r="C469" s="120"/>
      <c r="D469" s="120"/>
      <c r="E469" s="120"/>
      <c r="F469" s="87"/>
      <c r="G469" s="91" t="s">
        <v>221</v>
      </c>
      <c r="H469" s="112"/>
      <c r="I469" s="113">
        <v>3.0000000000000001E-3</v>
      </c>
      <c r="J469" s="81">
        <v>980</v>
      </c>
      <c r="K469" s="81">
        <f t="shared" si="42"/>
        <v>2.94</v>
      </c>
      <c r="L469" s="79"/>
      <c r="M469" s="79"/>
      <c r="N469" s="71"/>
    </row>
    <row r="470" spans="1:14" ht="12.95" customHeight="1">
      <c r="A470" s="120"/>
      <c r="B470" s="120"/>
      <c r="C470" s="120"/>
      <c r="D470" s="120"/>
      <c r="E470" s="120"/>
      <c r="F470" s="87"/>
      <c r="G470" s="91" t="s">
        <v>320</v>
      </c>
      <c r="H470" s="112"/>
      <c r="I470" s="113">
        <v>0.4</v>
      </c>
      <c r="J470" s="81">
        <v>352</v>
      </c>
      <c r="K470" s="81">
        <f t="shared" si="42"/>
        <v>140.80000000000001</v>
      </c>
      <c r="L470" s="79"/>
      <c r="M470" s="79"/>
      <c r="N470" s="71"/>
    </row>
    <row r="471" spans="1:14" ht="12.95" customHeight="1">
      <c r="A471" s="120"/>
      <c r="B471" s="120"/>
      <c r="C471" s="120"/>
      <c r="D471" s="120"/>
      <c r="E471" s="120"/>
      <c r="F471" s="87"/>
      <c r="G471" s="83" t="s">
        <v>211</v>
      </c>
      <c r="H471" s="79"/>
      <c r="I471" s="80">
        <v>6</v>
      </c>
      <c r="J471" s="81">
        <v>120</v>
      </c>
      <c r="K471" s="81">
        <f>I471*J471</f>
        <v>720</v>
      </c>
      <c r="L471" s="79"/>
      <c r="M471" s="79"/>
      <c r="N471" s="71"/>
    </row>
    <row r="472" spans="1:14" ht="12.95" customHeight="1">
      <c r="A472" s="120"/>
      <c r="B472" s="120"/>
      <c r="C472" s="120"/>
      <c r="D472" s="120"/>
      <c r="E472" s="120"/>
      <c r="F472" s="87"/>
      <c r="G472" s="83" t="s">
        <v>212</v>
      </c>
      <c r="H472" s="79"/>
      <c r="I472" s="80">
        <v>0.8</v>
      </c>
      <c r="J472" s="81">
        <v>280</v>
      </c>
      <c r="K472" s="81">
        <f t="shared" ref="K472:K475" si="43">I472*J472</f>
        <v>224</v>
      </c>
      <c r="L472" s="79"/>
      <c r="M472" s="79"/>
      <c r="N472" s="71"/>
    </row>
    <row r="473" spans="1:14" ht="12.95" customHeight="1">
      <c r="A473" s="120"/>
      <c r="B473" s="120"/>
      <c r="C473" s="120"/>
      <c r="D473" s="120"/>
      <c r="E473" s="120"/>
      <c r="F473" s="87"/>
      <c r="G473" s="83" t="s">
        <v>213</v>
      </c>
      <c r="H473" s="79"/>
      <c r="I473" s="80">
        <v>0.8</v>
      </c>
      <c r="J473" s="81">
        <v>348</v>
      </c>
      <c r="K473" s="81">
        <f t="shared" si="43"/>
        <v>278.40000000000003</v>
      </c>
      <c r="L473" s="79"/>
      <c r="M473" s="79"/>
      <c r="N473" s="71"/>
    </row>
    <row r="474" spans="1:14" ht="12.95" customHeight="1">
      <c r="A474" s="120"/>
      <c r="B474" s="120"/>
      <c r="C474" s="120"/>
      <c r="D474" s="120"/>
      <c r="E474" s="120"/>
      <c r="F474" s="87"/>
      <c r="G474" s="83" t="s">
        <v>45</v>
      </c>
      <c r="H474" s="79"/>
      <c r="I474" s="80">
        <v>0.6</v>
      </c>
      <c r="J474" s="81">
        <v>45</v>
      </c>
      <c r="K474" s="81">
        <f t="shared" si="43"/>
        <v>27</v>
      </c>
      <c r="L474" s="79"/>
      <c r="M474" s="79"/>
      <c r="N474" s="71"/>
    </row>
    <row r="475" spans="1:14" ht="12.95" customHeight="1">
      <c r="A475" s="120"/>
      <c r="B475" s="120"/>
      <c r="C475" s="120"/>
      <c r="D475" s="120"/>
      <c r="E475" s="120"/>
      <c r="F475" s="87"/>
      <c r="G475" s="83" t="s">
        <v>214</v>
      </c>
      <c r="H475" s="79"/>
      <c r="I475" s="80">
        <v>13</v>
      </c>
      <c r="J475" s="81">
        <v>360</v>
      </c>
      <c r="K475" s="81">
        <f t="shared" si="43"/>
        <v>4680</v>
      </c>
      <c r="L475" s="79"/>
      <c r="M475" s="79"/>
      <c r="N475" s="71"/>
    </row>
    <row r="476" spans="1:14" ht="12.95" customHeight="1">
      <c r="A476" s="120"/>
      <c r="B476" s="120"/>
      <c r="C476" s="120"/>
      <c r="D476" s="120"/>
      <c r="E476" s="235" t="s">
        <v>9</v>
      </c>
      <c r="F476" s="108">
        <f>SUM(F465:F475)</f>
        <v>15</v>
      </c>
      <c r="G476" s="235"/>
      <c r="H476" s="235"/>
      <c r="I476" s="81"/>
      <c r="J476" s="81"/>
      <c r="K476" s="103">
        <f>SUM(K465:K475)</f>
        <v>6736.99</v>
      </c>
      <c r="L476" s="103">
        <f>K476/F476</f>
        <v>449.13266666666664</v>
      </c>
      <c r="M476" s="79"/>
      <c r="N476" s="71"/>
    </row>
    <row r="477" spans="1:14" ht="12.95" customHeight="1">
      <c r="A477" s="233"/>
      <c r="B477" s="120"/>
      <c r="C477" s="120"/>
      <c r="D477" s="133" t="s">
        <v>30</v>
      </c>
      <c r="E477" s="133"/>
      <c r="F477" s="134">
        <f>F467+F476</f>
        <v>15</v>
      </c>
      <c r="G477" s="135"/>
      <c r="H477" s="135"/>
      <c r="I477" s="135"/>
      <c r="J477" s="135"/>
      <c r="K477" s="134">
        <f>K476</f>
        <v>6736.99</v>
      </c>
      <c r="L477" s="151">
        <f>K477/F477</f>
        <v>449.13266666666664</v>
      </c>
      <c r="M477" s="205"/>
      <c r="N477" s="71"/>
    </row>
    <row r="478" spans="1:14" ht="12.95" customHeight="1">
      <c r="A478" s="106" t="s">
        <v>42</v>
      </c>
      <c r="B478" s="120"/>
      <c r="C478" s="120"/>
      <c r="D478" s="120"/>
      <c r="E478" s="235"/>
      <c r="F478" s="108"/>
      <c r="G478" s="235"/>
      <c r="H478" s="235"/>
      <c r="I478" s="81"/>
      <c r="J478" s="81"/>
      <c r="K478" s="867" t="s">
        <v>336</v>
      </c>
      <c r="L478" s="867"/>
      <c r="M478" s="867"/>
      <c r="N478" s="71"/>
    </row>
    <row r="479" spans="1:14" ht="12.95" customHeight="1">
      <c r="A479" s="235" t="s">
        <v>0</v>
      </c>
      <c r="B479" s="235" t="s">
        <v>7</v>
      </c>
      <c r="C479" s="235" t="s">
        <v>13</v>
      </c>
      <c r="D479" s="235" t="s">
        <v>14</v>
      </c>
      <c r="E479" s="235" t="s">
        <v>8</v>
      </c>
      <c r="F479" s="235" t="s">
        <v>1</v>
      </c>
      <c r="G479" s="235" t="s">
        <v>2</v>
      </c>
      <c r="H479" s="235" t="s">
        <v>15</v>
      </c>
      <c r="I479" s="235" t="s">
        <v>3</v>
      </c>
      <c r="J479" s="235" t="s">
        <v>4</v>
      </c>
      <c r="K479" s="235" t="s">
        <v>5</v>
      </c>
      <c r="L479" s="235" t="s">
        <v>12</v>
      </c>
      <c r="M479" s="235" t="s">
        <v>6</v>
      </c>
      <c r="N479" s="71"/>
    </row>
    <row r="480" spans="1:14" ht="12.95" customHeight="1">
      <c r="A480" s="85">
        <v>5243</v>
      </c>
      <c r="B480" s="85" t="s">
        <v>341</v>
      </c>
      <c r="C480" s="120" t="s">
        <v>121</v>
      </c>
      <c r="D480" s="85" t="s">
        <v>246</v>
      </c>
      <c r="E480" s="120" t="s">
        <v>93</v>
      </c>
      <c r="F480" s="90">
        <v>24</v>
      </c>
      <c r="G480" s="91" t="s">
        <v>210</v>
      </c>
      <c r="H480" s="109"/>
      <c r="I480" s="80">
        <v>0.16400000000000001</v>
      </c>
      <c r="J480" s="81">
        <v>890</v>
      </c>
      <c r="K480" s="81">
        <f t="shared" ref="K480:K484" si="44">I480*J480</f>
        <v>145.96</v>
      </c>
      <c r="L480" s="102"/>
      <c r="M480" s="102"/>
      <c r="N480" s="71"/>
    </row>
    <row r="481" spans="1:14" ht="12.95" customHeight="1">
      <c r="A481" s="85"/>
      <c r="B481" s="120" t="s">
        <v>344</v>
      </c>
      <c r="C481" s="85"/>
      <c r="D481" s="85"/>
      <c r="E481" s="85"/>
      <c r="F481" s="98"/>
      <c r="G481" s="91" t="s">
        <v>209</v>
      </c>
      <c r="H481" s="79"/>
      <c r="I481" s="80">
        <v>1.28</v>
      </c>
      <c r="J481" s="81">
        <v>350</v>
      </c>
      <c r="K481" s="81">
        <f t="shared" si="44"/>
        <v>448</v>
      </c>
      <c r="L481" s="102"/>
      <c r="M481" s="102"/>
      <c r="N481" s="71"/>
    </row>
    <row r="482" spans="1:14" ht="12.95" customHeight="1">
      <c r="A482" s="85"/>
      <c r="B482" s="85"/>
      <c r="C482" s="85"/>
      <c r="D482" s="85"/>
      <c r="E482" s="85"/>
      <c r="F482" s="98"/>
      <c r="G482" s="91" t="s">
        <v>335</v>
      </c>
      <c r="H482" s="112"/>
      <c r="I482" s="113">
        <v>0.185</v>
      </c>
      <c r="J482" s="81">
        <v>401</v>
      </c>
      <c r="K482" s="81">
        <f t="shared" si="44"/>
        <v>74.185000000000002</v>
      </c>
      <c r="L482" s="102"/>
      <c r="M482" s="102"/>
      <c r="N482" s="71"/>
    </row>
    <row r="483" spans="1:14" ht="12.95" customHeight="1">
      <c r="A483" s="85"/>
      <c r="B483" s="85"/>
      <c r="C483" s="85"/>
      <c r="D483" s="85"/>
      <c r="E483" s="85"/>
      <c r="F483" s="98"/>
      <c r="G483" s="91" t="s">
        <v>215</v>
      </c>
      <c r="H483" s="109"/>
      <c r="I483" s="80">
        <v>0.4</v>
      </c>
      <c r="J483" s="81">
        <v>750</v>
      </c>
      <c r="K483" s="81">
        <f t="shared" si="44"/>
        <v>300</v>
      </c>
      <c r="L483" s="102"/>
      <c r="M483" s="102"/>
      <c r="N483" s="71"/>
    </row>
    <row r="484" spans="1:14" ht="12.95" customHeight="1">
      <c r="A484" s="85"/>
      <c r="B484" s="85"/>
      <c r="C484" s="85"/>
      <c r="D484" s="85"/>
      <c r="E484" s="85"/>
      <c r="F484" s="98"/>
      <c r="G484" s="91" t="s">
        <v>342</v>
      </c>
      <c r="H484" s="109"/>
      <c r="I484" s="80">
        <v>1.2E-2</v>
      </c>
      <c r="J484" s="81">
        <v>700</v>
      </c>
      <c r="K484" s="81">
        <f t="shared" si="44"/>
        <v>8.4</v>
      </c>
      <c r="L484" s="102"/>
      <c r="M484" s="143" t="s">
        <v>95</v>
      </c>
      <c r="N484" s="71"/>
    </row>
    <row r="485" spans="1:14" ht="12.95" customHeight="1">
      <c r="A485" s="85"/>
      <c r="B485" s="85"/>
      <c r="C485" s="85"/>
      <c r="D485" s="85"/>
      <c r="E485" s="85"/>
      <c r="F485" s="98"/>
      <c r="G485" s="83" t="s">
        <v>211</v>
      </c>
      <c r="H485" s="79"/>
      <c r="I485" s="80">
        <v>7.5</v>
      </c>
      <c r="J485" s="81">
        <v>120</v>
      </c>
      <c r="K485" s="81">
        <f>I485*J485</f>
        <v>900</v>
      </c>
      <c r="L485" s="102"/>
      <c r="M485" s="102"/>
      <c r="N485" s="71"/>
    </row>
    <row r="486" spans="1:14" ht="12.95" customHeight="1">
      <c r="A486" s="85"/>
      <c r="B486" s="85"/>
      <c r="C486" s="85"/>
      <c r="D486" s="85"/>
      <c r="E486" s="85"/>
      <c r="F486" s="98"/>
      <c r="G486" s="83" t="s">
        <v>212</v>
      </c>
      <c r="H486" s="79"/>
      <c r="I486" s="80">
        <v>1</v>
      </c>
      <c r="J486" s="81">
        <v>527</v>
      </c>
      <c r="K486" s="81">
        <f t="shared" ref="K486:K489" si="45">I486*J486</f>
        <v>527</v>
      </c>
      <c r="L486" s="102"/>
      <c r="M486" s="102"/>
      <c r="N486" s="71"/>
    </row>
    <row r="487" spans="1:14" ht="12.95" customHeight="1">
      <c r="A487" s="85"/>
      <c r="B487" s="85"/>
      <c r="C487" s="85"/>
      <c r="D487" s="85"/>
      <c r="E487" s="85"/>
      <c r="F487" s="98"/>
      <c r="G487" s="83" t="s">
        <v>213</v>
      </c>
      <c r="H487" s="79"/>
      <c r="I487" s="80">
        <v>1.2</v>
      </c>
      <c r="J487" s="81">
        <v>348</v>
      </c>
      <c r="K487" s="81">
        <f t="shared" si="45"/>
        <v>417.59999999999997</v>
      </c>
      <c r="L487" s="102"/>
      <c r="M487" s="102"/>
      <c r="N487" s="71"/>
    </row>
    <row r="488" spans="1:14" ht="12.95" customHeight="1">
      <c r="A488" s="85"/>
      <c r="B488" s="85"/>
      <c r="C488" s="85"/>
      <c r="D488" s="85"/>
      <c r="E488" s="85"/>
      <c r="F488" s="98"/>
      <c r="G488" s="83" t="s">
        <v>45</v>
      </c>
      <c r="H488" s="79"/>
      <c r="I488" s="80">
        <v>0.7</v>
      </c>
      <c r="J488" s="81">
        <v>45</v>
      </c>
      <c r="K488" s="81">
        <f t="shared" si="45"/>
        <v>31.499999999999996</v>
      </c>
      <c r="L488" s="102"/>
      <c r="M488" s="143"/>
      <c r="N488" s="71"/>
    </row>
    <row r="489" spans="1:14" ht="12.95" customHeight="1">
      <c r="A489" s="85"/>
      <c r="B489" s="85"/>
      <c r="C489" s="85"/>
      <c r="D489" s="85"/>
      <c r="E489" s="85"/>
      <c r="F489" s="98"/>
      <c r="G489" s="83" t="s">
        <v>214</v>
      </c>
      <c r="H489" s="79"/>
      <c r="I489" s="80">
        <v>10</v>
      </c>
      <c r="J489" s="81">
        <v>360</v>
      </c>
      <c r="K489" s="81">
        <f t="shared" si="45"/>
        <v>3600</v>
      </c>
      <c r="L489" s="102"/>
      <c r="M489" s="102"/>
      <c r="N489" s="71"/>
    </row>
    <row r="490" spans="1:14" ht="12.95" customHeight="1">
      <c r="A490" s="85"/>
      <c r="B490" s="85"/>
      <c r="C490" s="85"/>
      <c r="D490" s="85"/>
      <c r="E490" s="234" t="s">
        <v>9</v>
      </c>
      <c r="F490" s="110">
        <f>SUM(F480:F489)</f>
        <v>24</v>
      </c>
      <c r="G490" s="234"/>
      <c r="H490" s="234"/>
      <c r="I490" s="97"/>
      <c r="J490" s="97"/>
      <c r="K490" s="111">
        <f>SUM(K480:K489)</f>
        <v>6452.6450000000004</v>
      </c>
      <c r="L490" s="111">
        <f>K490/F490</f>
        <v>268.86020833333333</v>
      </c>
      <c r="M490" s="143" t="s">
        <v>95</v>
      </c>
      <c r="N490" s="71"/>
    </row>
    <row r="491" spans="1:14" ht="12.95" customHeight="1">
      <c r="A491" s="231"/>
      <c r="B491" s="85"/>
      <c r="C491" s="85"/>
      <c r="D491" s="133" t="s">
        <v>30</v>
      </c>
      <c r="E491" s="133"/>
      <c r="F491" s="134">
        <f>F481+F490</f>
        <v>24</v>
      </c>
      <c r="G491" s="135"/>
      <c r="H491" s="135"/>
      <c r="I491" s="135"/>
      <c r="J491" s="135"/>
      <c r="K491" s="134">
        <f>K490</f>
        <v>6452.6450000000004</v>
      </c>
      <c r="L491" s="151">
        <f>K491/F491</f>
        <v>268.86020833333333</v>
      </c>
      <c r="M491" s="206"/>
      <c r="N491" s="71"/>
    </row>
    <row r="492" spans="1:14" ht="12.95" customHeight="1">
      <c r="A492" s="106" t="s">
        <v>42</v>
      </c>
      <c r="B492" s="120"/>
      <c r="C492" s="120"/>
      <c r="D492" s="120"/>
      <c r="E492" s="235"/>
      <c r="F492" s="108"/>
      <c r="G492" s="235"/>
      <c r="H492" s="235"/>
      <c r="I492" s="81"/>
      <c r="J492" s="81"/>
      <c r="K492" s="867" t="s">
        <v>345</v>
      </c>
      <c r="L492" s="867"/>
      <c r="M492" s="867"/>
      <c r="N492" s="71"/>
    </row>
    <row r="493" spans="1:14" ht="12.95" customHeight="1">
      <c r="A493" s="235" t="s">
        <v>0</v>
      </c>
      <c r="B493" s="235" t="s">
        <v>7</v>
      </c>
      <c r="C493" s="235" t="s">
        <v>13</v>
      </c>
      <c r="D493" s="235" t="s">
        <v>14</v>
      </c>
      <c r="E493" s="235" t="s">
        <v>8</v>
      </c>
      <c r="F493" s="235" t="s">
        <v>1</v>
      </c>
      <c r="G493" s="235" t="s">
        <v>2</v>
      </c>
      <c r="H493" s="235" t="s">
        <v>15</v>
      </c>
      <c r="I493" s="235" t="s">
        <v>3</v>
      </c>
      <c r="J493" s="235" t="s">
        <v>4</v>
      </c>
      <c r="K493" s="235" t="s">
        <v>5</v>
      </c>
      <c r="L493" s="235" t="s">
        <v>12</v>
      </c>
      <c r="M493" s="235" t="s">
        <v>6</v>
      </c>
      <c r="N493" s="71"/>
    </row>
    <row r="494" spans="1:14" ht="12.95" customHeight="1">
      <c r="A494" s="85">
        <v>6403</v>
      </c>
      <c r="B494" s="120" t="s">
        <v>277</v>
      </c>
      <c r="C494" s="120" t="s">
        <v>121</v>
      </c>
      <c r="D494" s="120" t="s">
        <v>246</v>
      </c>
      <c r="E494" s="120" t="s">
        <v>93</v>
      </c>
      <c r="F494" s="98">
        <v>10</v>
      </c>
      <c r="G494" s="91" t="s">
        <v>215</v>
      </c>
      <c r="H494" s="109"/>
      <c r="I494" s="80">
        <v>0.1</v>
      </c>
      <c r="J494" s="81">
        <v>750</v>
      </c>
      <c r="K494" s="81">
        <f t="shared" ref="K494:K495" si="46">I494*J494</f>
        <v>75</v>
      </c>
      <c r="L494" s="111"/>
      <c r="M494" s="153" t="s">
        <v>95</v>
      </c>
      <c r="N494" s="71"/>
    </row>
    <row r="495" spans="1:14" ht="12.95" customHeight="1">
      <c r="A495" s="85"/>
      <c r="B495" s="120" t="s">
        <v>353</v>
      </c>
      <c r="C495" s="120"/>
      <c r="D495" s="120"/>
      <c r="E495" s="120"/>
      <c r="F495" s="120"/>
      <c r="G495" s="91" t="s">
        <v>209</v>
      </c>
      <c r="H495" s="79"/>
      <c r="I495" s="80">
        <v>0.85</v>
      </c>
      <c r="J495" s="81">
        <v>350</v>
      </c>
      <c r="K495" s="81">
        <f t="shared" si="46"/>
        <v>297.5</v>
      </c>
      <c r="L495" s="111"/>
      <c r="M495" s="102"/>
      <c r="N495" s="71"/>
    </row>
    <row r="496" spans="1:14" ht="12.95" customHeight="1">
      <c r="A496" s="85"/>
      <c r="B496" s="85"/>
      <c r="C496" s="85"/>
      <c r="D496" s="85"/>
      <c r="E496" s="234"/>
      <c r="F496" s="110"/>
      <c r="G496" s="83" t="s">
        <v>211</v>
      </c>
      <c r="H496" s="79"/>
      <c r="I496" s="80">
        <v>3</v>
      </c>
      <c r="J496" s="81">
        <v>120</v>
      </c>
      <c r="K496" s="81">
        <f>I496*J496</f>
        <v>360</v>
      </c>
      <c r="L496" s="111"/>
      <c r="M496" s="102"/>
      <c r="N496" s="71"/>
    </row>
    <row r="497" spans="1:14" ht="12.95" customHeight="1">
      <c r="A497" s="85"/>
      <c r="B497" s="85"/>
      <c r="C497" s="85"/>
      <c r="D497" s="85"/>
      <c r="E497" s="234"/>
      <c r="F497" s="110"/>
      <c r="G497" s="83" t="s">
        <v>212</v>
      </c>
      <c r="H497" s="79"/>
      <c r="I497" s="80">
        <v>0.45</v>
      </c>
      <c r="J497" s="81">
        <v>280</v>
      </c>
      <c r="K497" s="81">
        <f t="shared" ref="K497:K499" si="47">I497*J497</f>
        <v>126</v>
      </c>
      <c r="L497" s="111"/>
      <c r="M497" s="102"/>
      <c r="N497" s="71"/>
    </row>
    <row r="498" spans="1:14" ht="12.95" customHeight="1">
      <c r="A498" s="85"/>
      <c r="B498" s="85"/>
      <c r="C498" s="85"/>
      <c r="D498" s="85"/>
      <c r="E498" s="234"/>
      <c r="F498" s="110"/>
      <c r="G498" s="83" t="s">
        <v>213</v>
      </c>
      <c r="H498" s="79"/>
      <c r="I498" s="80">
        <v>0.25</v>
      </c>
      <c r="J498" s="81">
        <v>348</v>
      </c>
      <c r="K498" s="81">
        <f t="shared" si="47"/>
        <v>87</v>
      </c>
      <c r="L498" s="111"/>
      <c r="M498" s="102"/>
      <c r="N498" s="71"/>
    </row>
    <row r="499" spans="1:14" ht="12.95" customHeight="1">
      <c r="A499" s="85"/>
      <c r="B499" s="85"/>
      <c r="C499" s="85"/>
      <c r="D499" s="85"/>
      <c r="E499" s="234"/>
      <c r="F499" s="110"/>
      <c r="G499" s="83" t="s">
        <v>45</v>
      </c>
      <c r="H499" s="79"/>
      <c r="I499" s="80">
        <v>0.2</v>
      </c>
      <c r="J499" s="81">
        <v>45</v>
      </c>
      <c r="K499" s="81">
        <f t="shared" si="47"/>
        <v>9</v>
      </c>
      <c r="L499" s="111"/>
      <c r="M499" s="102"/>
      <c r="N499" s="71"/>
    </row>
    <row r="500" spans="1:14" ht="12.95" customHeight="1">
      <c r="A500" s="85"/>
      <c r="B500" s="85"/>
      <c r="C500" s="85"/>
      <c r="D500" s="85"/>
      <c r="E500" s="234" t="s">
        <v>9</v>
      </c>
      <c r="F500" s="110">
        <f>SUM(F494:F499)</f>
        <v>10</v>
      </c>
      <c r="G500" s="91"/>
      <c r="H500" s="79"/>
      <c r="I500" s="80"/>
      <c r="J500" s="81"/>
      <c r="K500" s="111">
        <f>SUM(K494:K499)</f>
        <v>954.5</v>
      </c>
      <c r="L500" s="111">
        <f>K500/F500</f>
        <v>95.45</v>
      </c>
      <c r="M500" s="153" t="s">
        <v>95</v>
      </c>
      <c r="N500" s="71"/>
    </row>
    <row r="501" spans="1:14" ht="12.95" customHeight="1">
      <c r="A501" s="85">
        <v>6404</v>
      </c>
      <c r="B501" s="120" t="s">
        <v>277</v>
      </c>
      <c r="C501" s="120" t="s">
        <v>121</v>
      </c>
      <c r="D501" s="120" t="s">
        <v>355</v>
      </c>
      <c r="E501" s="120" t="s">
        <v>93</v>
      </c>
      <c r="F501" s="98">
        <v>10</v>
      </c>
      <c r="G501" s="91" t="s">
        <v>210</v>
      </c>
      <c r="H501" s="109"/>
      <c r="I501" s="80">
        <v>1E-3</v>
      </c>
      <c r="J501" s="81">
        <v>890</v>
      </c>
      <c r="K501" s="81">
        <f t="shared" ref="K501:K503" si="48">I501*J501</f>
        <v>0.89</v>
      </c>
      <c r="L501" s="111"/>
      <c r="M501" s="102"/>
      <c r="N501" s="71"/>
    </row>
    <row r="502" spans="1:14" ht="12.95" customHeight="1">
      <c r="A502" s="85"/>
      <c r="B502" s="120" t="s">
        <v>354</v>
      </c>
      <c r="C502" s="120"/>
      <c r="D502" s="120"/>
      <c r="E502" s="120"/>
      <c r="F502" s="120"/>
      <c r="G502" s="91" t="s">
        <v>209</v>
      </c>
      <c r="H502" s="79"/>
      <c r="I502" s="80">
        <v>1E-3</v>
      </c>
      <c r="J502" s="81">
        <v>350</v>
      </c>
      <c r="K502" s="81">
        <f t="shared" si="48"/>
        <v>0.35000000000000003</v>
      </c>
      <c r="L502" s="111"/>
      <c r="M502" s="102"/>
      <c r="N502" s="71"/>
    </row>
    <row r="503" spans="1:14" ht="12.95" customHeight="1">
      <c r="A503" s="85"/>
      <c r="B503" s="120"/>
      <c r="C503" s="120"/>
      <c r="D503" s="120"/>
      <c r="E503" s="120"/>
      <c r="F503" s="120"/>
      <c r="G503" s="91" t="s">
        <v>294</v>
      </c>
      <c r="H503" s="112"/>
      <c r="I503" s="113">
        <v>6.0000000000000001E-3</v>
      </c>
      <c r="J503" s="81">
        <v>753</v>
      </c>
      <c r="K503" s="81">
        <f t="shared" si="48"/>
        <v>4.5179999999999998</v>
      </c>
      <c r="L503" s="111"/>
      <c r="M503" s="102"/>
      <c r="N503" s="71"/>
    </row>
    <row r="504" spans="1:14" ht="12.95" customHeight="1">
      <c r="A504" s="85"/>
      <c r="B504" s="85"/>
      <c r="C504" s="85"/>
      <c r="D504" s="85"/>
      <c r="E504" s="234"/>
      <c r="F504" s="110"/>
      <c r="G504" s="83" t="s">
        <v>211</v>
      </c>
      <c r="H504" s="79"/>
      <c r="I504" s="80">
        <v>1</v>
      </c>
      <c r="J504" s="81">
        <v>120</v>
      </c>
      <c r="K504" s="81">
        <f>I504*J504</f>
        <v>120</v>
      </c>
      <c r="L504" s="111"/>
      <c r="M504" s="102"/>
      <c r="N504" s="71"/>
    </row>
    <row r="505" spans="1:14" ht="12.95" customHeight="1">
      <c r="A505" s="85"/>
      <c r="B505" s="85"/>
      <c r="C505" s="85"/>
      <c r="D505" s="85"/>
      <c r="E505" s="234"/>
      <c r="F505" s="110"/>
      <c r="G505" s="83" t="s">
        <v>212</v>
      </c>
      <c r="H505" s="79"/>
      <c r="I505" s="80">
        <v>0.2</v>
      </c>
      <c r="J505" s="81">
        <v>280</v>
      </c>
      <c r="K505" s="81">
        <f t="shared" ref="K505:K507" si="49">I505*J505</f>
        <v>56</v>
      </c>
      <c r="L505" s="111"/>
      <c r="M505" s="102"/>
      <c r="N505" s="71"/>
    </row>
    <row r="506" spans="1:14" ht="12.95" customHeight="1">
      <c r="A506" s="85"/>
      <c r="B506" s="85"/>
      <c r="C506" s="85"/>
      <c r="D506" s="85"/>
      <c r="E506" s="234"/>
      <c r="F506" s="110"/>
      <c r="G506" s="83" t="s">
        <v>213</v>
      </c>
      <c r="H506" s="79"/>
      <c r="I506" s="80">
        <v>0.25</v>
      </c>
      <c r="J506" s="81">
        <v>348</v>
      </c>
      <c r="K506" s="81">
        <f t="shared" si="49"/>
        <v>87</v>
      </c>
      <c r="L506" s="111"/>
      <c r="M506" s="102"/>
      <c r="N506" s="71"/>
    </row>
    <row r="507" spans="1:14" ht="12.95" customHeight="1">
      <c r="A507" s="85"/>
      <c r="B507" s="85"/>
      <c r="C507" s="85"/>
      <c r="D507" s="85"/>
      <c r="E507" s="234"/>
      <c r="F507" s="110"/>
      <c r="G507" s="83" t="s">
        <v>45</v>
      </c>
      <c r="H507" s="79"/>
      <c r="I507" s="80">
        <v>0.2</v>
      </c>
      <c r="J507" s="81">
        <v>45</v>
      </c>
      <c r="K507" s="81">
        <f t="shared" si="49"/>
        <v>9</v>
      </c>
      <c r="L507" s="111"/>
      <c r="M507" s="102"/>
      <c r="N507" s="71"/>
    </row>
    <row r="508" spans="1:14" ht="12.95" customHeight="1">
      <c r="A508" s="85"/>
      <c r="B508" s="85"/>
      <c r="C508" s="85"/>
      <c r="D508" s="85"/>
      <c r="E508" s="234" t="s">
        <v>9</v>
      </c>
      <c r="F508" s="110">
        <f>SUM(F501:F507)</f>
        <v>10</v>
      </c>
      <c r="G508" s="91"/>
      <c r="H508" s="79"/>
      <c r="I508" s="80"/>
      <c r="J508" s="81"/>
      <c r="K508" s="111">
        <f>SUM(K501:K507)</f>
        <v>277.75799999999998</v>
      </c>
      <c r="L508" s="111">
        <f>K508/F508</f>
        <v>27.775799999999997</v>
      </c>
      <c r="M508" s="153" t="s">
        <v>95</v>
      </c>
      <c r="N508" s="71"/>
    </row>
    <row r="509" spans="1:14" ht="12.95" customHeight="1">
      <c r="A509" s="231"/>
      <c r="B509" s="231"/>
      <c r="C509" s="231"/>
      <c r="D509" s="133" t="s">
        <v>30</v>
      </c>
      <c r="E509" s="133"/>
      <c r="F509" s="134">
        <f>F500+F508</f>
        <v>20</v>
      </c>
      <c r="G509" s="135"/>
      <c r="H509" s="135"/>
      <c r="I509" s="135"/>
      <c r="J509" s="135"/>
      <c r="K509" s="134">
        <f>K500+K508</f>
        <v>1232.258</v>
      </c>
      <c r="L509" s="151">
        <f>K509/F509</f>
        <v>61.612900000000003</v>
      </c>
      <c r="M509" s="207"/>
      <c r="N509" s="71"/>
    </row>
    <row r="510" spans="1:14" ht="12.95" customHeight="1">
      <c r="A510" s="70" t="s">
        <v>42</v>
      </c>
      <c r="B510" s="70"/>
      <c r="C510" s="70"/>
      <c r="D510" s="70"/>
      <c r="E510" s="70"/>
      <c r="F510" s="71"/>
      <c r="G510" s="71"/>
      <c r="H510" s="71"/>
      <c r="I510" s="71"/>
      <c r="J510" s="71"/>
      <c r="K510" s="824" t="s">
        <v>363</v>
      </c>
      <c r="L510" s="824"/>
      <c r="M510" s="824"/>
      <c r="N510" s="71"/>
    </row>
    <row r="511" spans="1:14" ht="12.95" customHeight="1">
      <c r="A511" s="234" t="s">
        <v>0</v>
      </c>
      <c r="B511" s="234" t="s">
        <v>7</v>
      </c>
      <c r="C511" s="234" t="s">
        <v>13</v>
      </c>
      <c r="D511" s="234" t="s">
        <v>14</v>
      </c>
      <c r="E511" s="234" t="s">
        <v>8</v>
      </c>
      <c r="F511" s="234" t="s">
        <v>1</v>
      </c>
      <c r="G511" s="234" t="s">
        <v>2</v>
      </c>
      <c r="H511" s="234" t="s">
        <v>15</v>
      </c>
      <c r="I511" s="234" t="s">
        <v>3</v>
      </c>
      <c r="J511" s="234" t="s">
        <v>4</v>
      </c>
      <c r="K511" s="234" t="s">
        <v>5</v>
      </c>
      <c r="L511" s="234" t="s">
        <v>12</v>
      </c>
      <c r="M511" s="234" t="s">
        <v>6</v>
      </c>
      <c r="N511" s="71"/>
    </row>
    <row r="512" spans="1:14" ht="12.95" customHeight="1">
      <c r="A512" s="120">
        <v>6410</v>
      </c>
      <c r="B512" s="120" t="s">
        <v>277</v>
      </c>
      <c r="C512" s="120" t="s">
        <v>121</v>
      </c>
      <c r="D512" s="120" t="s">
        <v>355</v>
      </c>
      <c r="E512" s="120" t="s">
        <v>93</v>
      </c>
      <c r="F512" s="98">
        <v>18</v>
      </c>
      <c r="G512" s="91" t="s">
        <v>209</v>
      </c>
      <c r="H512" s="79"/>
      <c r="I512" s="80">
        <v>1.36</v>
      </c>
      <c r="J512" s="81">
        <v>350</v>
      </c>
      <c r="K512" s="81">
        <f t="shared" ref="K512:K517" si="50">I512*J512</f>
        <v>476.00000000000006</v>
      </c>
      <c r="L512" s="111"/>
      <c r="M512" s="102"/>
      <c r="N512" s="71"/>
    </row>
    <row r="513" spans="1:14" ht="12.95" customHeight="1">
      <c r="A513" s="120"/>
      <c r="B513" s="120" t="s">
        <v>344</v>
      </c>
      <c r="C513" s="120"/>
      <c r="D513" s="120"/>
      <c r="E513" s="120"/>
      <c r="F513" s="120"/>
      <c r="G513" s="91" t="s">
        <v>372</v>
      </c>
      <c r="H513" s="109"/>
      <c r="I513" s="80">
        <v>3.1E-2</v>
      </c>
      <c r="J513" s="81">
        <v>690</v>
      </c>
      <c r="K513" s="81">
        <f t="shared" si="50"/>
        <v>21.39</v>
      </c>
      <c r="L513" s="111"/>
      <c r="M513" s="102"/>
      <c r="N513" s="71"/>
    </row>
    <row r="514" spans="1:14" ht="12.95" customHeight="1">
      <c r="A514" s="120"/>
      <c r="B514" s="120"/>
      <c r="C514" s="120"/>
      <c r="D514" s="120"/>
      <c r="E514" s="120"/>
      <c r="F514" s="120"/>
      <c r="G514" s="91" t="s">
        <v>272</v>
      </c>
      <c r="H514" s="109"/>
      <c r="I514" s="80">
        <v>1.4E-2</v>
      </c>
      <c r="J514" s="81">
        <v>700</v>
      </c>
      <c r="K514" s="81">
        <f t="shared" si="50"/>
        <v>9.8000000000000007</v>
      </c>
      <c r="L514" s="111"/>
      <c r="M514" s="102"/>
      <c r="N514" s="71"/>
    </row>
    <row r="515" spans="1:14" ht="12.95" customHeight="1">
      <c r="A515" s="120"/>
      <c r="B515" s="120"/>
      <c r="C515" s="120"/>
      <c r="D515" s="120"/>
      <c r="E515" s="120"/>
      <c r="F515" s="120"/>
      <c r="G515" s="91" t="s">
        <v>215</v>
      </c>
      <c r="H515" s="109"/>
      <c r="I515" s="80">
        <v>0.4</v>
      </c>
      <c r="J515" s="81">
        <v>750</v>
      </c>
      <c r="K515" s="81">
        <f t="shared" si="50"/>
        <v>300</v>
      </c>
      <c r="L515" s="111"/>
      <c r="M515" s="102"/>
      <c r="N515" s="71"/>
    </row>
    <row r="516" spans="1:14" ht="12.95" customHeight="1">
      <c r="A516" s="120"/>
      <c r="B516" s="120"/>
      <c r="C516" s="120"/>
      <c r="D516" s="120"/>
      <c r="E516" s="120"/>
      <c r="F516" s="120"/>
      <c r="G516" s="91" t="s">
        <v>221</v>
      </c>
      <c r="H516" s="112"/>
      <c r="I516" s="113">
        <v>0.02</v>
      </c>
      <c r="J516" s="81">
        <v>980</v>
      </c>
      <c r="K516" s="81">
        <f t="shared" si="50"/>
        <v>19.600000000000001</v>
      </c>
      <c r="L516" s="111"/>
      <c r="M516" s="102"/>
      <c r="N516" s="71"/>
    </row>
    <row r="517" spans="1:14" ht="12.95" customHeight="1">
      <c r="A517" s="120"/>
      <c r="B517" s="120"/>
      <c r="C517" s="120"/>
      <c r="D517" s="120"/>
      <c r="E517" s="120"/>
      <c r="F517" s="120"/>
      <c r="G517" s="91" t="s">
        <v>228</v>
      </c>
      <c r="H517" s="112"/>
      <c r="I517" s="113">
        <v>0.14000000000000001</v>
      </c>
      <c r="J517" s="81">
        <v>549</v>
      </c>
      <c r="K517" s="81">
        <f t="shared" si="50"/>
        <v>76.860000000000014</v>
      </c>
      <c r="L517" s="111"/>
      <c r="M517" s="102"/>
      <c r="N517" s="71"/>
    </row>
    <row r="518" spans="1:14" ht="12.95" customHeight="1">
      <c r="A518" s="120"/>
      <c r="B518" s="85"/>
      <c r="C518" s="85"/>
      <c r="D518" s="85"/>
      <c r="E518" s="234"/>
      <c r="F518" s="110"/>
      <c r="G518" s="83" t="s">
        <v>211</v>
      </c>
      <c r="H518" s="79"/>
      <c r="I518" s="80">
        <v>9</v>
      </c>
      <c r="J518" s="81">
        <v>120</v>
      </c>
      <c r="K518" s="81">
        <f>I518*J518</f>
        <v>1080</v>
      </c>
      <c r="L518" s="111"/>
      <c r="M518" s="102"/>
      <c r="N518" s="71"/>
    </row>
    <row r="519" spans="1:14" ht="12.95" customHeight="1">
      <c r="A519" s="120"/>
      <c r="B519" s="85"/>
      <c r="C519" s="85"/>
      <c r="D519" s="85"/>
      <c r="E519" s="234"/>
      <c r="F519" s="110"/>
      <c r="G519" s="83" t="s">
        <v>212</v>
      </c>
      <c r="H519" s="79"/>
      <c r="I519" s="80">
        <v>1.3</v>
      </c>
      <c r="J519" s="81">
        <v>527</v>
      </c>
      <c r="K519" s="81">
        <f t="shared" ref="K519:K522" si="51">I519*J519</f>
        <v>685.1</v>
      </c>
      <c r="L519" s="111"/>
      <c r="M519" s="102"/>
      <c r="N519" s="71"/>
    </row>
    <row r="520" spans="1:14" ht="12.95" customHeight="1">
      <c r="A520" s="120"/>
      <c r="B520" s="85"/>
      <c r="C520" s="85"/>
      <c r="D520" s="85"/>
      <c r="E520" s="234"/>
      <c r="F520" s="110"/>
      <c r="G520" s="83" t="s">
        <v>45</v>
      </c>
      <c r="H520" s="79"/>
      <c r="I520" s="80">
        <v>1.2</v>
      </c>
      <c r="J520" s="81">
        <v>45</v>
      </c>
      <c r="K520" s="81">
        <f t="shared" si="51"/>
        <v>54</v>
      </c>
      <c r="L520" s="111"/>
      <c r="M520" s="102"/>
      <c r="N520" s="71"/>
    </row>
    <row r="521" spans="1:14" ht="12.95" customHeight="1">
      <c r="A521" s="120"/>
      <c r="B521" s="85"/>
      <c r="C521" s="85"/>
      <c r="D521" s="85"/>
      <c r="E521" s="234"/>
      <c r="F521" s="110"/>
      <c r="G521" s="83" t="s">
        <v>213</v>
      </c>
      <c r="H521" s="79"/>
      <c r="I521" s="80">
        <v>1.3</v>
      </c>
      <c r="J521" s="81">
        <v>348</v>
      </c>
      <c r="K521" s="81">
        <f t="shared" si="51"/>
        <v>452.40000000000003</v>
      </c>
      <c r="L521" s="111"/>
      <c r="M521" s="102"/>
      <c r="N521" s="71"/>
    </row>
    <row r="522" spans="1:14" ht="12.95" customHeight="1">
      <c r="A522" s="120"/>
      <c r="B522" s="85"/>
      <c r="C522" s="85"/>
      <c r="D522" s="85"/>
      <c r="E522" s="234"/>
      <c r="F522" s="110"/>
      <c r="G522" s="83" t="s">
        <v>214</v>
      </c>
      <c r="H522" s="79"/>
      <c r="I522" s="80">
        <v>8</v>
      </c>
      <c r="J522" s="81">
        <v>360</v>
      </c>
      <c r="K522" s="81">
        <f t="shared" si="51"/>
        <v>2880</v>
      </c>
      <c r="L522" s="111"/>
      <c r="M522" s="102"/>
      <c r="N522" s="71"/>
    </row>
    <row r="523" spans="1:14" ht="12.95" customHeight="1">
      <c r="A523" s="120"/>
      <c r="B523" s="85"/>
      <c r="C523" s="85"/>
      <c r="D523" s="85"/>
      <c r="E523" s="234" t="s">
        <v>9</v>
      </c>
      <c r="F523" s="110">
        <f>SUM(F512:F522)</f>
        <v>18</v>
      </c>
      <c r="G523" s="234"/>
      <c r="H523" s="234"/>
      <c r="I523" s="97"/>
      <c r="J523" s="97"/>
      <c r="K523" s="111">
        <f>SUM(K512:K522)</f>
        <v>6055.15</v>
      </c>
      <c r="L523" s="111">
        <f>K523/F523</f>
        <v>336.39722222222218</v>
      </c>
      <c r="M523" s="153" t="s">
        <v>95</v>
      </c>
      <c r="N523" s="71"/>
    </row>
    <row r="524" spans="1:14" ht="12.95" customHeight="1">
      <c r="A524" s="120">
        <v>6411</v>
      </c>
      <c r="B524" s="120" t="s">
        <v>277</v>
      </c>
      <c r="C524" s="120" t="s">
        <v>121</v>
      </c>
      <c r="D524" s="120" t="s">
        <v>355</v>
      </c>
      <c r="E524" s="120" t="s">
        <v>93</v>
      </c>
      <c r="F524" s="98">
        <v>25</v>
      </c>
      <c r="G524" s="91" t="s">
        <v>228</v>
      </c>
      <c r="H524" s="112"/>
      <c r="I524" s="113">
        <v>0.11</v>
      </c>
      <c r="J524" s="81">
        <v>549</v>
      </c>
      <c r="K524" s="81">
        <f t="shared" ref="K524:K525" si="52">I524*J524</f>
        <v>60.39</v>
      </c>
      <c r="L524" s="111"/>
      <c r="M524" s="102"/>
      <c r="N524" s="71"/>
    </row>
    <row r="525" spans="1:14" ht="12.95" customHeight="1">
      <c r="A525" s="85"/>
      <c r="B525" s="120" t="s">
        <v>344</v>
      </c>
      <c r="C525" s="120"/>
      <c r="D525" s="120"/>
      <c r="E525" s="120"/>
      <c r="F525" s="120"/>
      <c r="G525" s="101" t="s">
        <v>373</v>
      </c>
      <c r="H525" s="109"/>
      <c r="I525" s="80">
        <v>0.24</v>
      </c>
      <c r="J525" s="81">
        <v>1200</v>
      </c>
      <c r="K525" s="81">
        <f t="shared" si="52"/>
        <v>288</v>
      </c>
      <c r="L525" s="111"/>
      <c r="M525" s="102"/>
      <c r="N525" s="71"/>
    </row>
    <row r="526" spans="1:14" ht="12.95" customHeight="1">
      <c r="A526" s="85"/>
      <c r="B526" s="85"/>
      <c r="C526" s="85"/>
      <c r="D526" s="85"/>
      <c r="E526" s="234"/>
      <c r="F526" s="110"/>
      <c r="G526" s="83" t="s">
        <v>211</v>
      </c>
      <c r="H526" s="79"/>
      <c r="I526" s="80">
        <v>2</v>
      </c>
      <c r="J526" s="81">
        <v>120</v>
      </c>
      <c r="K526" s="81">
        <f>I526*J526</f>
        <v>240</v>
      </c>
      <c r="L526" s="111"/>
      <c r="M526" s="102"/>
      <c r="N526" s="71"/>
    </row>
    <row r="527" spans="1:14" ht="12.95" customHeight="1">
      <c r="A527" s="85"/>
      <c r="B527" s="85"/>
      <c r="C527" s="85"/>
      <c r="D527" s="85"/>
      <c r="E527" s="234"/>
      <c r="F527" s="110"/>
      <c r="G527" s="83" t="s">
        <v>212</v>
      </c>
      <c r="H527" s="79"/>
      <c r="I527" s="80">
        <v>0.3</v>
      </c>
      <c r="J527" s="81">
        <v>527</v>
      </c>
      <c r="K527" s="81">
        <f t="shared" ref="K527:K530" si="53">I527*J527</f>
        <v>158.1</v>
      </c>
      <c r="L527" s="111"/>
      <c r="M527" s="102"/>
      <c r="N527" s="71"/>
    </row>
    <row r="528" spans="1:14" ht="12.95" customHeight="1">
      <c r="A528" s="85"/>
      <c r="B528" s="85"/>
      <c r="C528" s="85"/>
      <c r="D528" s="85"/>
      <c r="E528" s="234"/>
      <c r="F528" s="110"/>
      <c r="G528" s="83" t="s">
        <v>45</v>
      </c>
      <c r="H528" s="79"/>
      <c r="I528" s="80">
        <v>0.3</v>
      </c>
      <c r="J528" s="81">
        <v>45</v>
      </c>
      <c r="K528" s="81">
        <f t="shared" si="53"/>
        <v>13.5</v>
      </c>
      <c r="L528" s="111"/>
      <c r="M528" s="102"/>
      <c r="N528" s="71"/>
    </row>
    <row r="529" spans="1:14" ht="12.95" customHeight="1">
      <c r="A529" s="85"/>
      <c r="B529" s="85"/>
      <c r="C529" s="85"/>
      <c r="D529" s="85"/>
      <c r="E529" s="234"/>
      <c r="F529" s="110"/>
      <c r="G529" s="83" t="s">
        <v>213</v>
      </c>
      <c r="H529" s="79"/>
      <c r="I529" s="80">
        <v>0.35</v>
      </c>
      <c r="J529" s="81">
        <v>348</v>
      </c>
      <c r="K529" s="81">
        <f t="shared" si="53"/>
        <v>121.8</v>
      </c>
      <c r="L529" s="111"/>
      <c r="M529" s="102"/>
      <c r="N529" s="71"/>
    </row>
    <row r="530" spans="1:14" ht="12.95" customHeight="1">
      <c r="A530" s="85"/>
      <c r="B530" s="85"/>
      <c r="C530" s="85"/>
      <c r="D530" s="85"/>
      <c r="E530" s="234"/>
      <c r="F530" s="110"/>
      <c r="G530" s="83" t="s">
        <v>214</v>
      </c>
      <c r="H530" s="79"/>
      <c r="I530" s="80">
        <v>4</v>
      </c>
      <c r="J530" s="81">
        <v>360</v>
      </c>
      <c r="K530" s="81">
        <f t="shared" si="53"/>
        <v>1440</v>
      </c>
      <c r="L530" s="111"/>
      <c r="M530" s="102"/>
      <c r="N530" s="71"/>
    </row>
    <row r="531" spans="1:14" ht="12.95" customHeight="1">
      <c r="A531" s="85"/>
      <c r="B531" s="85"/>
      <c r="C531" s="85"/>
      <c r="D531" s="85"/>
      <c r="E531" s="234" t="s">
        <v>9</v>
      </c>
      <c r="F531" s="238">
        <f>SUM(F524:F530)</f>
        <v>25</v>
      </c>
      <c r="G531" s="239"/>
      <c r="H531" s="239"/>
      <c r="I531" s="240"/>
      <c r="J531" s="240"/>
      <c r="K531" s="241">
        <f>SUM(K524:K530)</f>
        <v>2321.79</v>
      </c>
      <c r="L531" s="241">
        <f>K531/F531</f>
        <v>92.871600000000001</v>
      </c>
      <c r="M531" s="153" t="s">
        <v>95</v>
      </c>
      <c r="N531" s="71"/>
    </row>
    <row r="532" spans="1:14" ht="12.95" customHeight="1">
      <c r="A532" s="70"/>
      <c r="B532" s="70"/>
      <c r="C532" s="70"/>
      <c r="D532" s="133" t="s">
        <v>30</v>
      </c>
      <c r="E532" s="133"/>
      <c r="F532" s="134">
        <f>F523+F531</f>
        <v>43</v>
      </c>
      <c r="G532" s="135"/>
      <c r="H532" s="135"/>
      <c r="I532" s="135"/>
      <c r="J532" s="135"/>
      <c r="K532" s="134">
        <f>K523+K531</f>
        <v>8376.9399999999987</v>
      </c>
      <c r="L532" s="151">
        <f>K532/F532</f>
        <v>194.81255813953484</v>
      </c>
      <c r="M532" s="207"/>
      <c r="N532" s="71"/>
    </row>
    <row r="533" spans="1:14" ht="12.95" customHeight="1">
      <c r="A533" s="70" t="s">
        <v>42</v>
      </c>
      <c r="B533" s="70"/>
      <c r="C533" s="70"/>
      <c r="D533" s="70"/>
      <c r="E533" s="70"/>
      <c r="F533" s="71"/>
      <c r="G533" s="71"/>
      <c r="H533" s="71"/>
      <c r="I533" s="71"/>
      <c r="J533" s="71"/>
      <c r="K533" s="824" t="s">
        <v>403</v>
      </c>
      <c r="L533" s="824"/>
      <c r="M533" s="824"/>
      <c r="N533" s="71"/>
    </row>
    <row r="534" spans="1:14" ht="12.95" customHeight="1">
      <c r="A534" s="234" t="s">
        <v>0</v>
      </c>
      <c r="B534" s="234" t="s">
        <v>7</v>
      </c>
      <c r="C534" s="234" t="s">
        <v>13</v>
      </c>
      <c r="D534" s="234" t="s">
        <v>14</v>
      </c>
      <c r="E534" s="234" t="s">
        <v>8</v>
      </c>
      <c r="F534" s="234" t="s">
        <v>1</v>
      </c>
      <c r="G534" s="234" t="s">
        <v>2</v>
      </c>
      <c r="H534" s="234" t="s">
        <v>15</v>
      </c>
      <c r="I534" s="234" t="s">
        <v>3</v>
      </c>
      <c r="J534" s="234" t="s">
        <v>4</v>
      </c>
      <c r="K534" s="234" t="s">
        <v>5</v>
      </c>
      <c r="L534" s="234" t="s">
        <v>12</v>
      </c>
      <c r="M534" s="234" t="s">
        <v>6</v>
      </c>
      <c r="N534" s="71"/>
    </row>
    <row r="535" spans="1:14" ht="12.95" customHeight="1">
      <c r="A535" s="85">
        <v>6414</v>
      </c>
      <c r="B535" s="120" t="s">
        <v>293</v>
      </c>
      <c r="C535" s="120" t="s">
        <v>217</v>
      </c>
      <c r="D535" s="120" t="s">
        <v>246</v>
      </c>
      <c r="E535" s="120" t="s">
        <v>93</v>
      </c>
      <c r="F535" s="120">
        <v>7</v>
      </c>
      <c r="G535" s="91" t="s">
        <v>209</v>
      </c>
      <c r="H535" s="79"/>
      <c r="I535" s="80">
        <v>0.43</v>
      </c>
      <c r="J535" s="81">
        <v>350</v>
      </c>
      <c r="K535" s="81">
        <f t="shared" ref="K535:K536" si="54">I535*J535</f>
        <v>150.5</v>
      </c>
      <c r="L535" s="79"/>
      <c r="M535" s="102"/>
      <c r="N535" s="71"/>
    </row>
    <row r="536" spans="1:14" ht="12.95" customHeight="1">
      <c r="A536" s="85"/>
      <c r="B536" s="120"/>
      <c r="C536" s="120"/>
      <c r="D536" s="120"/>
      <c r="E536" s="120"/>
      <c r="F536" s="87"/>
      <c r="G536" s="91" t="s">
        <v>221</v>
      </c>
      <c r="H536" s="112"/>
      <c r="I536" s="113">
        <v>0.01</v>
      </c>
      <c r="J536" s="81">
        <v>980</v>
      </c>
      <c r="K536" s="81">
        <f t="shared" si="54"/>
        <v>9.8000000000000007</v>
      </c>
      <c r="L536" s="79"/>
      <c r="M536" s="102"/>
      <c r="N536" s="71"/>
    </row>
    <row r="537" spans="1:14" ht="12.95" customHeight="1">
      <c r="A537" s="85"/>
      <c r="B537" s="120"/>
      <c r="C537" s="120"/>
      <c r="D537" s="120"/>
      <c r="E537" s="120"/>
      <c r="F537" s="87"/>
      <c r="G537" s="91" t="s">
        <v>215</v>
      </c>
      <c r="H537" s="79"/>
      <c r="I537" s="80">
        <v>0.16</v>
      </c>
      <c r="J537" s="81">
        <v>750</v>
      </c>
      <c r="K537" s="81">
        <f>I537*J537</f>
        <v>120</v>
      </c>
      <c r="L537" s="79"/>
      <c r="M537" s="102"/>
      <c r="N537" s="71"/>
    </row>
    <row r="538" spans="1:14" ht="12.95" customHeight="1">
      <c r="A538" s="85"/>
      <c r="B538" s="120"/>
      <c r="C538" s="120"/>
      <c r="D538" s="120"/>
      <c r="E538" s="120"/>
      <c r="F538" s="87"/>
      <c r="G538" s="91" t="s">
        <v>419</v>
      </c>
      <c r="H538" s="79"/>
      <c r="I538" s="80">
        <v>0.1</v>
      </c>
      <c r="J538" s="199">
        <v>259</v>
      </c>
      <c r="K538" s="81">
        <f t="shared" ref="K538:K545" si="55">I538*J538</f>
        <v>25.900000000000002</v>
      </c>
      <c r="L538" s="79"/>
      <c r="M538" s="102"/>
      <c r="N538" s="71"/>
    </row>
    <row r="539" spans="1:14" ht="12.95" customHeight="1">
      <c r="A539" s="85"/>
      <c r="B539" s="120"/>
      <c r="C539" s="120"/>
      <c r="D539" s="120"/>
      <c r="E539" s="120"/>
      <c r="F539" s="87"/>
      <c r="G539" s="91" t="s">
        <v>210</v>
      </c>
      <c r="H539" s="109"/>
      <c r="I539" s="80">
        <v>0.02</v>
      </c>
      <c r="J539" s="81">
        <v>690</v>
      </c>
      <c r="K539" s="81">
        <f t="shared" si="55"/>
        <v>13.8</v>
      </c>
      <c r="L539" s="79"/>
      <c r="M539" s="102"/>
      <c r="N539" s="71"/>
    </row>
    <row r="540" spans="1:14" ht="12.95" customHeight="1">
      <c r="A540" s="85"/>
      <c r="B540" s="120"/>
      <c r="C540" s="120"/>
      <c r="D540" s="120"/>
      <c r="E540" s="235"/>
      <c r="F540" s="108"/>
      <c r="G540" s="91" t="s">
        <v>123</v>
      </c>
      <c r="H540" s="79"/>
      <c r="I540" s="80">
        <v>0.03</v>
      </c>
      <c r="J540" s="81">
        <v>750</v>
      </c>
      <c r="K540" s="81">
        <f t="shared" si="55"/>
        <v>22.5</v>
      </c>
      <c r="L540" s="79"/>
      <c r="M540" s="102"/>
      <c r="N540" s="71"/>
    </row>
    <row r="541" spans="1:14" ht="12.95" customHeight="1">
      <c r="A541" s="85"/>
      <c r="B541" s="120"/>
      <c r="C541" s="120"/>
      <c r="D541" s="120"/>
      <c r="E541" s="235"/>
      <c r="F541" s="108"/>
      <c r="G541" s="83" t="s">
        <v>211</v>
      </c>
      <c r="H541" s="79"/>
      <c r="I541" s="80">
        <v>11.5</v>
      </c>
      <c r="J541" s="81">
        <v>120</v>
      </c>
      <c r="K541" s="81">
        <f>I541*J541</f>
        <v>1380</v>
      </c>
      <c r="L541" s="79"/>
      <c r="M541" s="102"/>
      <c r="N541" s="71"/>
    </row>
    <row r="542" spans="1:14" ht="12.95" customHeight="1">
      <c r="A542" s="85"/>
      <c r="B542" s="120"/>
      <c r="C542" s="120"/>
      <c r="D542" s="120"/>
      <c r="E542" s="235"/>
      <c r="F542" s="108"/>
      <c r="G542" s="83" t="s">
        <v>212</v>
      </c>
      <c r="H542" s="79"/>
      <c r="I542" s="80">
        <v>1.2</v>
      </c>
      <c r="J542" s="81">
        <v>280</v>
      </c>
      <c r="K542" s="81">
        <f t="shared" ref="K542:K544" si="56">I542*J542</f>
        <v>336</v>
      </c>
      <c r="L542" s="79"/>
      <c r="M542" s="102"/>
      <c r="N542" s="71"/>
    </row>
    <row r="543" spans="1:14" ht="12.95" customHeight="1">
      <c r="A543" s="85"/>
      <c r="B543" s="120"/>
      <c r="C543" s="120"/>
      <c r="D543" s="120"/>
      <c r="E543" s="235"/>
      <c r="F543" s="108"/>
      <c r="G543" s="83" t="s">
        <v>213</v>
      </c>
      <c r="H543" s="79"/>
      <c r="I543" s="80">
        <v>1.3</v>
      </c>
      <c r="J543" s="81">
        <v>348</v>
      </c>
      <c r="K543" s="81">
        <f t="shared" si="56"/>
        <v>452.40000000000003</v>
      </c>
      <c r="L543" s="79"/>
      <c r="M543" s="102"/>
      <c r="N543" s="71"/>
    </row>
    <row r="544" spans="1:14" ht="12.95" customHeight="1">
      <c r="A544" s="85"/>
      <c r="B544" s="120"/>
      <c r="C544" s="120"/>
      <c r="D544" s="120"/>
      <c r="E544" s="235"/>
      <c r="F544" s="108"/>
      <c r="G544" s="83" t="s">
        <v>45</v>
      </c>
      <c r="H544" s="79"/>
      <c r="I544" s="80">
        <v>1.2</v>
      </c>
      <c r="J544" s="81">
        <v>45</v>
      </c>
      <c r="K544" s="81">
        <f t="shared" si="56"/>
        <v>54</v>
      </c>
      <c r="L544" s="79"/>
      <c r="M544" s="102"/>
      <c r="N544" s="71"/>
    </row>
    <row r="545" spans="1:15" ht="12.95" customHeight="1">
      <c r="A545" s="85"/>
      <c r="B545" s="120"/>
      <c r="C545" s="120"/>
      <c r="D545" s="120"/>
      <c r="E545" s="235"/>
      <c r="F545" s="108"/>
      <c r="G545" s="83" t="s">
        <v>214</v>
      </c>
      <c r="H545" s="79"/>
      <c r="I545" s="80">
        <v>0.05</v>
      </c>
      <c r="J545" s="81">
        <v>360</v>
      </c>
      <c r="K545" s="81">
        <f t="shared" si="55"/>
        <v>18</v>
      </c>
      <c r="L545" s="79"/>
      <c r="M545" s="102"/>
      <c r="N545" s="71"/>
    </row>
    <row r="546" spans="1:15" ht="12.95" customHeight="1">
      <c r="A546" s="85"/>
      <c r="B546" s="85"/>
      <c r="C546" s="85"/>
      <c r="D546" s="85"/>
      <c r="E546" s="234" t="s">
        <v>9</v>
      </c>
      <c r="F546" s="110">
        <f>SUM(F535:F545)</f>
        <v>7</v>
      </c>
      <c r="G546" s="234"/>
      <c r="H546" s="234"/>
      <c r="I546" s="97"/>
      <c r="J546" s="97"/>
      <c r="K546" s="111">
        <f>SUM(K535:K545)</f>
        <v>2582.9</v>
      </c>
      <c r="L546" s="175">
        <f>K546/F546</f>
        <v>368.98571428571432</v>
      </c>
      <c r="M546" s="153" t="s">
        <v>95</v>
      </c>
      <c r="N546" s="71"/>
    </row>
    <row r="547" spans="1:15" ht="12.95" customHeight="1">
      <c r="A547" s="107"/>
      <c r="B547" s="107"/>
      <c r="C547" s="107"/>
      <c r="D547" s="133" t="s">
        <v>30</v>
      </c>
      <c r="E547" s="133"/>
      <c r="F547" s="134">
        <f>F546</f>
        <v>7</v>
      </c>
      <c r="G547" s="135"/>
      <c r="H547" s="135"/>
      <c r="I547" s="135"/>
      <c r="J547" s="135"/>
      <c r="K547" s="134">
        <f>K546</f>
        <v>2582.9</v>
      </c>
      <c r="L547" s="151">
        <f>K547/F547</f>
        <v>368.98571428571432</v>
      </c>
      <c r="M547" s="107"/>
      <c r="N547" s="71"/>
    </row>
    <row r="548" spans="1:15" ht="12.95" customHeight="1">
      <c r="A548" s="107"/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71"/>
    </row>
    <row r="549" spans="1:15" ht="12.95" customHeight="1">
      <c r="A549" s="107"/>
      <c r="B549" s="107"/>
      <c r="C549" s="107"/>
      <c r="D549" s="109" t="s">
        <v>30</v>
      </c>
      <c r="E549" s="79"/>
      <c r="F549" s="182">
        <f>F408+F421+F442+F462+F477+F491+F509+F532+F546</f>
        <v>1034</v>
      </c>
      <c r="G549" s="183"/>
      <c r="H549" s="183"/>
      <c r="I549" s="183"/>
      <c r="J549" s="183"/>
      <c r="K549" s="184">
        <f>K408+K421+K442+K462+K477+K491+K509+K532+K547</f>
        <v>153664.64299999998</v>
      </c>
      <c r="L549" s="185">
        <f>K549/F549</f>
        <v>148.61184042553191</v>
      </c>
      <c r="M549" s="107"/>
      <c r="N549" s="71"/>
    </row>
    <row r="550" spans="1:15" ht="12.95" customHeight="1">
      <c r="A550" s="107"/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71"/>
    </row>
    <row r="551" spans="1:15" ht="12.95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</row>
    <row r="552" spans="1:15" ht="12.95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</row>
    <row r="553" spans="1:15" ht="12.95" customHeight="1">
      <c r="A553" s="942" t="s">
        <v>240</v>
      </c>
      <c r="B553" s="942"/>
      <c r="C553" s="942" t="s">
        <v>64</v>
      </c>
      <c r="D553" s="942"/>
      <c r="E553" s="942" t="s">
        <v>241</v>
      </c>
      <c r="F553" s="942"/>
      <c r="G553" s="187" t="s">
        <v>66</v>
      </c>
      <c r="H553" s="187"/>
      <c r="I553" s="942" t="s">
        <v>411</v>
      </c>
      <c r="J553" s="942"/>
      <c r="K553" s="942" t="s">
        <v>68</v>
      </c>
      <c r="L553" s="942"/>
      <c r="M553" s="942"/>
      <c r="N553" s="187"/>
      <c r="O553" s="187"/>
    </row>
  </sheetData>
  <mergeCells count="44">
    <mergeCell ref="I162:J162"/>
    <mergeCell ref="K4:M4"/>
    <mergeCell ref="K15:M15"/>
    <mergeCell ref="A1:M1"/>
    <mergeCell ref="A2:M2"/>
    <mergeCell ref="A3:M3"/>
    <mergeCell ref="K30:M30"/>
    <mergeCell ref="K43:M43"/>
    <mergeCell ref="K49:M49"/>
    <mergeCell ref="K99:M99"/>
    <mergeCell ref="A130:B130"/>
    <mergeCell ref="K113:M113"/>
    <mergeCell ref="K130:M130"/>
    <mergeCell ref="D151:E151"/>
    <mergeCell ref="D152:E152"/>
    <mergeCell ref="D153:E153"/>
    <mergeCell ref="A390:B390"/>
    <mergeCell ref="E185:F185"/>
    <mergeCell ref="A185:B185"/>
    <mergeCell ref="K185:M185"/>
    <mergeCell ref="C185:D185"/>
    <mergeCell ref="H185:J185"/>
    <mergeCell ref="K390:M390"/>
    <mergeCell ref="I152:J152"/>
    <mergeCell ref="I153:J153"/>
    <mergeCell ref="I154:J154"/>
    <mergeCell ref="I155:J155"/>
    <mergeCell ref="I156:J156"/>
    <mergeCell ref="B156:C156"/>
    <mergeCell ref="K533:M533"/>
    <mergeCell ref="A553:B553"/>
    <mergeCell ref="E553:F553"/>
    <mergeCell ref="C553:D553"/>
    <mergeCell ref="I553:J553"/>
    <mergeCell ref="K553:M553"/>
    <mergeCell ref="A409:B409"/>
    <mergeCell ref="K478:M478"/>
    <mergeCell ref="K492:M492"/>
    <mergeCell ref="K510:M510"/>
    <mergeCell ref="K443:M443"/>
    <mergeCell ref="K463:M463"/>
    <mergeCell ref="I157:J157"/>
    <mergeCell ref="I158:J158"/>
    <mergeCell ref="I161:J161"/>
  </mergeCells>
  <pageMargins left="0.2" right="0.2" top="0.5" bottom="0.25" header="0.3" footer="0.3"/>
  <pageSetup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66"/>
  <sheetViews>
    <sheetView workbookViewId="0">
      <selection activeCell="G163" sqref="G163:K163"/>
    </sheetView>
  </sheetViews>
  <sheetFormatPr defaultRowHeight="15"/>
  <cols>
    <col min="2" max="2" width="11.28515625" customWidth="1"/>
    <col min="3" max="3" width="13.140625" customWidth="1"/>
    <col min="4" max="4" width="19" customWidth="1"/>
    <col min="5" max="5" width="11.5703125" customWidth="1"/>
    <col min="6" max="6" width="11" customWidth="1"/>
    <col min="7" max="7" width="21.140625" customWidth="1"/>
    <col min="8" max="8" width="6.42578125" bestFit="1" customWidth="1"/>
    <col min="9" max="9" width="11" customWidth="1"/>
    <col min="10" max="10" width="11.140625" customWidth="1"/>
    <col min="11" max="11" width="13.140625" customWidth="1"/>
    <col min="12" max="12" width="9.42578125" customWidth="1"/>
    <col min="13" max="13" width="11.42578125" customWidth="1"/>
    <col min="14" max="14" width="12.28515625" customWidth="1"/>
  </cols>
  <sheetData>
    <row r="1" spans="1:14" ht="18.75">
      <c r="A1" s="846" t="s">
        <v>146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351"/>
    </row>
    <row r="2" spans="1:14" ht="14.1" customHeight="1">
      <c r="A2" s="827" t="s">
        <v>147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384"/>
    </row>
    <row r="3" spans="1:14" s="9" customFormat="1" ht="14.1" customHeight="1">
      <c r="A3" s="828" t="s">
        <v>148</v>
      </c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  <c r="M3" s="828"/>
      <c r="N3" s="385"/>
    </row>
    <row r="4" spans="1:14" s="71" customFormat="1" ht="14.1" customHeight="1">
      <c r="A4" s="70" t="s">
        <v>21</v>
      </c>
      <c r="B4" s="70"/>
      <c r="C4" s="70"/>
      <c r="D4" s="70"/>
      <c r="E4" s="70"/>
      <c r="K4" s="824" t="s">
        <v>1234</v>
      </c>
      <c r="L4" s="824"/>
      <c r="M4" s="824"/>
    </row>
    <row r="5" spans="1:14" s="71" customFormat="1" ht="14.1" customHeight="1">
      <c r="A5" s="806" t="s">
        <v>0</v>
      </c>
      <c r="B5" s="806" t="s">
        <v>7</v>
      </c>
      <c r="C5" s="806" t="s">
        <v>13</v>
      </c>
      <c r="D5" s="806" t="s">
        <v>14</v>
      </c>
      <c r="E5" s="806" t="s">
        <v>8</v>
      </c>
      <c r="F5" s="806" t="s">
        <v>1</v>
      </c>
      <c r="G5" s="806" t="s">
        <v>2</v>
      </c>
      <c r="H5" s="806" t="s">
        <v>15</v>
      </c>
      <c r="I5" s="806" t="s">
        <v>3</v>
      </c>
      <c r="J5" s="806" t="s">
        <v>4</v>
      </c>
      <c r="K5" s="806" t="s">
        <v>5</v>
      </c>
      <c r="L5" s="806" t="s">
        <v>12</v>
      </c>
      <c r="M5" s="806" t="s">
        <v>6</v>
      </c>
    </row>
    <row r="6" spans="1:14" s="71" customFormat="1" ht="14.1" customHeight="1">
      <c r="A6" s="804">
        <v>1</v>
      </c>
      <c r="B6" s="804" t="s">
        <v>1238</v>
      </c>
      <c r="C6" s="804" t="s">
        <v>1033</v>
      </c>
      <c r="D6" s="804" t="s">
        <v>1034</v>
      </c>
      <c r="E6" s="804"/>
      <c r="F6" s="90">
        <f>7435*1.0936</f>
        <v>8130.9159999999993</v>
      </c>
      <c r="G6" s="804" t="s">
        <v>170</v>
      </c>
      <c r="H6" s="79"/>
      <c r="I6" s="80">
        <v>12</v>
      </c>
      <c r="J6" s="81">
        <v>227</v>
      </c>
      <c r="K6" s="81">
        <f t="shared" ref="K6:K7" si="0">I6*J6</f>
        <v>2724</v>
      </c>
      <c r="L6" s="79"/>
      <c r="M6" s="156">
        <f>I6+I10</f>
        <v>27</v>
      </c>
      <c r="N6" s="804" t="s">
        <v>173</v>
      </c>
    </row>
    <row r="7" spans="1:14" s="71" customFormat="1" ht="14.1" customHeight="1">
      <c r="A7" s="804"/>
      <c r="B7" s="804"/>
      <c r="C7" s="804"/>
      <c r="D7" s="804"/>
      <c r="E7" s="804"/>
      <c r="F7" s="90"/>
      <c r="G7" s="804" t="s">
        <v>171</v>
      </c>
      <c r="H7" s="79"/>
      <c r="I7" s="80">
        <v>8</v>
      </c>
      <c r="J7" s="81">
        <v>416</v>
      </c>
      <c r="K7" s="81">
        <f t="shared" si="0"/>
        <v>3328</v>
      </c>
      <c r="L7" s="79"/>
      <c r="M7" s="156">
        <f t="shared" ref="M7:M8" si="1">I7+I11</f>
        <v>18</v>
      </c>
      <c r="N7" s="804" t="s">
        <v>174</v>
      </c>
    </row>
    <row r="8" spans="1:14" s="71" customFormat="1" ht="14.1" customHeight="1">
      <c r="A8" s="804"/>
      <c r="B8" s="804"/>
      <c r="C8" s="804"/>
      <c r="D8" s="804"/>
      <c r="E8" s="804"/>
      <c r="F8" s="90"/>
      <c r="G8" s="804" t="s">
        <v>172</v>
      </c>
      <c r="H8" s="79"/>
      <c r="I8" s="80">
        <v>5</v>
      </c>
      <c r="J8" s="81">
        <v>165</v>
      </c>
      <c r="K8" s="81">
        <f>I8*J8</f>
        <v>825</v>
      </c>
      <c r="L8" s="79"/>
      <c r="M8" s="156">
        <f t="shared" si="1"/>
        <v>13</v>
      </c>
      <c r="N8" s="804" t="s">
        <v>172</v>
      </c>
    </row>
    <row r="9" spans="1:14" s="71" customFormat="1" ht="14.1" customHeight="1">
      <c r="A9" s="804"/>
      <c r="B9" s="804"/>
      <c r="C9" s="804"/>
      <c r="D9" s="804"/>
      <c r="E9" s="805" t="s">
        <v>9</v>
      </c>
      <c r="F9" s="108">
        <f>SUM(F6:F8)</f>
        <v>8130.9159999999993</v>
      </c>
      <c r="G9" s="805"/>
      <c r="H9" s="805"/>
      <c r="I9" s="80"/>
      <c r="J9" s="81"/>
      <c r="K9" s="103">
        <f>SUM(K6:K8)</f>
        <v>6877</v>
      </c>
      <c r="L9" s="103">
        <f>K9/F9</f>
        <v>0.84578416503134468</v>
      </c>
      <c r="M9" s="156">
        <f>I9+I25</f>
        <v>0</v>
      </c>
      <c r="N9" s="804" t="s">
        <v>24</v>
      </c>
    </row>
    <row r="10" spans="1:14" s="71" customFormat="1" ht="14.1" customHeight="1">
      <c r="A10" s="804">
        <v>2</v>
      </c>
      <c r="B10" s="804" t="s">
        <v>1235</v>
      </c>
      <c r="C10" s="804" t="s">
        <v>955</v>
      </c>
      <c r="D10" s="804" t="s">
        <v>263</v>
      </c>
      <c r="E10" s="804"/>
      <c r="F10" s="90">
        <f>10230*1.0936</f>
        <v>11187.527999999998</v>
      </c>
      <c r="G10" s="804" t="s">
        <v>170</v>
      </c>
      <c r="H10" s="79"/>
      <c r="I10" s="80">
        <v>15</v>
      </c>
      <c r="J10" s="81">
        <v>227</v>
      </c>
      <c r="K10" s="81">
        <f t="shared" ref="K10:K11" si="2">I10*J10</f>
        <v>3405</v>
      </c>
      <c r="L10" s="79"/>
      <c r="M10" s="156">
        <f>I10+I26</f>
        <v>15</v>
      </c>
      <c r="N10" s="804" t="s">
        <v>175</v>
      </c>
    </row>
    <row r="11" spans="1:14" s="71" customFormat="1" ht="14.1" customHeight="1">
      <c r="A11" s="804"/>
      <c r="B11" s="804"/>
      <c r="C11" s="804"/>
      <c r="D11" s="804"/>
      <c r="E11" s="804"/>
      <c r="F11" s="90"/>
      <c r="G11" s="804" t="s">
        <v>171</v>
      </c>
      <c r="H11" s="79"/>
      <c r="I11" s="80">
        <v>10</v>
      </c>
      <c r="J11" s="81">
        <v>416</v>
      </c>
      <c r="K11" s="81">
        <f t="shared" si="2"/>
        <v>4160</v>
      </c>
      <c r="L11" s="79"/>
      <c r="M11" s="156" t="e">
        <f>I11+#REF!</f>
        <v>#REF!</v>
      </c>
      <c r="N11" s="802" t="s">
        <v>176</v>
      </c>
    </row>
    <row r="12" spans="1:14" s="71" customFormat="1" ht="14.1" customHeight="1">
      <c r="A12" s="804"/>
      <c r="B12" s="804"/>
      <c r="C12" s="804"/>
      <c r="D12" s="804"/>
      <c r="E12" s="804"/>
      <c r="F12" s="87"/>
      <c r="G12" s="804" t="s">
        <v>172</v>
      </c>
      <c r="H12" s="79"/>
      <c r="I12" s="80">
        <v>8</v>
      </c>
      <c r="J12" s="81">
        <v>165</v>
      </c>
      <c r="K12" s="81">
        <f>I12*J12</f>
        <v>1320</v>
      </c>
      <c r="L12" s="79"/>
      <c r="M12" s="156" t="e">
        <f>I12+#REF!</f>
        <v>#REF!</v>
      </c>
      <c r="N12" s="430" t="s">
        <v>10</v>
      </c>
    </row>
    <row r="13" spans="1:14" s="71" customFormat="1" ht="14.1" customHeight="1">
      <c r="A13" s="804"/>
      <c r="B13" s="804"/>
      <c r="C13" s="804"/>
      <c r="D13" s="804"/>
      <c r="E13" s="805" t="s">
        <v>9</v>
      </c>
      <c r="F13" s="108">
        <f>SUM(F10:F12)</f>
        <v>11187.527999999998</v>
      </c>
      <c r="G13" s="805"/>
      <c r="H13" s="805"/>
      <c r="I13" s="80"/>
      <c r="J13" s="81"/>
      <c r="K13" s="103">
        <f>SUM(K10:K12)</f>
        <v>8885</v>
      </c>
      <c r="L13" s="103">
        <f>K13/F13</f>
        <v>0.7941879564457851</v>
      </c>
      <c r="M13" s="156"/>
      <c r="N13" s="227"/>
    </row>
    <row r="14" spans="1:14" s="71" customFormat="1" ht="14.1" customHeight="1">
      <c r="A14" s="804">
        <v>3</v>
      </c>
      <c r="B14" s="804" t="s">
        <v>1236</v>
      </c>
      <c r="C14" s="804" t="s">
        <v>470</v>
      </c>
      <c r="D14" s="804" t="s">
        <v>1237</v>
      </c>
      <c r="E14" s="804"/>
      <c r="F14" s="90">
        <f>2674*1.0936</f>
        <v>2924.2864</v>
      </c>
      <c r="G14" s="804" t="s">
        <v>170</v>
      </c>
      <c r="H14" s="79"/>
      <c r="I14" s="80">
        <v>5</v>
      </c>
      <c r="J14" s="81">
        <v>227</v>
      </c>
      <c r="K14" s="81">
        <f t="shared" ref="K14:K15" si="3">I14*J14</f>
        <v>1135</v>
      </c>
      <c r="L14" s="79"/>
      <c r="M14" s="156"/>
      <c r="N14" s="227"/>
    </row>
    <row r="15" spans="1:14" s="71" customFormat="1" ht="14.1" customHeight="1">
      <c r="A15" s="804"/>
      <c r="B15" s="804" t="s">
        <v>269</v>
      </c>
      <c r="C15" s="804"/>
      <c r="D15" s="804"/>
      <c r="E15" s="804"/>
      <c r="F15" s="90">
        <f>315*1.0936</f>
        <v>344.48399999999998</v>
      </c>
      <c r="G15" s="804" t="s">
        <v>171</v>
      </c>
      <c r="H15" s="79"/>
      <c r="I15" s="80">
        <v>3</v>
      </c>
      <c r="J15" s="81">
        <v>416</v>
      </c>
      <c r="K15" s="81">
        <f t="shared" si="3"/>
        <v>1248</v>
      </c>
      <c r="L15" s="79"/>
      <c r="M15" s="156"/>
      <c r="N15" s="227"/>
    </row>
    <row r="16" spans="1:14" s="71" customFormat="1" ht="14.1" customHeight="1">
      <c r="A16" s="804"/>
      <c r="B16" s="804"/>
      <c r="C16" s="804"/>
      <c r="D16" s="804"/>
      <c r="E16" s="804"/>
      <c r="F16" s="87"/>
      <c r="G16" s="804" t="s">
        <v>172</v>
      </c>
      <c r="H16" s="79"/>
      <c r="I16" s="80">
        <v>2</v>
      </c>
      <c r="J16" s="81">
        <v>165</v>
      </c>
      <c r="K16" s="81">
        <f>I16*J16</f>
        <v>330</v>
      </c>
      <c r="L16" s="79"/>
      <c r="M16" s="156"/>
      <c r="N16" s="227"/>
    </row>
    <row r="17" spans="1:14" s="71" customFormat="1" ht="14.1" customHeight="1">
      <c r="A17" s="804"/>
      <c r="B17" s="804"/>
      <c r="C17" s="804"/>
      <c r="D17" s="804"/>
      <c r="E17" s="805" t="s">
        <v>9</v>
      </c>
      <c r="F17" s="108">
        <f>SUM(F14:F16)</f>
        <v>3268.7703999999999</v>
      </c>
      <c r="G17" s="805"/>
      <c r="H17" s="805"/>
      <c r="I17" s="80"/>
      <c r="J17" s="81"/>
      <c r="K17" s="103">
        <f>SUM(K14:K16)</f>
        <v>2713</v>
      </c>
      <c r="L17" s="103">
        <f>K17/F17</f>
        <v>0.82997569973100593</v>
      </c>
      <c r="M17" s="156"/>
      <c r="N17" s="227"/>
    </row>
    <row r="18" spans="1:14" s="71" customFormat="1" ht="14.1" customHeight="1">
      <c r="A18" s="804">
        <v>4</v>
      </c>
      <c r="B18" s="804" t="s">
        <v>767</v>
      </c>
      <c r="C18" s="89" t="s">
        <v>766</v>
      </c>
      <c r="D18" s="89" t="s">
        <v>465</v>
      </c>
      <c r="E18" s="804"/>
      <c r="F18" s="90">
        <f>2908*1.0936</f>
        <v>3180.1887999999999</v>
      </c>
      <c r="G18" s="804" t="s">
        <v>170</v>
      </c>
      <c r="H18" s="79"/>
      <c r="I18" s="80">
        <v>3</v>
      </c>
      <c r="J18" s="81">
        <v>227</v>
      </c>
      <c r="K18" s="81">
        <f t="shared" ref="K18:K19" si="4">I18*J18</f>
        <v>681</v>
      </c>
      <c r="L18" s="79"/>
      <c r="M18" s="156"/>
      <c r="N18" s="227"/>
    </row>
    <row r="19" spans="1:14" s="71" customFormat="1" ht="14.1" customHeight="1">
      <c r="A19" s="804"/>
      <c r="B19" s="804"/>
      <c r="C19" s="804"/>
      <c r="D19" s="804"/>
      <c r="E19" s="804"/>
      <c r="F19" s="87"/>
      <c r="G19" s="804" t="s">
        <v>171</v>
      </c>
      <c r="H19" s="79"/>
      <c r="I19" s="80">
        <v>2</v>
      </c>
      <c r="J19" s="81">
        <v>416</v>
      </c>
      <c r="K19" s="81">
        <f t="shared" si="4"/>
        <v>832</v>
      </c>
      <c r="L19" s="79"/>
      <c r="M19" s="156"/>
      <c r="N19" s="227"/>
    </row>
    <row r="20" spans="1:14" s="71" customFormat="1" ht="14.1" customHeight="1">
      <c r="A20" s="804"/>
      <c r="B20" s="804"/>
      <c r="C20" s="804"/>
      <c r="D20" s="804"/>
      <c r="E20" s="804"/>
      <c r="F20" s="87"/>
      <c r="G20" s="804" t="s">
        <v>172</v>
      </c>
      <c r="H20" s="79"/>
      <c r="I20" s="80">
        <v>1</v>
      </c>
      <c r="J20" s="81">
        <v>165</v>
      </c>
      <c r="K20" s="81">
        <f>I20*J20</f>
        <v>165</v>
      </c>
      <c r="L20" s="79"/>
      <c r="M20" s="156"/>
      <c r="N20" s="227"/>
    </row>
    <row r="21" spans="1:14" s="71" customFormat="1" ht="14.1" customHeight="1">
      <c r="A21" s="804"/>
      <c r="B21" s="804"/>
      <c r="C21" s="804"/>
      <c r="D21" s="804"/>
      <c r="E21" s="805" t="s">
        <v>9</v>
      </c>
      <c r="F21" s="108">
        <f>SUM(F18:F20)</f>
        <v>3180.1887999999999</v>
      </c>
      <c r="G21" s="805"/>
      <c r="H21" s="805"/>
      <c r="I21" s="80"/>
      <c r="J21" s="81"/>
      <c r="K21" s="103">
        <f>SUM(K18:K20)</f>
        <v>1678</v>
      </c>
      <c r="L21" s="103">
        <f>K21/F21</f>
        <v>0.52764162932716452</v>
      </c>
      <c r="M21" s="156"/>
      <c r="N21" s="227"/>
    </row>
    <row r="22" spans="1:14" s="71" customFormat="1" ht="14.1" customHeight="1">
      <c r="A22" s="804">
        <v>5</v>
      </c>
      <c r="B22" s="804" t="s">
        <v>1167</v>
      </c>
      <c r="C22" s="804" t="s">
        <v>1040</v>
      </c>
      <c r="D22" s="804" t="s">
        <v>369</v>
      </c>
      <c r="E22" s="805"/>
      <c r="F22" s="98">
        <f>32807*1.0936</f>
        <v>35877.735199999996</v>
      </c>
      <c r="G22" s="804" t="s">
        <v>170</v>
      </c>
      <c r="H22" s="79"/>
      <c r="I22" s="80">
        <v>27.5</v>
      </c>
      <c r="J22" s="81">
        <v>227</v>
      </c>
      <c r="K22" s="81">
        <f t="shared" ref="K22:K23" si="5">I22*J22</f>
        <v>6242.5</v>
      </c>
      <c r="L22" s="79"/>
      <c r="M22" s="156"/>
      <c r="N22" s="227"/>
    </row>
    <row r="23" spans="1:14" s="71" customFormat="1" ht="14.1" customHeight="1">
      <c r="A23" s="804"/>
      <c r="B23" s="804"/>
      <c r="C23" s="804"/>
      <c r="D23" s="804"/>
      <c r="E23" s="804"/>
      <c r="F23" s="87"/>
      <c r="G23" s="804" t="s">
        <v>171</v>
      </c>
      <c r="H23" s="79"/>
      <c r="I23" s="80">
        <v>16.5</v>
      </c>
      <c r="J23" s="81">
        <v>416</v>
      </c>
      <c r="K23" s="81">
        <f t="shared" si="5"/>
        <v>6864</v>
      </c>
      <c r="L23" s="79"/>
      <c r="M23" s="156"/>
      <c r="N23" s="227"/>
    </row>
    <row r="24" spans="1:14" s="71" customFormat="1" ht="14.1" customHeight="1">
      <c r="A24" s="804"/>
      <c r="B24" s="804"/>
      <c r="C24" s="804"/>
      <c r="D24" s="804"/>
      <c r="E24" s="804"/>
      <c r="F24" s="87"/>
      <c r="G24" s="804" t="s">
        <v>172</v>
      </c>
      <c r="H24" s="79"/>
      <c r="I24" s="80">
        <v>11</v>
      </c>
      <c r="J24" s="81">
        <v>165</v>
      </c>
      <c r="K24" s="81">
        <f>I24*J24</f>
        <v>1815</v>
      </c>
      <c r="L24" s="79"/>
      <c r="M24" s="156"/>
      <c r="N24" s="227"/>
    </row>
    <row r="25" spans="1:14" s="71" customFormat="1" ht="14.1" customHeight="1">
      <c r="A25" s="804"/>
      <c r="B25" s="804"/>
      <c r="C25" s="804"/>
      <c r="D25" s="804"/>
      <c r="E25" s="805" t="s">
        <v>9</v>
      </c>
      <c r="F25" s="108">
        <f>SUM(F22:F24)</f>
        <v>35877.735199999996</v>
      </c>
      <c r="G25" s="805"/>
      <c r="H25" s="805"/>
      <c r="I25" s="80"/>
      <c r="J25" s="81"/>
      <c r="K25" s="103">
        <f>SUM(K22:K24)</f>
        <v>14921.5</v>
      </c>
      <c r="L25" s="103">
        <f>K25/F25</f>
        <v>0.41589860443587873</v>
      </c>
      <c r="M25" s="79"/>
    </row>
    <row r="26" spans="1:14" s="71" customFormat="1" ht="14.1" customHeight="1">
      <c r="D26" s="126" t="s">
        <v>30</v>
      </c>
      <c r="E26" s="126"/>
      <c r="F26" s="127">
        <f>F9+F13+F17+F21+F25</f>
        <v>61645.138399999996</v>
      </c>
      <c r="G26" s="128"/>
      <c r="H26" s="128"/>
      <c r="I26" s="128"/>
      <c r="J26" s="128"/>
      <c r="K26" s="127">
        <f>K9+K13+K17+K21+K25</f>
        <v>35074.5</v>
      </c>
      <c r="L26" s="129">
        <f>K26/F26</f>
        <v>0.56897430860500753</v>
      </c>
    </row>
    <row r="27" spans="1:14" s="71" customFormat="1" ht="14.1" customHeight="1">
      <c r="A27" s="70" t="s">
        <v>23</v>
      </c>
      <c r="B27" s="70"/>
      <c r="C27" s="70"/>
      <c r="D27" s="70"/>
      <c r="E27" s="70"/>
      <c r="K27" s="824" t="s">
        <v>1234</v>
      </c>
      <c r="L27" s="824"/>
      <c r="M27" s="824"/>
    </row>
    <row r="28" spans="1:14" s="71" customFormat="1" ht="14.1" customHeight="1">
      <c r="A28" s="806" t="s">
        <v>0</v>
      </c>
      <c r="B28" s="806" t="s">
        <v>7</v>
      </c>
      <c r="C28" s="806" t="s">
        <v>13</v>
      </c>
      <c r="D28" s="806" t="s">
        <v>14</v>
      </c>
      <c r="E28" s="806" t="s">
        <v>8</v>
      </c>
      <c r="F28" s="806" t="s">
        <v>1</v>
      </c>
      <c r="G28" s="806" t="s">
        <v>2</v>
      </c>
      <c r="H28" s="806" t="s">
        <v>15</v>
      </c>
      <c r="I28" s="806" t="s">
        <v>3</v>
      </c>
      <c r="J28" s="806" t="s">
        <v>4</v>
      </c>
      <c r="K28" s="806" t="s">
        <v>5</v>
      </c>
      <c r="L28" s="806" t="s">
        <v>12</v>
      </c>
      <c r="M28" s="806" t="s">
        <v>6</v>
      </c>
    </row>
    <row r="29" spans="1:14" s="71" customFormat="1" ht="14.1" customHeight="1">
      <c r="A29" s="599">
        <v>1</v>
      </c>
      <c r="B29" s="804" t="s">
        <v>1223</v>
      </c>
      <c r="C29" s="804" t="s">
        <v>121</v>
      </c>
      <c r="D29" s="804" t="s">
        <v>1093</v>
      </c>
      <c r="E29" s="805"/>
      <c r="F29" s="98">
        <f>21670*1.0936</f>
        <v>23698.311999999998</v>
      </c>
      <c r="G29" s="804" t="s">
        <v>24</v>
      </c>
      <c r="H29" s="79"/>
      <c r="I29" s="80">
        <f>194+31</f>
        <v>225</v>
      </c>
      <c r="J29" s="81">
        <v>74</v>
      </c>
      <c r="K29" s="81">
        <f t="shared" ref="K29:K31" si="6">I29*J29</f>
        <v>16650</v>
      </c>
      <c r="L29" s="102"/>
      <c r="M29" s="124"/>
    </row>
    <row r="30" spans="1:14" s="71" customFormat="1" ht="14.1" customHeight="1">
      <c r="A30" s="599"/>
      <c r="B30" s="804"/>
      <c r="C30" s="804"/>
      <c r="D30" s="804"/>
      <c r="E30" s="804"/>
      <c r="F30" s="98"/>
      <c r="G30" s="88" t="s">
        <v>18</v>
      </c>
      <c r="H30" s="79"/>
      <c r="I30" s="80">
        <v>100</v>
      </c>
      <c r="J30" s="81">
        <v>46</v>
      </c>
      <c r="K30" s="81">
        <f t="shared" si="6"/>
        <v>4600</v>
      </c>
      <c r="L30" s="102"/>
      <c r="M30" s="102"/>
    </row>
    <row r="31" spans="1:14" s="71" customFormat="1" ht="14.1" customHeight="1">
      <c r="A31" s="599"/>
      <c r="B31" s="804"/>
      <c r="C31" s="804"/>
      <c r="D31" s="804"/>
      <c r="E31" s="804"/>
      <c r="F31" s="98"/>
      <c r="G31" s="804" t="s">
        <v>171</v>
      </c>
      <c r="H31" s="79"/>
      <c r="I31" s="80">
        <v>76</v>
      </c>
      <c r="J31" s="81">
        <v>416</v>
      </c>
      <c r="K31" s="81">
        <f t="shared" si="6"/>
        <v>31616</v>
      </c>
      <c r="L31" s="102"/>
      <c r="M31" s="102"/>
    </row>
    <row r="32" spans="1:14" s="71" customFormat="1" ht="14.1" customHeight="1">
      <c r="A32" s="599"/>
      <c r="B32" s="804"/>
      <c r="C32" s="804"/>
      <c r="D32" s="804"/>
      <c r="E32" s="804"/>
      <c r="F32" s="98"/>
      <c r="G32" s="804" t="s">
        <v>172</v>
      </c>
      <c r="H32" s="79"/>
      <c r="I32" s="80">
        <v>35</v>
      </c>
      <c r="J32" s="81">
        <v>165</v>
      </c>
      <c r="K32" s="81">
        <f>I32*J32</f>
        <v>5775</v>
      </c>
      <c r="L32" s="102"/>
      <c r="M32" s="102"/>
    </row>
    <row r="33" spans="1:14" s="71" customFormat="1" ht="14.1" customHeight="1">
      <c r="A33" s="599"/>
      <c r="B33" s="804"/>
      <c r="C33" s="804"/>
      <c r="D33" s="804"/>
      <c r="E33" s="804"/>
      <c r="F33" s="98"/>
      <c r="G33" s="802" t="s">
        <v>181</v>
      </c>
      <c r="H33" s="79"/>
      <c r="I33" s="80">
        <v>40</v>
      </c>
      <c r="J33" s="81">
        <v>165</v>
      </c>
      <c r="K33" s="81">
        <f t="shared" ref="K33" si="7">I33*J33</f>
        <v>6600</v>
      </c>
      <c r="L33" s="102"/>
      <c r="M33" s="102"/>
    </row>
    <row r="34" spans="1:14" s="71" customFormat="1" ht="14.1" customHeight="1">
      <c r="A34" s="599"/>
      <c r="B34" s="599"/>
      <c r="C34" s="599"/>
      <c r="D34" s="599"/>
      <c r="E34" s="806" t="s">
        <v>9</v>
      </c>
      <c r="F34" s="110">
        <f>SUM(F29:F33)</f>
        <v>23698.311999999998</v>
      </c>
      <c r="G34" s="806"/>
      <c r="H34" s="806"/>
      <c r="I34" s="125"/>
      <c r="J34" s="97"/>
      <c r="K34" s="111">
        <f>SUM(K29:K33)</f>
        <v>65241</v>
      </c>
      <c r="L34" s="111">
        <f>K34/F34</f>
        <v>2.752980887415104</v>
      </c>
      <c r="M34" s="102"/>
    </row>
    <row r="35" spans="1:14" s="71" customFormat="1" ht="14.1" customHeight="1">
      <c r="A35" s="599">
        <v>2</v>
      </c>
      <c r="B35" s="804" t="s">
        <v>1224</v>
      </c>
      <c r="C35" s="804" t="s">
        <v>1040</v>
      </c>
      <c r="D35" s="804" t="s">
        <v>1225</v>
      </c>
      <c r="E35" s="805"/>
      <c r="F35" s="98">
        <f>9340*1.0936</f>
        <v>10214.223999999998</v>
      </c>
      <c r="G35" s="804" t="s">
        <v>24</v>
      </c>
      <c r="H35" s="79"/>
      <c r="I35" s="80">
        <v>77</v>
      </c>
      <c r="J35" s="81">
        <v>74</v>
      </c>
      <c r="K35" s="81">
        <f t="shared" ref="K35:K37" si="8">I35*J35</f>
        <v>5698</v>
      </c>
      <c r="L35" s="102"/>
      <c r="M35" s="102"/>
    </row>
    <row r="36" spans="1:14" s="71" customFormat="1" ht="14.1" customHeight="1">
      <c r="A36" s="599"/>
      <c r="B36" s="599"/>
      <c r="C36" s="599"/>
      <c r="D36" s="599"/>
      <c r="E36" s="806"/>
      <c r="F36" s="110"/>
      <c r="G36" s="88" t="s">
        <v>18</v>
      </c>
      <c r="H36" s="79"/>
      <c r="I36" s="80">
        <v>100</v>
      </c>
      <c r="J36" s="81">
        <v>46</v>
      </c>
      <c r="K36" s="81">
        <f t="shared" si="8"/>
        <v>4600</v>
      </c>
      <c r="L36" s="102"/>
      <c r="M36" s="102"/>
    </row>
    <row r="37" spans="1:14" s="71" customFormat="1" ht="14.1" customHeight="1">
      <c r="A37" s="599"/>
      <c r="B37" s="599"/>
      <c r="C37" s="599"/>
      <c r="D37" s="599"/>
      <c r="E37" s="806"/>
      <c r="F37" s="110"/>
      <c r="G37" s="804" t="s">
        <v>171</v>
      </c>
      <c r="H37" s="79"/>
      <c r="I37" s="80">
        <v>25</v>
      </c>
      <c r="J37" s="81">
        <v>416</v>
      </c>
      <c r="K37" s="81">
        <f t="shared" si="8"/>
        <v>10400</v>
      </c>
      <c r="L37" s="102"/>
      <c r="M37" s="102"/>
    </row>
    <row r="38" spans="1:14" s="71" customFormat="1" ht="14.1" customHeight="1">
      <c r="A38" s="599"/>
      <c r="B38" s="599"/>
      <c r="C38" s="599"/>
      <c r="D38" s="599"/>
      <c r="E38" s="806"/>
      <c r="F38" s="110"/>
      <c r="G38" s="804" t="s">
        <v>172</v>
      </c>
      <c r="H38" s="79"/>
      <c r="I38" s="80">
        <v>18</v>
      </c>
      <c r="J38" s="81">
        <v>165</v>
      </c>
      <c r="K38" s="81">
        <f>I38*J38</f>
        <v>2970</v>
      </c>
      <c r="L38" s="102"/>
      <c r="M38" s="102"/>
    </row>
    <row r="39" spans="1:14" s="71" customFormat="1" ht="14.1" customHeight="1">
      <c r="A39" s="599"/>
      <c r="B39" s="599"/>
      <c r="C39" s="599"/>
      <c r="D39" s="599"/>
      <c r="E39" s="806"/>
      <c r="F39" s="110"/>
      <c r="G39" s="802" t="s">
        <v>181</v>
      </c>
      <c r="H39" s="79"/>
      <c r="I39" s="80">
        <v>28</v>
      </c>
      <c r="J39" s="81">
        <v>165</v>
      </c>
      <c r="K39" s="81">
        <f t="shared" ref="K39" si="9">I39*J39</f>
        <v>4620</v>
      </c>
      <c r="L39" s="102"/>
      <c r="M39" s="102"/>
    </row>
    <row r="40" spans="1:14" s="71" customFormat="1" ht="14.1" customHeight="1">
      <c r="A40" s="599"/>
      <c r="B40" s="599"/>
      <c r="C40" s="599"/>
      <c r="D40" s="599"/>
      <c r="E40" s="806" t="s">
        <v>9</v>
      </c>
      <c r="F40" s="110">
        <f>SUM(F35:F39)</f>
        <v>10214.223999999998</v>
      </c>
      <c r="G40" s="806"/>
      <c r="H40" s="806"/>
      <c r="I40" s="125"/>
      <c r="J40" s="97"/>
      <c r="K40" s="111">
        <f>SUM(K35:K39)</f>
        <v>28288</v>
      </c>
      <c r="L40" s="111">
        <f>K40/F40</f>
        <v>2.7694712784838087</v>
      </c>
      <c r="M40" s="102"/>
    </row>
    <row r="41" spans="1:14" s="71" customFormat="1" ht="14.1" customHeight="1">
      <c r="A41" s="599">
        <v>3</v>
      </c>
      <c r="B41" s="804" t="s">
        <v>1235</v>
      </c>
      <c r="C41" s="804" t="s">
        <v>955</v>
      </c>
      <c r="D41" s="804" t="s">
        <v>263</v>
      </c>
      <c r="E41" s="804"/>
      <c r="F41" s="90">
        <f>10830*1.0936</f>
        <v>11843.687999999998</v>
      </c>
      <c r="G41" s="804" t="s">
        <v>24</v>
      </c>
      <c r="H41" s="79"/>
      <c r="I41" s="80">
        <v>97</v>
      </c>
      <c r="J41" s="81">
        <v>74</v>
      </c>
      <c r="K41" s="81">
        <f t="shared" ref="K41:K43" si="10">I41*J41</f>
        <v>7178</v>
      </c>
      <c r="L41" s="102"/>
      <c r="M41" s="102"/>
    </row>
    <row r="42" spans="1:14" s="71" customFormat="1" ht="14.1" customHeight="1">
      <c r="A42" s="599"/>
      <c r="B42" s="804"/>
      <c r="C42" s="804"/>
      <c r="D42" s="804"/>
      <c r="E42" s="804"/>
      <c r="F42" s="87"/>
      <c r="G42" s="88" t="s">
        <v>18</v>
      </c>
      <c r="H42" s="79"/>
      <c r="I42" s="80">
        <v>150</v>
      </c>
      <c r="J42" s="81">
        <v>46</v>
      </c>
      <c r="K42" s="81">
        <f t="shared" si="10"/>
        <v>6900</v>
      </c>
      <c r="L42" s="102"/>
      <c r="M42" s="102"/>
    </row>
    <row r="43" spans="1:14" s="71" customFormat="1" ht="14.1" customHeight="1">
      <c r="A43" s="599"/>
      <c r="B43" s="804"/>
      <c r="C43" s="804"/>
      <c r="D43" s="804"/>
      <c r="E43" s="804"/>
      <c r="F43" s="90"/>
      <c r="G43" s="804" t="s">
        <v>171</v>
      </c>
      <c r="H43" s="79"/>
      <c r="I43" s="80">
        <v>32</v>
      </c>
      <c r="J43" s="81">
        <v>416</v>
      </c>
      <c r="K43" s="81">
        <f t="shared" si="10"/>
        <v>13312</v>
      </c>
      <c r="L43" s="102"/>
      <c r="M43" s="102"/>
    </row>
    <row r="44" spans="1:14" s="71" customFormat="1" ht="14.1" customHeight="1">
      <c r="A44" s="599"/>
      <c r="B44" s="804"/>
      <c r="C44" s="804"/>
      <c r="D44" s="804"/>
      <c r="E44" s="804"/>
      <c r="F44" s="90"/>
      <c r="G44" s="804" t="s">
        <v>172</v>
      </c>
      <c r="H44" s="79"/>
      <c r="I44" s="80">
        <v>23</v>
      </c>
      <c r="J44" s="81">
        <v>165</v>
      </c>
      <c r="K44" s="81">
        <f>I44*J44</f>
        <v>3795</v>
      </c>
      <c r="L44" s="102"/>
      <c r="M44" s="102"/>
      <c r="N44" s="71">
        <f>1950+1980+1960+2040</f>
        <v>7930</v>
      </c>
    </row>
    <row r="45" spans="1:14" s="71" customFormat="1" ht="14.1" customHeight="1">
      <c r="A45" s="599"/>
      <c r="B45" s="804"/>
      <c r="C45" s="804"/>
      <c r="D45" s="804"/>
      <c r="E45" s="804"/>
      <c r="F45" s="90"/>
      <c r="G45" s="802" t="s">
        <v>181</v>
      </c>
      <c r="H45" s="79"/>
      <c r="I45" s="80">
        <v>10</v>
      </c>
      <c r="J45" s="81">
        <v>165</v>
      </c>
      <c r="K45" s="81">
        <f t="shared" ref="K45" si="11">I45*J45</f>
        <v>1650</v>
      </c>
      <c r="L45" s="102"/>
      <c r="M45" s="102"/>
    </row>
    <row r="46" spans="1:14" s="71" customFormat="1" ht="14.1" customHeight="1">
      <c r="A46" s="599"/>
      <c r="B46" s="804"/>
      <c r="C46" s="804"/>
      <c r="D46" s="804"/>
      <c r="E46" s="806" t="s">
        <v>9</v>
      </c>
      <c r="F46" s="110">
        <f>SUM(F41:F45)</f>
        <v>11843.687999999998</v>
      </c>
      <c r="G46" s="806"/>
      <c r="H46" s="806"/>
      <c r="I46" s="125"/>
      <c r="J46" s="97"/>
      <c r="K46" s="111">
        <f>SUM(K41:K45)</f>
        <v>32835</v>
      </c>
      <c r="L46" s="111">
        <f>K46/F46</f>
        <v>2.772362797804198</v>
      </c>
      <c r="M46" s="102"/>
    </row>
    <row r="47" spans="1:14" s="71" customFormat="1" ht="14.1" customHeight="1">
      <c r="A47" s="599">
        <v>4</v>
      </c>
      <c r="B47" s="804" t="s">
        <v>1236</v>
      </c>
      <c r="C47" s="804" t="s">
        <v>470</v>
      </c>
      <c r="D47" s="804" t="s">
        <v>1237</v>
      </c>
      <c r="E47" s="804"/>
      <c r="F47" s="90">
        <f>2790*1.0936</f>
        <v>3051.1439999999998</v>
      </c>
      <c r="G47" s="804" t="s">
        <v>24</v>
      </c>
      <c r="H47" s="79"/>
      <c r="I47" s="80">
        <v>40</v>
      </c>
      <c r="J47" s="81">
        <v>74</v>
      </c>
      <c r="K47" s="81">
        <f t="shared" ref="K47:K49" si="12">I47*J47</f>
        <v>2960</v>
      </c>
      <c r="L47" s="102"/>
      <c r="M47" s="102"/>
    </row>
    <row r="48" spans="1:14" s="71" customFormat="1" ht="14.1" customHeight="1">
      <c r="A48" s="599"/>
      <c r="B48" s="804" t="s">
        <v>269</v>
      </c>
      <c r="C48" s="804"/>
      <c r="D48" s="804"/>
      <c r="E48" s="804"/>
      <c r="F48" s="90">
        <f>159*1.0936</f>
        <v>173.88239999999999</v>
      </c>
      <c r="G48" s="88" t="s">
        <v>18</v>
      </c>
      <c r="H48" s="79"/>
      <c r="I48" s="80">
        <v>13</v>
      </c>
      <c r="J48" s="81">
        <v>46</v>
      </c>
      <c r="K48" s="81">
        <f t="shared" si="12"/>
        <v>598</v>
      </c>
      <c r="L48" s="102"/>
      <c r="M48" s="102"/>
    </row>
    <row r="49" spans="1:13" s="71" customFormat="1" ht="14.1" customHeight="1">
      <c r="A49" s="599"/>
      <c r="B49" s="804"/>
      <c r="C49" s="804"/>
      <c r="D49" s="804"/>
      <c r="E49" s="804"/>
      <c r="F49" s="90"/>
      <c r="G49" s="804" t="s">
        <v>171</v>
      </c>
      <c r="H49" s="79"/>
      <c r="I49" s="80">
        <v>7</v>
      </c>
      <c r="J49" s="81">
        <v>416</v>
      </c>
      <c r="K49" s="81">
        <f t="shared" si="12"/>
        <v>2912</v>
      </c>
      <c r="L49" s="102"/>
      <c r="M49" s="102"/>
    </row>
    <row r="50" spans="1:13" s="71" customFormat="1" ht="14.1" customHeight="1">
      <c r="A50" s="599"/>
      <c r="B50" s="804"/>
      <c r="C50" s="804"/>
      <c r="D50" s="804"/>
      <c r="E50" s="804"/>
      <c r="F50" s="90"/>
      <c r="G50" s="804" t="s">
        <v>172</v>
      </c>
      <c r="H50" s="79"/>
      <c r="I50" s="80">
        <v>6</v>
      </c>
      <c r="J50" s="81">
        <v>165</v>
      </c>
      <c r="K50" s="81">
        <f>I50*J50</f>
        <v>990</v>
      </c>
      <c r="L50" s="102"/>
      <c r="M50" s="102"/>
    </row>
    <row r="51" spans="1:13" s="71" customFormat="1" ht="14.1" customHeight="1">
      <c r="A51" s="599"/>
      <c r="B51" s="804"/>
      <c r="C51" s="804"/>
      <c r="D51" s="804"/>
      <c r="E51" s="804"/>
      <c r="F51" s="90"/>
      <c r="G51" s="802" t="s">
        <v>181</v>
      </c>
      <c r="H51" s="79"/>
      <c r="I51" s="80">
        <v>5</v>
      </c>
      <c r="J51" s="81">
        <v>165</v>
      </c>
      <c r="K51" s="81">
        <f t="shared" ref="K51" si="13">I51*J51</f>
        <v>825</v>
      </c>
      <c r="L51" s="102"/>
      <c r="M51" s="102"/>
    </row>
    <row r="52" spans="1:13" s="71" customFormat="1" ht="14.1" customHeight="1">
      <c r="A52" s="599"/>
      <c r="B52" s="804"/>
      <c r="C52" s="804"/>
      <c r="D52" s="804"/>
      <c r="E52" s="806" t="s">
        <v>9</v>
      </c>
      <c r="F52" s="110">
        <f>SUM(F47:F51)</f>
        <v>3225.0263999999997</v>
      </c>
      <c r="G52" s="806"/>
      <c r="H52" s="806"/>
      <c r="I52" s="125"/>
      <c r="J52" s="97"/>
      <c r="K52" s="111">
        <f>SUM(K47:K51)</f>
        <v>8285</v>
      </c>
      <c r="L52" s="111">
        <f>K52/F52</f>
        <v>2.5689712183441351</v>
      </c>
      <c r="M52" s="102"/>
    </row>
    <row r="53" spans="1:13" s="71" customFormat="1" ht="14.1" customHeight="1">
      <c r="A53" s="599">
        <v>5</v>
      </c>
      <c r="B53" s="804" t="s">
        <v>1238</v>
      </c>
      <c r="C53" s="804" t="s">
        <v>1033</v>
      </c>
      <c r="D53" s="804" t="s">
        <v>1034</v>
      </c>
      <c r="E53" s="804"/>
      <c r="F53" s="90">
        <f>7930*1.0936</f>
        <v>8672.2479999999996</v>
      </c>
      <c r="G53" s="804" t="s">
        <v>24</v>
      </c>
      <c r="H53" s="79"/>
      <c r="I53" s="80">
        <v>90</v>
      </c>
      <c r="J53" s="81">
        <v>74</v>
      </c>
      <c r="K53" s="81">
        <f t="shared" ref="K53:K55" si="14">I53*J53</f>
        <v>6660</v>
      </c>
      <c r="L53" s="102"/>
      <c r="M53" s="102"/>
    </row>
    <row r="54" spans="1:13" s="71" customFormat="1" ht="14.1" customHeight="1">
      <c r="A54" s="599"/>
      <c r="B54" s="804"/>
      <c r="C54" s="804"/>
      <c r="D54" s="804"/>
      <c r="E54" s="804"/>
      <c r="F54" s="90"/>
      <c r="G54" s="88" t="s">
        <v>18</v>
      </c>
      <c r="H54" s="79"/>
      <c r="I54" s="80">
        <v>45</v>
      </c>
      <c r="J54" s="81">
        <v>46</v>
      </c>
      <c r="K54" s="81">
        <f t="shared" si="14"/>
        <v>2070</v>
      </c>
      <c r="L54" s="102"/>
      <c r="M54" s="102"/>
    </row>
    <row r="55" spans="1:13" s="71" customFormat="1" ht="14.1" customHeight="1">
      <c r="A55" s="599"/>
      <c r="B55" s="804"/>
      <c r="C55" s="804"/>
      <c r="D55" s="804"/>
      <c r="E55" s="804"/>
      <c r="F55" s="90"/>
      <c r="G55" s="804" t="s">
        <v>171</v>
      </c>
      <c r="H55" s="79"/>
      <c r="I55" s="80">
        <v>23</v>
      </c>
      <c r="J55" s="81">
        <v>416</v>
      </c>
      <c r="K55" s="81">
        <f t="shared" si="14"/>
        <v>9568</v>
      </c>
      <c r="L55" s="102"/>
      <c r="M55" s="102"/>
    </row>
    <row r="56" spans="1:13" s="71" customFormat="1" ht="14.1" customHeight="1">
      <c r="A56" s="599"/>
      <c r="B56" s="804"/>
      <c r="C56" s="804"/>
      <c r="D56" s="804"/>
      <c r="E56" s="804"/>
      <c r="F56" s="90"/>
      <c r="G56" s="804" t="s">
        <v>172</v>
      </c>
      <c r="H56" s="79"/>
      <c r="I56" s="80">
        <v>17</v>
      </c>
      <c r="J56" s="81">
        <v>165</v>
      </c>
      <c r="K56" s="81">
        <f>I56*J56</f>
        <v>2805</v>
      </c>
      <c r="L56" s="102"/>
      <c r="M56" s="102"/>
    </row>
    <row r="57" spans="1:13" s="71" customFormat="1" ht="14.1" customHeight="1">
      <c r="A57" s="599"/>
      <c r="B57" s="804"/>
      <c r="C57" s="804"/>
      <c r="D57" s="804"/>
      <c r="E57" s="804"/>
      <c r="F57" s="90"/>
      <c r="G57" s="802" t="s">
        <v>181</v>
      </c>
      <c r="H57" s="79"/>
      <c r="I57" s="80">
        <v>16</v>
      </c>
      <c r="J57" s="81">
        <v>165</v>
      </c>
      <c r="K57" s="81">
        <f t="shared" ref="K57" si="15">I57*J57</f>
        <v>2640</v>
      </c>
      <c r="L57" s="102"/>
      <c r="M57" s="102"/>
    </row>
    <row r="58" spans="1:13" s="71" customFormat="1" ht="14.1" customHeight="1">
      <c r="A58" s="599"/>
      <c r="B58" s="599"/>
      <c r="C58" s="599"/>
      <c r="D58" s="599"/>
      <c r="E58" s="806" t="s">
        <v>9</v>
      </c>
      <c r="F58" s="110">
        <f>SUM(F53:F57)</f>
        <v>8672.2479999999996</v>
      </c>
      <c r="G58" s="806"/>
      <c r="H58" s="806"/>
      <c r="I58" s="125"/>
      <c r="J58" s="97"/>
      <c r="K58" s="111">
        <f>SUM(K53:K57)</f>
        <v>23743</v>
      </c>
      <c r="L58" s="111">
        <f>K58/F58</f>
        <v>2.7378137710083936</v>
      </c>
      <c r="M58" s="102"/>
    </row>
    <row r="59" spans="1:13" s="71" customFormat="1" ht="14.1" customHeight="1">
      <c r="A59" s="131"/>
      <c r="B59" s="131"/>
      <c r="C59" s="131"/>
      <c r="D59" s="806" t="s">
        <v>30</v>
      </c>
      <c r="E59" s="806"/>
      <c r="F59" s="127">
        <f>F34+F40+F46+F52+F58</f>
        <v>57653.498399999989</v>
      </c>
      <c r="G59" s="132"/>
      <c r="H59" s="132"/>
      <c r="I59" s="132"/>
      <c r="J59" s="132"/>
      <c r="K59" s="127">
        <f>K34+K40+K46+K52+K58</f>
        <v>158392</v>
      </c>
      <c r="L59" s="129">
        <f>K59/F59</f>
        <v>2.7473094330039829</v>
      </c>
      <c r="M59" s="102"/>
    </row>
    <row r="60" spans="1:13" s="71" customFormat="1" ht="14.1" customHeight="1">
      <c r="A60" s="70" t="s">
        <v>22</v>
      </c>
      <c r="B60" s="70"/>
      <c r="C60" s="70"/>
      <c r="D60" s="70"/>
      <c r="E60" s="70"/>
      <c r="K60" s="824" t="s">
        <v>1234</v>
      </c>
      <c r="L60" s="824"/>
      <c r="M60" s="824"/>
    </row>
    <row r="61" spans="1:13" s="71" customFormat="1" ht="14.1" customHeight="1">
      <c r="A61" s="806" t="s">
        <v>0</v>
      </c>
      <c r="B61" s="806" t="s">
        <v>7</v>
      </c>
      <c r="C61" s="806" t="s">
        <v>13</v>
      </c>
      <c r="D61" s="806" t="s">
        <v>14</v>
      </c>
      <c r="E61" s="806" t="s">
        <v>8</v>
      </c>
      <c r="F61" s="806" t="s">
        <v>1</v>
      </c>
      <c r="G61" s="806" t="s">
        <v>2</v>
      </c>
      <c r="H61" s="806" t="s">
        <v>15</v>
      </c>
      <c r="I61" s="806" t="s">
        <v>3</v>
      </c>
      <c r="J61" s="806" t="s">
        <v>4</v>
      </c>
      <c r="K61" s="806" t="s">
        <v>5</v>
      </c>
      <c r="L61" s="806" t="s">
        <v>12</v>
      </c>
      <c r="M61" s="806" t="s">
        <v>6</v>
      </c>
    </row>
    <row r="62" spans="1:13" s="71" customFormat="1" ht="14.1" customHeight="1">
      <c r="A62" s="599">
        <v>1</v>
      </c>
      <c r="B62" s="804" t="s">
        <v>1223</v>
      </c>
      <c r="C62" s="804" t="s">
        <v>121</v>
      </c>
      <c r="D62" s="804" t="s">
        <v>1093</v>
      </c>
      <c r="E62" s="805"/>
      <c r="F62" s="98">
        <f>9450*1.0936</f>
        <v>10334.519999999999</v>
      </c>
      <c r="G62" s="804" t="s">
        <v>24</v>
      </c>
      <c r="H62" s="79"/>
      <c r="I62" s="80">
        <v>129</v>
      </c>
      <c r="J62" s="81">
        <v>74</v>
      </c>
      <c r="K62" s="81">
        <f t="shared" ref="K62:K63" si="16">I62*J62</f>
        <v>9546</v>
      </c>
      <c r="L62" s="102"/>
      <c r="M62" s="124"/>
    </row>
    <row r="63" spans="1:13" s="71" customFormat="1" ht="14.1" customHeight="1">
      <c r="A63" s="599"/>
      <c r="B63" s="804"/>
      <c r="C63" s="804"/>
      <c r="D63" s="804"/>
      <c r="E63" s="599"/>
      <c r="F63" s="98"/>
      <c r="G63" s="430" t="s">
        <v>10</v>
      </c>
      <c r="H63" s="79"/>
      <c r="I63" s="80">
        <v>25</v>
      </c>
      <c r="J63" s="81">
        <v>120</v>
      </c>
      <c r="K63" s="81">
        <f t="shared" si="16"/>
        <v>3000</v>
      </c>
      <c r="L63" s="102"/>
      <c r="M63" s="102"/>
    </row>
    <row r="64" spans="1:13" s="71" customFormat="1" ht="14.1" customHeight="1">
      <c r="A64" s="599"/>
      <c r="B64" s="804"/>
      <c r="C64" s="804"/>
      <c r="D64" s="804"/>
      <c r="E64" s="806" t="s">
        <v>9</v>
      </c>
      <c r="F64" s="110">
        <f>SUM(F62:F63)</f>
        <v>10334.519999999999</v>
      </c>
      <c r="G64" s="806"/>
      <c r="H64" s="806"/>
      <c r="I64" s="125"/>
      <c r="J64" s="97"/>
      <c r="K64" s="111">
        <f>SUM(K62:K63)</f>
        <v>12546</v>
      </c>
      <c r="L64" s="111">
        <f>K64/F64</f>
        <v>1.2139896192566275</v>
      </c>
      <c r="M64" s="102"/>
    </row>
    <row r="65" spans="1:14" s="71" customFormat="1" ht="14.1" customHeight="1">
      <c r="A65" s="599">
        <v>2</v>
      </c>
      <c r="B65" s="804" t="s">
        <v>1224</v>
      </c>
      <c r="C65" s="804" t="s">
        <v>1040</v>
      </c>
      <c r="D65" s="804" t="s">
        <v>1225</v>
      </c>
      <c r="E65" s="805"/>
      <c r="F65" s="98">
        <f>9200*1.0936</f>
        <v>10061.119999999999</v>
      </c>
      <c r="G65" s="804" t="s">
        <v>24</v>
      </c>
      <c r="H65" s="79"/>
      <c r="I65" s="80">
        <v>133</v>
      </c>
      <c r="J65" s="81">
        <v>74</v>
      </c>
      <c r="K65" s="81">
        <f t="shared" ref="K65:K66" si="17">I65*J65</f>
        <v>9842</v>
      </c>
      <c r="L65" s="102"/>
      <c r="M65" s="102"/>
    </row>
    <row r="66" spans="1:14" s="71" customFormat="1" ht="14.1" customHeight="1">
      <c r="A66" s="599"/>
      <c r="B66" s="804" t="s">
        <v>269</v>
      </c>
      <c r="C66" s="804"/>
      <c r="D66" s="804"/>
      <c r="E66" s="804"/>
      <c r="F66" s="90">
        <f>434*1.0936</f>
        <v>474.62239999999997</v>
      </c>
      <c r="G66" s="430" t="s">
        <v>10</v>
      </c>
      <c r="H66" s="79"/>
      <c r="I66" s="80">
        <v>25</v>
      </c>
      <c r="J66" s="81">
        <v>120</v>
      </c>
      <c r="K66" s="81">
        <f t="shared" si="17"/>
        <v>3000</v>
      </c>
      <c r="L66" s="102"/>
      <c r="M66" s="102"/>
    </row>
    <row r="67" spans="1:14" s="71" customFormat="1" ht="14.1" customHeight="1">
      <c r="A67" s="599"/>
      <c r="B67" s="804"/>
      <c r="C67" s="804"/>
      <c r="D67" s="804"/>
      <c r="E67" s="806" t="s">
        <v>9</v>
      </c>
      <c r="F67" s="110">
        <f>SUM(F65:F66)</f>
        <v>10535.742399999999</v>
      </c>
      <c r="G67" s="806"/>
      <c r="H67" s="806"/>
      <c r="I67" s="125"/>
      <c r="J67" s="97"/>
      <c r="K67" s="111">
        <f>SUM(K65:K66)</f>
        <v>12842</v>
      </c>
      <c r="L67" s="111">
        <f>K67/F67</f>
        <v>1.2188984423157501</v>
      </c>
      <c r="M67" s="102"/>
    </row>
    <row r="68" spans="1:14" s="71" customFormat="1" ht="14.1" customHeight="1">
      <c r="D68" s="126" t="s">
        <v>30</v>
      </c>
      <c r="E68" s="126"/>
      <c r="F68" s="127">
        <f>F64+F67</f>
        <v>20870.2624</v>
      </c>
      <c r="G68" s="128"/>
      <c r="H68" s="128"/>
      <c r="I68" s="128"/>
      <c r="J68" s="128"/>
      <c r="K68" s="127">
        <f>K64+K67</f>
        <v>25388</v>
      </c>
      <c r="L68" s="129">
        <f>K68/F68</f>
        <v>1.2164676952025291</v>
      </c>
    </row>
    <row r="69" spans="1:14" s="71" customFormat="1" ht="14.1" customHeight="1">
      <c r="A69" s="70" t="s">
        <v>16</v>
      </c>
      <c r="B69" s="70"/>
      <c r="C69" s="70"/>
      <c r="D69" s="70"/>
      <c r="E69" s="70"/>
      <c r="K69" s="824" t="s">
        <v>1234</v>
      </c>
      <c r="L69" s="824"/>
      <c r="M69" s="824"/>
    </row>
    <row r="70" spans="1:14" s="71" customFormat="1" ht="14.1" customHeight="1">
      <c r="A70" s="806" t="s">
        <v>0</v>
      </c>
      <c r="B70" s="806" t="s">
        <v>7</v>
      </c>
      <c r="C70" s="806" t="s">
        <v>13</v>
      </c>
      <c r="D70" s="806" t="s">
        <v>14</v>
      </c>
      <c r="E70" s="806" t="s">
        <v>8</v>
      </c>
      <c r="F70" s="806" t="s">
        <v>1</v>
      </c>
      <c r="G70" s="806" t="s">
        <v>2</v>
      </c>
      <c r="H70" s="806" t="s">
        <v>15</v>
      </c>
      <c r="I70" s="806" t="s">
        <v>3</v>
      </c>
      <c r="J70" s="806" t="s">
        <v>4</v>
      </c>
      <c r="K70" s="806" t="s">
        <v>5</v>
      </c>
      <c r="L70" s="806" t="s">
        <v>12</v>
      </c>
      <c r="M70" s="806" t="s">
        <v>6</v>
      </c>
    </row>
    <row r="71" spans="1:14" s="71" customFormat="1" ht="14.1" customHeight="1">
      <c r="A71" s="599"/>
      <c r="B71" s="804"/>
      <c r="C71" s="804"/>
      <c r="D71" s="804"/>
      <c r="E71" s="599"/>
      <c r="F71" s="98"/>
      <c r="G71" s="804" t="s">
        <v>75</v>
      </c>
      <c r="H71" s="804"/>
      <c r="I71" s="96"/>
      <c r="J71" s="94">
        <v>367</v>
      </c>
      <c r="K71" s="94">
        <f t="shared" ref="K71" si="18">I71*J71</f>
        <v>0</v>
      </c>
      <c r="L71" s="102"/>
      <c r="M71" s="139"/>
    </row>
    <row r="72" spans="1:14" s="71" customFormat="1" ht="14.1" customHeight="1">
      <c r="A72" s="599"/>
      <c r="B72" s="599"/>
      <c r="C72" s="599"/>
      <c r="D72" s="599"/>
      <c r="E72" s="599"/>
      <c r="F72" s="98"/>
      <c r="G72" s="804" t="s">
        <v>20</v>
      </c>
      <c r="H72" s="79"/>
      <c r="I72" s="80"/>
      <c r="J72" s="81">
        <v>315</v>
      </c>
      <c r="K72" s="81">
        <f t="shared" ref="K72" si="19">I72*J72</f>
        <v>0</v>
      </c>
      <c r="L72" s="102"/>
      <c r="M72" s="102"/>
    </row>
    <row r="73" spans="1:14" s="71" customFormat="1" ht="14.1" customHeight="1">
      <c r="A73" s="599"/>
      <c r="B73" s="599"/>
      <c r="C73" s="599"/>
      <c r="D73" s="599"/>
      <c r="E73" s="806" t="s">
        <v>9</v>
      </c>
      <c r="F73" s="110">
        <f>SUM(F71:F72)</f>
        <v>0</v>
      </c>
      <c r="G73" s="806"/>
      <c r="H73" s="806"/>
      <c r="I73" s="125"/>
      <c r="J73" s="97"/>
      <c r="K73" s="111">
        <f>SUM(K71:K72)</f>
        <v>0</v>
      </c>
      <c r="L73" s="111" t="e">
        <f>K73/F73</f>
        <v>#DIV/0!</v>
      </c>
      <c r="M73" s="102"/>
    </row>
    <row r="74" spans="1:14" s="71" customFormat="1" ht="14.1" customHeight="1">
      <c r="A74" s="801"/>
      <c r="B74" s="801"/>
      <c r="C74" s="801"/>
      <c r="D74" s="126" t="s">
        <v>30</v>
      </c>
      <c r="E74" s="126"/>
      <c r="F74" s="127">
        <f>F73</f>
        <v>0</v>
      </c>
      <c r="G74" s="128"/>
      <c r="H74" s="128"/>
      <c r="I74" s="128"/>
      <c r="J74" s="128"/>
      <c r="K74" s="127">
        <f>K73</f>
        <v>0</v>
      </c>
      <c r="L74" s="129" t="e">
        <f>K74/F74</f>
        <v>#DIV/0!</v>
      </c>
      <c r="M74" s="131"/>
    </row>
    <row r="75" spans="1:14" s="71" customFormat="1" ht="14.1" customHeight="1">
      <c r="A75" s="70" t="s">
        <v>72</v>
      </c>
      <c r="B75" s="70"/>
      <c r="C75" s="70"/>
      <c r="D75" s="70"/>
      <c r="E75" s="70"/>
      <c r="I75" s="140"/>
      <c r="K75" s="824" t="s">
        <v>1234</v>
      </c>
      <c r="L75" s="824"/>
      <c r="M75" s="824"/>
    </row>
    <row r="76" spans="1:14" s="71" customFormat="1" ht="14.1" customHeight="1">
      <c r="A76" s="806" t="s">
        <v>0</v>
      </c>
      <c r="B76" s="806" t="s">
        <v>7</v>
      </c>
      <c r="C76" s="806" t="s">
        <v>13</v>
      </c>
      <c r="D76" s="806" t="s">
        <v>14</v>
      </c>
      <c r="E76" s="806" t="s">
        <v>8</v>
      </c>
      <c r="F76" s="806" t="s">
        <v>1</v>
      </c>
      <c r="G76" s="806" t="s">
        <v>2</v>
      </c>
      <c r="H76" s="806" t="s">
        <v>15</v>
      </c>
      <c r="I76" s="141" t="s">
        <v>3</v>
      </c>
      <c r="J76" s="806" t="s">
        <v>4</v>
      </c>
      <c r="K76" s="806" t="s">
        <v>5</v>
      </c>
      <c r="L76" s="806" t="s">
        <v>12</v>
      </c>
      <c r="M76" s="806" t="s">
        <v>6</v>
      </c>
      <c r="N76" s="123"/>
    </row>
    <row r="77" spans="1:14" s="71" customFormat="1" ht="14.1" customHeight="1">
      <c r="A77" s="804">
        <v>10075</v>
      </c>
      <c r="B77" s="813" t="s">
        <v>1108</v>
      </c>
      <c r="C77" s="804" t="s">
        <v>1033</v>
      </c>
      <c r="D77" s="804" t="s">
        <v>1243</v>
      </c>
      <c r="E77" s="804" t="s">
        <v>205</v>
      </c>
      <c r="F77" s="90">
        <f>2160*1.0936</f>
        <v>2362.1759999999999</v>
      </c>
      <c r="G77" s="803" t="s">
        <v>196</v>
      </c>
      <c r="H77" s="79"/>
      <c r="I77" s="80">
        <v>16.149999999999999</v>
      </c>
      <c r="J77" s="81">
        <v>888</v>
      </c>
      <c r="K77" s="81">
        <f t="shared" ref="K77:K83" si="20">I77*J77</f>
        <v>14341.199999999999</v>
      </c>
      <c r="L77" s="102"/>
      <c r="M77" s="102"/>
    </row>
    <row r="78" spans="1:14" s="71" customFormat="1" ht="14.1" customHeight="1">
      <c r="A78" s="599"/>
      <c r="B78" s="813" t="s">
        <v>1121</v>
      </c>
      <c r="C78" s="813" t="s">
        <v>1033</v>
      </c>
      <c r="D78" s="813" t="s">
        <v>1243</v>
      </c>
      <c r="E78" s="813" t="s">
        <v>1263</v>
      </c>
      <c r="F78" s="90">
        <f>2000*1.0936</f>
        <v>2187.1999999999998</v>
      </c>
      <c r="G78" s="803" t="s">
        <v>281</v>
      </c>
      <c r="H78" s="79"/>
      <c r="I78" s="80">
        <v>13.6</v>
      </c>
      <c r="J78" s="81">
        <v>1035</v>
      </c>
      <c r="K78" s="81">
        <f t="shared" si="20"/>
        <v>14076</v>
      </c>
      <c r="L78" s="102"/>
      <c r="M78" s="102"/>
    </row>
    <row r="79" spans="1:14" s="71" customFormat="1" ht="14.1" customHeight="1">
      <c r="A79" s="599"/>
      <c r="B79" s="599"/>
      <c r="C79" s="599"/>
      <c r="D79" s="599"/>
      <c r="E79" s="599"/>
      <c r="F79" s="98"/>
      <c r="G79" s="803" t="s">
        <v>282</v>
      </c>
      <c r="H79" s="79"/>
      <c r="I79" s="80">
        <v>17.5</v>
      </c>
      <c r="J79" s="81">
        <v>840</v>
      </c>
      <c r="K79" s="81">
        <f t="shared" si="20"/>
        <v>14700</v>
      </c>
      <c r="L79" s="79"/>
      <c r="M79" s="102"/>
    </row>
    <row r="80" spans="1:14" s="71" customFormat="1" ht="14.1" customHeight="1">
      <c r="A80" s="599"/>
      <c r="B80" s="599"/>
      <c r="C80" s="599"/>
      <c r="D80" s="599"/>
      <c r="E80" s="599"/>
      <c r="F80" s="98"/>
      <c r="G80" s="811" t="s">
        <v>405</v>
      </c>
      <c r="H80" s="79"/>
      <c r="I80" s="80">
        <v>0.24</v>
      </c>
      <c r="J80" s="81">
        <v>1708</v>
      </c>
      <c r="K80" s="81">
        <f t="shared" si="20"/>
        <v>409.91999999999996</v>
      </c>
      <c r="L80" s="79"/>
      <c r="M80" s="102"/>
    </row>
    <row r="81" spans="1:13" s="71" customFormat="1" ht="14.1" customHeight="1">
      <c r="A81" s="599"/>
      <c r="B81" s="599"/>
      <c r="C81" s="599"/>
      <c r="D81" s="599"/>
      <c r="E81" s="599"/>
      <c r="F81" s="98"/>
      <c r="G81" s="812" t="s">
        <v>192</v>
      </c>
      <c r="H81" s="79"/>
      <c r="I81" s="80">
        <v>0.16</v>
      </c>
      <c r="J81" s="81">
        <v>1126</v>
      </c>
      <c r="K81" s="81">
        <f t="shared" si="20"/>
        <v>180.16</v>
      </c>
      <c r="L81" s="79"/>
      <c r="M81" s="102"/>
    </row>
    <row r="82" spans="1:13" s="71" customFormat="1" ht="14.1" customHeight="1">
      <c r="A82" s="599"/>
      <c r="B82" s="599"/>
      <c r="C82" s="599"/>
      <c r="D82" s="599"/>
      <c r="E82" s="599"/>
      <c r="F82" s="98"/>
      <c r="G82" s="95" t="s">
        <v>1244</v>
      </c>
      <c r="H82" s="804"/>
      <c r="I82" s="80">
        <v>5</v>
      </c>
      <c r="J82" s="81">
        <v>336</v>
      </c>
      <c r="K82" s="94">
        <f t="shared" si="20"/>
        <v>1680</v>
      </c>
      <c r="L82" s="102"/>
      <c r="M82" s="102"/>
    </row>
    <row r="83" spans="1:13" s="71" customFormat="1" ht="14.1" customHeight="1">
      <c r="A83" s="599"/>
      <c r="B83" s="599"/>
      <c r="C83" s="599"/>
      <c r="D83" s="599"/>
      <c r="E83" s="599"/>
      <c r="F83" s="98"/>
      <c r="G83" s="95" t="s">
        <v>185</v>
      </c>
      <c r="H83" s="79"/>
      <c r="I83" s="96">
        <v>1</v>
      </c>
      <c r="J83" s="81">
        <v>490</v>
      </c>
      <c r="K83" s="81">
        <f t="shared" si="20"/>
        <v>490</v>
      </c>
      <c r="L83" s="102"/>
      <c r="M83" s="102"/>
    </row>
    <row r="84" spans="1:13" s="71" customFormat="1" ht="14.1" customHeight="1">
      <c r="A84" s="599"/>
      <c r="B84" s="599"/>
      <c r="C84" s="599"/>
      <c r="D84" s="599"/>
      <c r="E84" s="806" t="s">
        <v>9</v>
      </c>
      <c r="F84" s="110">
        <f>SUM(F77:F83)</f>
        <v>4549.3760000000002</v>
      </c>
      <c r="G84" s="806"/>
      <c r="H84" s="806"/>
      <c r="I84" s="125"/>
      <c r="J84" s="97"/>
      <c r="K84" s="111">
        <f>SUM(K77:K83)</f>
        <v>45877.279999999999</v>
      </c>
      <c r="L84" s="175">
        <f>K84/F84</f>
        <v>10.084301671262168</v>
      </c>
      <c r="M84" s="102"/>
    </row>
    <row r="85" spans="1:13" s="71" customFormat="1" ht="14.1" customHeight="1">
      <c r="A85" s="804">
        <v>10070</v>
      </c>
      <c r="B85" s="804" t="s">
        <v>1131</v>
      </c>
      <c r="C85" s="804" t="s">
        <v>217</v>
      </c>
      <c r="D85" s="804" t="s">
        <v>514</v>
      </c>
      <c r="E85" s="804" t="s">
        <v>1088</v>
      </c>
      <c r="F85" s="90">
        <f>33900*1.0936</f>
        <v>37073.039999999994</v>
      </c>
      <c r="G85" s="93" t="s">
        <v>258</v>
      </c>
      <c r="H85" s="79"/>
      <c r="I85" s="80">
        <f>1.545+1.545+1.545+0.463+0.9</f>
        <v>5.9980000000000002</v>
      </c>
      <c r="J85" s="81">
        <v>2701</v>
      </c>
      <c r="K85" s="81">
        <f t="shared" ref="K85:K89" si="21">I85*J85</f>
        <v>16200.598</v>
      </c>
      <c r="L85" s="102"/>
      <c r="M85" s="79"/>
    </row>
    <row r="86" spans="1:13" s="71" customFormat="1" ht="14.1" customHeight="1">
      <c r="A86" s="599"/>
      <c r="B86" s="599"/>
      <c r="C86" s="599"/>
      <c r="D86" s="599"/>
      <c r="E86" s="804"/>
      <c r="F86" s="98"/>
      <c r="G86" s="93" t="s">
        <v>259</v>
      </c>
      <c r="H86" s="79"/>
      <c r="I86" s="80">
        <f>0.843+0.843+0.843+0.253+0.475</f>
        <v>3.2570000000000001</v>
      </c>
      <c r="J86" s="81">
        <v>2607</v>
      </c>
      <c r="K86" s="81">
        <f t="shared" si="21"/>
        <v>8490.9989999999998</v>
      </c>
      <c r="L86" s="79"/>
      <c r="M86" s="79"/>
    </row>
    <row r="87" spans="1:13" s="71" customFormat="1" ht="14.1" customHeight="1">
      <c r="A87" s="599"/>
      <c r="B87" s="599"/>
      <c r="C87" s="599"/>
      <c r="D87" s="599"/>
      <c r="E87" s="804"/>
      <c r="F87" s="98"/>
      <c r="G87" s="803" t="s">
        <v>260</v>
      </c>
      <c r="H87" s="79"/>
      <c r="I87" s="80">
        <f>1.508+1.508+1.508+0.452+0.8</f>
        <v>5.7759999999999998</v>
      </c>
      <c r="J87" s="81">
        <v>3447</v>
      </c>
      <c r="K87" s="81">
        <f t="shared" si="21"/>
        <v>19909.871999999999</v>
      </c>
      <c r="L87" s="79"/>
      <c r="M87" s="79"/>
    </row>
    <row r="88" spans="1:13" s="71" customFormat="1" ht="14.1" customHeight="1">
      <c r="A88" s="599"/>
      <c r="B88" s="599"/>
      <c r="C88" s="599"/>
      <c r="D88" s="599"/>
      <c r="E88" s="599"/>
      <c r="F88" s="98"/>
      <c r="G88" s="95" t="s">
        <v>1244</v>
      </c>
      <c r="H88" s="79"/>
      <c r="I88" s="80">
        <f>10+10+10+3+5</f>
        <v>38</v>
      </c>
      <c r="J88" s="81">
        <v>336</v>
      </c>
      <c r="K88" s="81">
        <f t="shared" si="21"/>
        <v>12768</v>
      </c>
      <c r="L88" s="79"/>
      <c r="M88" s="79"/>
    </row>
    <row r="89" spans="1:13" s="71" customFormat="1" ht="14.1" customHeight="1">
      <c r="A89" s="599"/>
      <c r="B89" s="599"/>
      <c r="C89" s="599"/>
      <c r="D89" s="599"/>
      <c r="E89" s="599"/>
      <c r="F89" s="98"/>
      <c r="G89" s="95" t="s">
        <v>185</v>
      </c>
      <c r="H89" s="79"/>
      <c r="I89" s="96">
        <f>2+2+2+0.6+1</f>
        <v>7.6</v>
      </c>
      <c r="J89" s="81">
        <v>490</v>
      </c>
      <c r="K89" s="81">
        <f t="shared" si="21"/>
        <v>3724</v>
      </c>
      <c r="L89" s="102"/>
      <c r="M89" s="79"/>
    </row>
    <row r="90" spans="1:13" s="71" customFormat="1" ht="14.1" customHeight="1">
      <c r="A90" s="599"/>
      <c r="B90" s="599"/>
      <c r="C90" s="599"/>
      <c r="D90" s="599"/>
      <c r="E90" s="806" t="s">
        <v>9</v>
      </c>
      <c r="F90" s="110">
        <f>SUM(F85:F89)</f>
        <v>37073.039999999994</v>
      </c>
      <c r="G90" s="806"/>
      <c r="H90" s="806"/>
      <c r="I90" s="125"/>
      <c r="J90" s="97"/>
      <c r="K90" s="111">
        <f>SUM(K85:K89)</f>
        <v>61093.468999999997</v>
      </c>
      <c r="L90" s="111">
        <f>K90/F90</f>
        <v>1.6479217512240703</v>
      </c>
      <c r="M90" s="102"/>
    </row>
    <row r="91" spans="1:13" s="71" customFormat="1" ht="14.1" customHeight="1">
      <c r="A91" s="804">
        <v>10069</v>
      </c>
      <c r="B91" s="804" t="s">
        <v>859</v>
      </c>
      <c r="C91" s="804" t="s">
        <v>278</v>
      </c>
      <c r="D91" s="804" t="s">
        <v>1005</v>
      </c>
      <c r="E91" s="804" t="s">
        <v>127</v>
      </c>
      <c r="F91" s="90">
        <f>500*1.0936</f>
        <v>546.79999999999995</v>
      </c>
      <c r="G91" s="93" t="s">
        <v>258</v>
      </c>
      <c r="H91" s="79"/>
      <c r="I91" s="80">
        <f>0.156+0.047</f>
        <v>0.20300000000000001</v>
      </c>
      <c r="J91" s="81">
        <v>2701</v>
      </c>
      <c r="K91" s="81">
        <f t="shared" ref="K91:K95" si="22">I91*J91</f>
        <v>548.303</v>
      </c>
      <c r="L91" s="102"/>
      <c r="M91" s="79"/>
    </row>
    <row r="92" spans="1:13" s="71" customFormat="1" ht="14.1" customHeight="1">
      <c r="A92" s="599"/>
      <c r="B92" s="804"/>
      <c r="C92" s="804"/>
      <c r="D92" s="804"/>
      <c r="E92" s="804"/>
      <c r="F92" s="108"/>
      <c r="G92" s="93" t="s">
        <v>259</v>
      </c>
      <c r="H92" s="79"/>
      <c r="I92" s="80">
        <f>0.062+0.018</f>
        <v>0.08</v>
      </c>
      <c r="J92" s="81">
        <v>2607</v>
      </c>
      <c r="K92" s="81">
        <f t="shared" si="22"/>
        <v>208.56</v>
      </c>
      <c r="L92" s="79"/>
      <c r="M92" s="79"/>
    </row>
    <row r="93" spans="1:13" s="71" customFormat="1" ht="14.1" customHeight="1">
      <c r="A93" s="599"/>
      <c r="B93" s="599"/>
      <c r="C93" s="599"/>
      <c r="D93" s="599"/>
      <c r="E93" s="599"/>
      <c r="F93" s="98"/>
      <c r="G93" s="803" t="s">
        <v>260</v>
      </c>
      <c r="H93" s="79"/>
      <c r="I93" s="80">
        <f>0.176+0.053</f>
        <v>0.22899999999999998</v>
      </c>
      <c r="J93" s="81">
        <v>3447</v>
      </c>
      <c r="K93" s="81">
        <f t="shared" si="22"/>
        <v>789.36299999999994</v>
      </c>
      <c r="L93" s="79"/>
      <c r="M93" s="79"/>
    </row>
    <row r="94" spans="1:13" s="71" customFormat="1" ht="14.1" customHeight="1">
      <c r="A94" s="599"/>
      <c r="B94" s="599"/>
      <c r="C94" s="599"/>
      <c r="D94" s="599"/>
      <c r="E94" s="599"/>
      <c r="F94" s="98"/>
      <c r="G94" s="95" t="s">
        <v>1244</v>
      </c>
      <c r="H94" s="79"/>
      <c r="I94" s="80">
        <f>2+0.6</f>
        <v>2.6</v>
      </c>
      <c r="J94" s="81">
        <v>336</v>
      </c>
      <c r="K94" s="81">
        <f t="shared" si="22"/>
        <v>873.6</v>
      </c>
      <c r="L94" s="102"/>
      <c r="M94" s="79"/>
    </row>
    <row r="95" spans="1:13" s="71" customFormat="1" ht="14.1" customHeight="1">
      <c r="A95" s="599"/>
      <c r="B95" s="599"/>
      <c r="C95" s="599"/>
      <c r="D95" s="599"/>
      <c r="E95" s="599"/>
      <c r="F95" s="98"/>
      <c r="G95" s="95" t="s">
        <v>185</v>
      </c>
      <c r="H95" s="79"/>
      <c r="I95" s="96">
        <f>0.4+0.12</f>
        <v>0.52</v>
      </c>
      <c r="J95" s="81">
        <v>490</v>
      </c>
      <c r="K95" s="81">
        <f t="shared" si="22"/>
        <v>254.8</v>
      </c>
      <c r="L95" s="102"/>
      <c r="M95" s="79"/>
    </row>
    <row r="96" spans="1:13" s="71" customFormat="1" ht="14.1" customHeight="1">
      <c r="A96" s="599"/>
      <c r="B96" s="599"/>
      <c r="C96" s="599"/>
      <c r="D96" s="599"/>
      <c r="E96" s="806" t="s">
        <v>9</v>
      </c>
      <c r="F96" s="110">
        <f>SUM(F91:F95)</f>
        <v>546.79999999999995</v>
      </c>
      <c r="G96" s="806"/>
      <c r="H96" s="806"/>
      <c r="I96" s="125"/>
      <c r="J96" s="97"/>
      <c r="K96" s="111">
        <f>SUM(K91:K95)</f>
        <v>2674.6260000000002</v>
      </c>
      <c r="L96" s="111">
        <f>K96/F96</f>
        <v>4.8914155084125834</v>
      </c>
      <c r="M96" s="79"/>
    </row>
    <row r="97" spans="1:13" s="71" customFormat="1" ht="14.1" customHeight="1">
      <c r="A97" s="804">
        <v>10068</v>
      </c>
      <c r="B97" s="804" t="s">
        <v>1245</v>
      </c>
      <c r="C97" s="804" t="s">
        <v>217</v>
      </c>
      <c r="D97" s="804" t="s">
        <v>1246</v>
      </c>
      <c r="E97" s="804" t="s">
        <v>1247</v>
      </c>
      <c r="F97" s="90">
        <f>60*1.0936</f>
        <v>65.616</v>
      </c>
      <c r="G97" s="93" t="s">
        <v>190</v>
      </c>
      <c r="H97" s="79"/>
      <c r="I97" s="80">
        <v>0.6</v>
      </c>
      <c r="J97" s="81">
        <v>644</v>
      </c>
      <c r="K97" s="81">
        <f t="shared" ref="K97:K101" si="23">I97*J97</f>
        <v>386.4</v>
      </c>
      <c r="L97" s="102"/>
      <c r="M97" s="102"/>
    </row>
    <row r="98" spans="1:13" s="71" customFormat="1" ht="14.1" customHeight="1">
      <c r="A98" s="599"/>
      <c r="B98" s="599"/>
      <c r="C98" s="599"/>
      <c r="D98" s="599"/>
      <c r="E98" s="599"/>
      <c r="F98" s="98"/>
      <c r="G98" s="803" t="s">
        <v>192</v>
      </c>
      <c r="H98" s="79"/>
      <c r="I98" s="80">
        <v>1.6379999999999999</v>
      </c>
      <c r="J98" s="81">
        <v>1126</v>
      </c>
      <c r="K98" s="81">
        <f t="shared" si="23"/>
        <v>1844.3879999999999</v>
      </c>
      <c r="L98" s="102"/>
      <c r="M98" s="102"/>
    </row>
    <row r="99" spans="1:13" s="71" customFormat="1" ht="14.1" customHeight="1">
      <c r="A99" s="599"/>
      <c r="B99" s="599"/>
      <c r="C99" s="599"/>
      <c r="D99" s="599"/>
      <c r="E99" s="599"/>
      <c r="F99" s="98"/>
      <c r="G99" s="93" t="s">
        <v>315</v>
      </c>
      <c r="H99" s="79"/>
      <c r="I99" s="80">
        <v>1.1399999999999999</v>
      </c>
      <c r="J99" s="81">
        <v>2184</v>
      </c>
      <c r="K99" s="81">
        <f t="shared" si="23"/>
        <v>2489.7599999999998</v>
      </c>
      <c r="L99" s="102"/>
      <c r="M99" s="102"/>
    </row>
    <row r="100" spans="1:13" s="71" customFormat="1" ht="14.1" customHeight="1">
      <c r="A100" s="599"/>
      <c r="B100" s="599"/>
      <c r="C100" s="599"/>
      <c r="D100" s="599"/>
      <c r="E100" s="599"/>
      <c r="F100" s="98"/>
      <c r="G100" s="95" t="s">
        <v>1244</v>
      </c>
      <c r="H100" s="79"/>
      <c r="I100" s="80">
        <v>0.6</v>
      </c>
      <c r="J100" s="81">
        <v>336</v>
      </c>
      <c r="K100" s="81">
        <f t="shared" si="23"/>
        <v>201.6</v>
      </c>
      <c r="L100" s="102"/>
      <c r="M100" s="102"/>
    </row>
    <row r="101" spans="1:13" s="71" customFormat="1" ht="14.1" customHeight="1">
      <c r="A101" s="599"/>
      <c r="B101" s="599"/>
      <c r="C101" s="599"/>
      <c r="D101" s="599"/>
      <c r="E101" s="599"/>
      <c r="F101" s="98"/>
      <c r="G101" s="95" t="s">
        <v>185</v>
      </c>
      <c r="H101" s="79"/>
      <c r="I101" s="96">
        <v>0.12</v>
      </c>
      <c r="J101" s="81">
        <v>490</v>
      </c>
      <c r="K101" s="81">
        <f t="shared" si="23"/>
        <v>58.8</v>
      </c>
      <c r="L101" s="102"/>
      <c r="M101" s="102"/>
    </row>
    <row r="102" spans="1:13" s="71" customFormat="1" ht="14.1" customHeight="1">
      <c r="A102" s="599"/>
      <c r="B102" s="599"/>
      <c r="C102" s="599"/>
      <c r="D102" s="599"/>
      <c r="E102" s="806" t="s">
        <v>9</v>
      </c>
      <c r="F102" s="110">
        <f>SUM(F97:F101)</f>
        <v>65.616</v>
      </c>
      <c r="G102" s="806"/>
      <c r="H102" s="806"/>
      <c r="I102" s="125"/>
      <c r="J102" s="97"/>
      <c r="K102" s="111">
        <f>SUM(K97:K101)</f>
        <v>4980.9480000000003</v>
      </c>
      <c r="L102" s="111">
        <f>K102/F102</f>
        <v>75.910570592538406</v>
      </c>
      <c r="M102" s="102"/>
    </row>
    <row r="103" spans="1:13" s="71" customFormat="1" ht="14.1" customHeight="1">
      <c r="A103" s="804">
        <v>10067</v>
      </c>
      <c r="B103" s="813" t="s">
        <v>1248</v>
      </c>
      <c r="C103" s="813" t="s">
        <v>1249</v>
      </c>
      <c r="D103" s="813" t="s">
        <v>1250</v>
      </c>
      <c r="E103" s="813" t="s">
        <v>262</v>
      </c>
      <c r="F103" s="90">
        <f>40*1.0936</f>
        <v>43.744</v>
      </c>
      <c r="G103" s="93" t="s">
        <v>258</v>
      </c>
      <c r="H103" s="79"/>
      <c r="I103" s="80">
        <v>6.7000000000000004E-2</v>
      </c>
      <c r="J103" s="81">
        <v>2701</v>
      </c>
      <c r="K103" s="81">
        <f t="shared" ref="K103:K107" si="24">I103*J103</f>
        <v>180.96700000000001</v>
      </c>
      <c r="L103" s="102"/>
      <c r="M103" s="102"/>
    </row>
    <row r="104" spans="1:13" s="71" customFormat="1" ht="14.1" customHeight="1">
      <c r="A104" s="599"/>
      <c r="B104" s="599"/>
      <c r="C104" s="599"/>
      <c r="D104" s="599"/>
      <c r="E104" s="599"/>
      <c r="F104" s="98"/>
      <c r="G104" s="93" t="s">
        <v>259</v>
      </c>
      <c r="H104" s="79"/>
      <c r="I104" s="80">
        <v>5.2999999999999999E-2</v>
      </c>
      <c r="J104" s="81">
        <v>2607</v>
      </c>
      <c r="K104" s="81">
        <f t="shared" si="24"/>
        <v>138.17099999999999</v>
      </c>
      <c r="L104" s="79"/>
      <c r="M104" s="102"/>
    </row>
    <row r="105" spans="1:13" s="71" customFormat="1" ht="14.1" customHeight="1">
      <c r="A105" s="599"/>
      <c r="B105" s="599"/>
      <c r="C105" s="599"/>
      <c r="D105" s="599"/>
      <c r="E105" s="599"/>
      <c r="F105" s="98"/>
      <c r="G105" s="812" t="s">
        <v>260</v>
      </c>
      <c r="H105" s="79"/>
      <c r="I105" s="80">
        <v>0.108</v>
      </c>
      <c r="J105" s="81">
        <v>3447</v>
      </c>
      <c r="K105" s="81">
        <f t="shared" si="24"/>
        <v>372.27600000000001</v>
      </c>
      <c r="L105" s="79"/>
      <c r="M105" s="102"/>
    </row>
    <row r="106" spans="1:13" s="71" customFormat="1" ht="14.1" customHeight="1">
      <c r="A106" s="599"/>
      <c r="B106" s="599"/>
      <c r="C106" s="599"/>
      <c r="D106" s="599"/>
      <c r="E106" s="599"/>
      <c r="F106" s="98"/>
      <c r="G106" s="95" t="s">
        <v>1244</v>
      </c>
      <c r="H106" s="79"/>
      <c r="I106" s="80">
        <v>0.6</v>
      </c>
      <c r="J106" s="81">
        <v>336</v>
      </c>
      <c r="K106" s="81">
        <f t="shared" si="24"/>
        <v>201.6</v>
      </c>
      <c r="L106" s="102"/>
      <c r="M106" s="102"/>
    </row>
    <row r="107" spans="1:13" s="71" customFormat="1" ht="14.1" customHeight="1">
      <c r="A107" s="599"/>
      <c r="B107" s="599"/>
      <c r="C107" s="599"/>
      <c r="D107" s="599"/>
      <c r="E107" s="599"/>
      <c r="F107" s="98"/>
      <c r="G107" s="95" t="s">
        <v>185</v>
      </c>
      <c r="H107" s="79"/>
      <c r="I107" s="96">
        <v>0.12</v>
      </c>
      <c r="J107" s="81">
        <v>490</v>
      </c>
      <c r="K107" s="81">
        <f t="shared" si="24"/>
        <v>58.8</v>
      </c>
      <c r="L107" s="102"/>
      <c r="M107" s="102"/>
    </row>
    <row r="108" spans="1:13" s="71" customFormat="1" ht="14.1" customHeight="1">
      <c r="A108" s="599"/>
      <c r="B108" s="599"/>
      <c r="C108" s="599"/>
      <c r="D108" s="599"/>
      <c r="E108" s="806" t="s">
        <v>9</v>
      </c>
      <c r="F108" s="110">
        <f>SUM(F103:F107)</f>
        <v>43.744</v>
      </c>
      <c r="G108" s="806"/>
      <c r="H108" s="806"/>
      <c r="I108" s="125"/>
      <c r="J108" s="97"/>
      <c r="K108" s="111">
        <f>SUM(K103:K107)</f>
        <v>951.81399999999996</v>
      </c>
      <c r="L108" s="111">
        <f>K108/F108</f>
        <v>21.758732626188735</v>
      </c>
      <c r="M108" s="102"/>
    </row>
    <row r="109" spans="1:13" s="71" customFormat="1" ht="14.1" customHeight="1">
      <c r="A109" s="804">
        <v>10062</v>
      </c>
      <c r="B109" s="813" t="s">
        <v>179</v>
      </c>
      <c r="C109" s="813" t="s">
        <v>217</v>
      </c>
      <c r="D109" s="813" t="s">
        <v>297</v>
      </c>
      <c r="E109" s="813" t="s">
        <v>132</v>
      </c>
      <c r="F109" s="90">
        <f>60*1.0936</f>
        <v>65.616</v>
      </c>
      <c r="G109" s="811" t="s">
        <v>314</v>
      </c>
      <c r="H109" s="79"/>
      <c r="I109" s="80">
        <v>3.5999999999999997E-2</v>
      </c>
      <c r="J109" s="81">
        <v>1330</v>
      </c>
      <c r="K109" s="97">
        <f t="shared" ref="K109:K113" si="25">I109*J109</f>
        <v>47.879999999999995</v>
      </c>
      <c r="L109" s="111"/>
      <c r="M109" s="102"/>
    </row>
    <row r="110" spans="1:13" s="71" customFormat="1" ht="14.1" customHeight="1">
      <c r="A110" s="599"/>
      <c r="B110" s="599"/>
      <c r="C110" s="599"/>
      <c r="D110" s="599"/>
      <c r="E110" s="599"/>
      <c r="F110" s="98"/>
      <c r="G110" s="812" t="s">
        <v>193</v>
      </c>
      <c r="H110" s="79"/>
      <c r="I110" s="80">
        <f>0.3+0.054</f>
        <v>0.35399999999999998</v>
      </c>
      <c r="J110" s="81">
        <v>1171</v>
      </c>
      <c r="K110" s="81">
        <f t="shared" si="25"/>
        <v>414.53399999999999</v>
      </c>
      <c r="L110" s="102"/>
      <c r="M110" s="102"/>
    </row>
    <row r="111" spans="1:13" s="71" customFormat="1" ht="14.1" customHeight="1">
      <c r="A111" s="599"/>
      <c r="B111" s="599"/>
      <c r="C111" s="599"/>
      <c r="D111" s="599"/>
      <c r="E111" s="599"/>
      <c r="F111" s="98"/>
      <c r="G111" s="812" t="s">
        <v>199</v>
      </c>
      <c r="H111" s="79"/>
      <c r="I111" s="80">
        <f>2.94+0.49</f>
        <v>3.4299999999999997</v>
      </c>
      <c r="J111" s="81">
        <v>530</v>
      </c>
      <c r="K111" s="81">
        <f t="shared" si="25"/>
        <v>1817.8999999999999</v>
      </c>
      <c r="L111" s="102"/>
      <c r="M111" s="102"/>
    </row>
    <row r="112" spans="1:13" s="71" customFormat="1" ht="14.1" customHeight="1">
      <c r="A112" s="599"/>
      <c r="B112" s="599"/>
      <c r="C112" s="599"/>
      <c r="D112" s="599"/>
      <c r="E112" s="599"/>
      <c r="F112" s="98"/>
      <c r="G112" s="95" t="s">
        <v>1244</v>
      </c>
      <c r="H112" s="79"/>
      <c r="I112" s="80">
        <v>0.6</v>
      </c>
      <c r="J112" s="81">
        <v>336</v>
      </c>
      <c r="K112" s="81">
        <f t="shared" si="25"/>
        <v>201.6</v>
      </c>
      <c r="L112" s="102"/>
      <c r="M112" s="102"/>
    </row>
    <row r="113" spans="1:13" s="71" customFormat="1" ht="14.1" customHeight="1">
      <c r="A113" s="599"/>
      <c r="B113" s="599"/>
      <c r="C113" s="599"/>
      <c r="D113" s="599"/>
      <c r="E113" s="599"/>
      <c r="F113" s="98"/>
      <c r="G113" s="95" t="s">
        <v>185</v>
      </c>
      <c r="H113" s="79"/>
      <c r="I113" s="96">
        <v>0.12</v>
      </c>
      <c r="J113" s="81">
        <v>490</v>
      </c>
      <c r="K113" s="81">
        <f t="shared" si="25"/>
        <v>58.8</v>
      </c>
      <c r="L113" s="102"/>
      <c r="M113" s="102"/>
    </row>
    <row r="114" spans="1:13" s="71" customFormat="1" ht="14.1" customHeight="1">
      <c r="A114" s="599"/>
      <c r="B114" s="599"/>
      <c r="C114" s="599"/>
      <c r="D114" s="599"/>
      <c r="E114" s="806" t="s">
        <v>9</v>
      </c>
      <c r="F114" s="110">
        <f>SUM(F109:F113)</f>
        <v>65.616</v>
      </c>
      <c r="G114" s="806"/>
      <c r="H114" s="806"/>
      <c r="I114" s="125"/>
      <c r="J114" s="97"/>
      <c r="K114" s="111">
        <f>SUM(K109:K113)</f>
        <v>2540.7139999999999</v>
      </c>
      <c r="L114" s="111">
        <f>K114/F114</f>
        <v>38.720952206778833</v>
      </c>
      <c r="M114" s="102"/>
    </row>
    <row r="115" spans="1:13" s="71" customFormat="1" ht="14.1" customHeight="1">
      <c r="A115" s="804">
        <v>10064</v>
      </c>
      <c r="B115" s="813" t="s">
        <v>1240</v>
      </c>
      <c r="C115" s="813" t="s">
        <v>217</v>
      </c>
      <c r="D115" s="813" t="s">
        <v>514</v>
      </c>
      <c r="E115" s="813" t="s">
        <v>563</v>
      </c>
      <c r="F115" s="90">
        <f>55*1.0936</f>
        <v>60.147999999999996</v>
      </c>
      <c r="G115" s="93" t="s">
        <v>190</v>
      </c>
      <c r="H115" s="79"/>
      <c r="I115" s="80">
        <f>0.472+0.05</f>
        <v>0.52200000000000002</v>
      </c>
      <c r="J115" s="81">
        <v>644</v>
      </c>
      <c r="K115" s="81">
        <f t="shared" ref="K115:K119" si="26">I115*J115</f>
        <v>336.16800000000001</v>
      </c>
      <c r="L115" s="102"/>
      <c r="M115" s="102"/>
    </row>
    <row r="116" spans="1:13" s="71" customFormat="1" ht="14.1" customHeight="1">
      <c r="A116" s="599"/>
      <c r="B116" s="599"/>
      <c r="C116" s="599"/>
      <c r="D116" s="599"/>
      <c r="E116" s="599"/>
      <c r="F116" s="98"/>
      <c r="G116" s="812" t="s">
        <v>192</v>
      </c>
      <c r="H116" s="79"/>
      <c r="I116" s="80">
        <v>0.255</v>
      </c>
      <c r="J116" s="81">
        <v>1095</v>
      </c>
      <c r="K116" s="81">
        <f t="shared" si="26"/>
        <v>279.22500000000002</v>
      </c>
      <c r="L116" s="102"/>
      <c r="M116" s="102"/>
    </row>
    <row r="117" spans="1:13" s="71" customFormat="1" ht="14.1" customHeight="1">
      <c r="A117" s="599"/>
      <c r="B117" s="599"/>
      <c r="C117" s="599"/>
      <c r="D117" s="599"/>
      <c r="E117" s="599"/>
      <c r="F117" s="98"/>
      <c r="G117" s="812" t="s">
        <v>193</v>
      </c>
      <c r="H117" s="79"/>
      <c r="I117" s="80">
        <v>0.90900000000000003</v>
      </c>
      <c r="J117" s="81">
        <v>1171</v>
      </c>
      <c r="K117" s="81">
        <f t="shared" si="26"/>
        <v>1064.4390000000001</v>
      </c>
      <c r="L117" s="102"/>
      <c r="M117" s="102"/>
    </row>
    <row r="118" spans="1:13" s="71" customFormat="1" ht="14.1" customHeight="1">
      <c r="A118" s="599"/>
      <c r="B118" s="599"/>
      <c r="C118" s="599"/>
      <c r="D118" s="599"/>
      <c r="E118" s="599"/>
      <c r="F118" s="98"/>
      <c r="G118" s="95" t="s">
        <v>1244</v>
      </c>
      <c r="H118" s="813"/>
      <c r="I118" s="80">
        <v>0.4</v>
      </c>
      <c r="J118" s="81">
        <v>336</v>
      </c>
      <c r="K118" s="94">
        <f t="shared" si="26"/>
        <v>134.4</v>
      </c>
      <c r="L118" s="111"/>
      <c r="M118" s="102"/>
    </row>
    <row r="119" spans="1:13" s="71" customFormat="1" ht="14.1" customHeight="1">
      <c r="A119" s="599"/>
      <c r="B119" s="599"/>
      <c r="C119" s="599"/>
      <c r="D119" s="599"/>
      <c r="E119" s="599"/>
      <c r="F119" s="98"/>
      <c r="G119" s="95" t="s">
        <v>185</v>
      </c>
      <c r="H119" s="79"/>
      <c r="I119" s="96">
        <v>0.08</v>
      </c>
      <c r="J119" s="81">
        <v>490</v>
      </c>
      <c r="K119" s="81">
        <f t="shared" si="26"/>
        <v>39.200000000000003</v>
      </c>
      <c r="L119" s="111"/>
      <c r="M119" s="102"/>
    </row>
    <row r="120" spans="1:13" s="71" customFormat="1" ht="14.1" customHeight="1">
      <c r="A120" s="599"/>
      <c r="B120" s="599"/>
      <c r="C120" s="599"/>
      <c r="D120" s="599"/>
      <c r="E120" s="815" t="s">
        <v>9</v>
      </c>
      <c r="F120" s="110">
        <f>SUM(F115:F119)</f>
        <v>60.147999999999996</v>
      </c>
      <c r="G120" s="815"/>
      <c r="H120" s="815"/>
      <c r="I120" s="125"/>
      <c r="J120" s="97"/>
      <c r="K120" s="111">
        <f>SUM(K115:K119)</f>
        <v>1853.4320000000002</v>
      </c>
      <c r="L120" s="111">
        <f>K120/F120</f>
        <v>30.814524173704868</v>
      </c>
      <c r="M120" s="102"/>
    </row>
    <row r="121" spans="1:13" s="71" customFormat="1" ht="14.1" customHeight="1">
      <c r="A121" s="599">
        <v>10060</v>
      </c>
      <c r="B121" s="813" t="s">
        <v>1027</v>
      </c>
      <c r="C121" s="89" t="s">
        <v>1026</v>
      </c>
      <c r="D121" s="89" t="s">
        <v>1116</v>
      </c>
      <c r="E121" s="599" t="s">
        <v>232</v>
      </c>
      <c r="F121" s="98">
        <f>2400*1.0936</f>
        <v>2624.64</v>
      </c>
      <c r="G121" s="812" t="s">
        <v>196</v>
      </c>
      <c r="H121" s="79"/>
      <c r="I121" s="80">
        <v>1.2</v>
      </c>
      <c r="J121" s="81">
        <v>888</v>
      </c>
      <c r="K121" s="81">
        <f t="shared" ref="K121:K125" si="27">I121*J121</f>
        <v>1065.5999999999999</v>
      </c>
      <c r="L121" s="102"/>
      <c r="M121" s="102"/>
    </row>
    <row r="122" spans="1:13" s="71" customFormat="1" ht="14.1" customHeight="1">
      <c r="A122" s="599"/>
      <c r="B122" s="599"/>
      <c r="C122" s="599"/>
      <c r="D122" s="599"/>
      <c r="E122" s="599"/>
      <c r="F122" s="98"/>
      <c r="G122" s="812" t="s">
        <v>281</v>
      </c>
      <c r="H122" s="79"/>
      <c r="I122" s="80">
        <f>1.6+0.525</f>
        <v>2.125</v>
      </c>
      <c r="J122" s="81">
        <v>1035</v>
      </c>
      <c r="K122" s="81">
        <f t="shared" si="27"/>
        <v>2199.375</v>
      </c>
      <c r="L122" s="102"/>
      <c r="M122" s="102"/>
    </row>
    <row r="123" spans="1:13" s="71" customFormat="1" ht="14.1" customHeight="1">
      <c r="A123" s="599"/>
      <c r="B123" s="599"/>
      <c r="C123" s="599"/>
      <c r="D123" s="599"/>
      <c r="E123" s="599"/>
      <c r="F123" s="98"/>
      <c r="G123" s="811" t="s">
        <v>472</v>
      </c>
      <c r="H123" s="79"/>
      <c r="I123" s="80">
        <f>8+4.2</f>
        <v>12.2</v>
      </c>
      <c r="J123" s="81">
        <v>904</v>
      </c>
      <c r="K123" s="81">
        <f t="shared" si="27"/>
        <v>11028.8</v>
      </c>
      <c r="L123" s="79"/>
      <c r="M123" s="102"/>
    </row>
    <row r="124" spans="1:13" s="71" customFormat="1" ht="14.1" customHeight="1">
      <c r="A124" s="599"/>
      <c r="B124" s="599"/>
      <c r="C124" s="599"/>
      <c r="D124" s="599"/>
      <c r="E124" s="599"/>
      <c r="F124" s="98"/>
      <c r="G124" s="95" t="s">
        <v>1244</v>
      </c>
      <c r="H124" s="813"/>
      <c r="I124" s="80">
        <f>4+3</f>
        <v>7</v>
      </c>
      <c r="J124" s="81">
        <v>336</v>
      </c>
      <c r="K124" s="94">
        <f t="shared" si="27"/>
        <v>2352</v>
      </c>
      <c r="L124" s="102"/>
      <c r="M124" s="102"/>
    </row>
    <row r="125" spans="1:13" s="71" customFormat="1" ht="14.1" customHeight="1">
      <c r="A125" s="599"/>
      <c r="B125" s="599"/>
      <c r="C125" s="599"/>
      <c r="D125" s="599"/>
      <c r="E125" s="599"/>
      <c r="F125" s="98"/>
      <c r="G125" s="95" t="s">
        <v>185</v>
      </c>
      <c r="H125" s="79"/>
      <c r="I125" s="96">
        <f>0.8+0.6</f>
        <v>1.4</v>
      </c>
      <c r="J125" s="81">
        <v>490</v>
      </c>
      <c r="K125" s="81">
        <f t="shared" si="27"/>
        <v>686</v>
      </c>
      <c r="L125" s="102"/>
      <c r="M125" s="102"/>
    </row>
    <row r="126" spans="1:13" s="71" customFormat="1" ht="14.1" customHeight="1">
      <c r="A126" s="599"/>
      <c r="B126" s="599"/>
      <c r="C126" s="599"/>
      <c r="D126" s="599"/>
      <c r="E126" s="815" t="s">
        <v>9</v>
      </c>
      <c r="F126" s="110">
        <f>SUM(F121:F125)</f>
        <v>2624.64</v>
      </c>
      <c r="G126" s="815"/>
      <c r="H126" s="815"/>
      <c r="I126" s="125"/>
      <c r="J126" s="97"/>
      <c r="K126" s="111">
        <f>SUM(K121:K125)</f>
        <v>17331.775000000001</v>
      </c>
      <c r="L126" s="111">
        <f>K126/F126</f>
        <v>6.603486573396733</v>
      </c>
      <c r="M126" s="102"/>
    </row>
    <row r="127" spans="1:13" s="71" customFormat="1" ht="14.1" customHeight="1">
      <c r="A127" s="801"/>
      <c r="B127" s="801"/>
      <c r="C127" s="801"/>
      <c r="D127" s="126" t="s">
        <v>30</v>
      </c>
      <c r="E127" s="126"/>
      <c r="F127" s="127">
        <f>F84+F90+F96+F102+F108+F114+F120+F126</f>
        <v>45028.98</v>
      </c>
      <c r="G127" s="128"/>
      <c r="H127" s="128"/>
      <c r="I127" s="128"/>
      <c r="J127" s="128"/>
      <c r="K127" s="127">
        <f>K84+K90+K96+K102+K108+K114+K120+K126</f>
        <v>137304.05799999999</v>
      </c>
      <c r="L127" s="129">
        <f>K127/F127</f>
        <v>3.0492375798874409</v>
      </c>
      <c r="M127" s="131"/>
    </row>
    <row r="128" spans="1:13" s="71" customFormat="1" ht="14.1" customHeight="1">
      <c r="A128" s="70" t="s">
        <v>40</v>
      </c>
      <c r="B128" s="70"/>
      <c r="C128" s="70"/>
      <c r="D128" s="70"/>
      <c r="E128" s="70"/>
      <c r="I128" s="140"/>
      <c r="K128" s="824" t="s">
        <v>1234</v>
      </c>
      <c r="L128" s="824"/>
      <c r="M128" s="824"/>
    </row>
    <row r="129" spans="1:14" s="71" customFormat="1" ht="14.1" customHeight="1">
      <c r="A129" s="806" t="s">
        <v>0</v>
      </c>
      <c r="B129" s="806" t="s">
        <v>7</v>
      </c>
      <c r="C129" s="806" t="s">
        <v>13</v>
      </c>
      <c r="D129" s="806" t="s">
        <v>14</v>
      </c>
      <c r="E129" s="806" t="s">
        <v>8</v>
      </c>
      <c r="F129" s="806" t="s">
        <v>1</v>
      </c>
      <c r="G129" s="806" t="s">
        <v>2</v>
      </c>
      <c r="H129" s="806" t="s">
        <v>15</v>
      </c>
      <c r="I129" s="141" t="s">
        <v>3</v>
      </c>
      <c r="J129" s="806" t="s">
        <v>4</v>
      </c>
      <c r="K129" s="806" t="s">
        <v>5</v>
      </c>
      <c r="L129" s="806" t="s">
        <v>12</v>
      </c>
      <c r="M129" s="806" t="s">
        <v>6</v>
      </c>
      <c r="N129" s="123"/>
    </row>
    <row r="130" spans="1:14" s="71" customFormat="1" ht="14.1" customHeight="1">
      <c r="A130" s="804">
        <v>10347</v>
      </c>
      <c r="B130" s="813" t="s">
        <v>1131</v>
      </c>
      <c r="C130" s="813" t="s">
        <v>217</v>
      </c>
      <c r="D130" s="813" t="s">
        <v>514</v>
      </c>
      <c r="E130" s="813" t="s">
        <v>1088</v>
      </c>
      <c r="F130" s="90">
        <f>20000*1.0936</f>
        <v>21871.999999999996</v>
      </c>
      <c r="G130" s="804" t="s">
        <v>27</v>
      </c>
      <c r="H130" s="79"/>
      <c r="I130" s="80">
        <f>400+50</f>
        <v>450</v>
      </c>
      <c r="J130" s="81">
        <v>22</v>
      </c>
      <c r="K130" s="81">
        <f t="shared" ref="K130:K132" si="28">I130*J130</f>
        <v>9900</v>
      </c>
      <c r="L130" s="599"/>
      <c r="M130" s="599"/>
      <c r="N130" s="800"/>
    </row>
    <row r="131" spans="1:14" s="123" customFormat="1" ht="14.1" customHeight="1">
      <c r="A131" s="804"/>
      <c r="B131" s="599"/>
      <c r="C131" s="599"/>
      <c r="D131" s="599"/>
      <c r="E131" s="599"/>
      <c r="F131" s="98"/>
      <c r="G131" s="802" t="s">
        <v>49</v>
      </c>
      <c r="H131" s="79"/>
      <c r="I131" s="80">
        <f>55+10</f>
        <v>65</v>
      </c>
      <c r="J131" s="81">
        <v>34</v>
      </c>
      <c r="K131" s="81">
        <f t="shared" si="28"/>
        <v>2210</v>
      </c>
      <c r="L131" s="599"/>
      <c r="M131" s="599"/>
      <c r="N131" s="800"/>
    </row>
    <row r="132" spans="1:14" s="71" customFormat="1" ht="14.1" customHeight="1">
      <c r="A132" s="804"/>
      <c r="B132" s="599"/>
      <c r="C132" s="599"/>
      <c r="D132" s="599"/>
      <c r="E132" s="599"/>
      <c r="F132" s="599"/>
      <c r="G132" s="804" t="s">
        <v>19</v>
      </c>
      <c r="H132" s="79"/>
      <c r="I132" s="80">
        <v>1.6</v>
      </c>
      <c r="J132" s="81">
        <v>80</v>
      </c>
      <c r="K132" s="81">
        <f t="shared" si="28"/>
        <v>128</v>
      </c>
      <c r="L132" s="599"/>
      <c r="M132" s="599"/>
      <c r="N132" s="800"/>
    </row>
    <row r="133" spans="1:14" s="71" customFormat="1" ht="14.1" customHeight="1">
      <c r="A133" s="804"/>
      <c r="B133" s="599"/>
      <c r="C133" s="599"/>
      <c r="D133" s="599"/>
      <c r="E133" s="806" t="s">
        <v>9</v>
      </c>
      <c r="F133" s="110">
        <f>SUM(F130:F132)</f>
        <v>21871.999999999996</v>
      </c>
      <c r="G133" s="806"/>
      <c r="H133" s="806"/>
      <c r="I133" s="125"/>
      <c r="J133" s="97"/>
      <c r="K133" s="111">
        <f>SUM(K130:K132)</f>
        <v>12238</v>
      </c>
      <c r="L133" s="111">
        <f>K133/F133</f>
        <v>0.55952816386247262</v>
      </c>
      <c r="M133" s="102"/>
    </row>
    <row r="134" spans="1:14" s="71" customFormat="1" ht="14.1" customHeight="1">
      <c r="A134" s="804">
        <v>10255</v>
      </c>
      <c r="B134" s="813" t="s">
        <v>859</v>
      </c>
      <c r="C134" s="813" t="s">
        <v>278</v>
      </c>
      <c r="D134" s="813" t="s">
        <v>1005</v>
      </c>
      <c r="E134" s="813" t="s">
        <v>127</v>
      </c>
      <c r="F134" s="90">
        <f>500*1.0936</f>
        <v>546.79999999999995</v>
      </c>
      <c r="G134" s="804" t="s">
        <v>27</v>
      </c>
      <c r="H134" s="79"/>
      <c r="I134" s="80">
        <v>60</v>
      </c>
      <c r="J134" s="81">
        <v>22</v>
      </c>
      <c r="K134" s="81">
        <f t="shared" ref="K134:K136" si="29">I134*J134</f>
        <v>1320</v>
      </c>
      <c r="L134" s="599"/>
      <c r="M134" s="599"/>
      <c r="N134" s="800"/>
    </row>
    <row r="135" spans="1:14" s="71" customFormat="1" ht="14.1" customHeight="1">
      <c r="A135" s="804"/>
      <c r="B135" s="804"/>
      <c r="C135" s="804"/>
      <c r="D135" s="804"/>
      <c r="E135" s="804"/>
      <c r="F135" s="804"/>
      <c r="G135" s="802" t="s">
        <v>49</v>
      </c>
      <c r="H135" s="79"/>
      <c r="I135" s="80">
        <v>8</v>
      </c>
      <c r="J135" s="81">
        <v>34</v>
      </c>
      <c r="K135" s="81">
        <f t="shared" si="29"/>
        <v>272</v>
      </c>
      <c r="L135" s="599"/>
      <c r="M135" s="599"/>
      <c r="N135" s="800"/>
    </row>
    <row r="136" spans="1:14" s="71" customFormat="1" ht="14.1" customHeight="1">
      <c r="A136" s="804"/>
      <c r="B136" s="599"/>
      <c r="C136" s="599"/>
      <c r="D136" s="599"/>
      <c r="E136" s="599"/>
      <c r="F136" s="599"/>
      <c r="G136" s="804" t="s">
        <v>19</v>
      </c>
      <c r="H136" s="79"/>
      <c r="I136" s="80">
        <v>2.4</v>
      </c>
      <c r="J136" s="81">
        <v>80</v>
      </c>
      <c r="K136" s="81">
        <f t="shared" si="29"/>
        <v>192</v>
      </c>
      <c r="L136" s="599"/>
      <c r="M136" s="599"/>
      <c r="N136" s="800"/>
    </row>
    <row r="137" spans="1:14" s="71" customFormat="1" ht="14.1" customHeight="1">
      <c r="A137" s="804"/>
      <c r="B137" s="599"/>
      <c r="C137" s="599"/>
      <c r="D137" s="599"/>
      <c r="E137" s="806" t="s">
        <v>9</v>
      </c>
      <c r="F137" s="110">
        <f>SUM(F134:F136)</f>
        <v>546.79999999999995</v>
      </c>
      <c r="G137" s="806"/>
      <c r="H137" s="806"/>
      <c r="I137" s="125"/>
      <c r="J137" s="97"/>
      <c r="K137" s="111">
        <f>SUM(K134:K136)</f>
        <v>1784</v>
      </c>
      <c r="L137" s="111">
        <f>K137/F137</f>
        <v>3.2626188734455015</v>
      </c>
      <c r="M137" s="102"/>
    </row>
    <row r="138" spans="1:14" s="71" customFormat="1" ht="14.1" customHeight="1">
      <c r="A138" s="804">
        <v>10255</v>
      </c>
      <c r="B138" s="813" t="s">
        <v>1027</v>
      </c>
      <c r="C138" s="89" t="s">
        <v>1026</v>
      </c>
      <c r="D138" s="89" t="s">
        <v>1116</v>
      </c>
      <c r="E138" s="599" t="s">
        <v>232</v>
      </c>
      <c r="F138" s="98">
        <f>2400*1.0936</f>
        <v>2624.64</v>
      </c>
      <c r="G138" s="804" t="s">
        <v>27</v>
      </c>
      <c r="H138" s="79"/>
      <c r="I138" s="80">
        <v>150</v>
      </c>
      <c r="J138" s="81">
        <v>22</v>
      </c>
      <c r="K138" s="81">
        <f t="shared" ref="K138:K140" si="30">I138*J138</f>
        <v>3300</v>
      </c>
      <c r="L138" s="599"/>
      <c r="M138" s="599"/>
      <c r="N138" s="800"/>
    </row>
    <row r="139" spans="1:14" s="71" customFormat="1" ht="14.1" customHeight="1">
      <c r="A139" s="804"/>
      <c r="B139" s="599"/>
      <c r="C139" s="599"/>
      <c r="D139" s="599"/>
      <c r="E139" s="599"/>
      <c r="F139" s="110"/>
      <c r="G139" s="802" t="s">
        <v>49</v>
      </c>
      <c r="H139" s="79"/>
      <c r="I139" s="80">
        <v>12</v>
      </c>
      <c r="J139" s="81">
        <v>34</v>
      </c>
      <c r="K139" s="81">
        <f t="shared" si="30"/>
        <v>408</v>
      </c>
      <c r="L139" s="599"/>
      <c r="M139" s="599"/>
      <c r="N139" s="800"/>
    </row>
    <row r="140" spans="1:14" s="71" customFormat="1" ht="14.1" customHeight="1">
      <c r="A140" s="599"/>
      <c r="B140" s="599"/>
      <c r="C140" s="599"/>
      <c r="D140" s="599"/>
      <c r="E140" s="599"/>
      <c r="F140" s="599"/>
      <c r="G140" s="804" t="s">
        <v>19</v>
      </c>
      <c r="H140" s="79"/>
      <c r="I140" s="80">
        <v>3.6</v>
      </c>
      <c r="J140" s="81">
        <v>80</v>
      </c>
      <c r="K140" s="81">
        <f t="shared" si="30"/>
        <v>288</v>
      </c>
      <c r="L140" s="599"/>
      <c r="M140" s="599"/>
      <c r="N140" s="800"/>
    </row>
    <row r="141" spans="1:14" s="71" customFormat="1" ht="14.1" customHeight="1">
      <c r="A141" s="599"/>
      <c r="B141" s="599"/>
      <c r="C141" s="599"/>
      <c r="D141" s="599"/>
      <c r="E141" s="806" t="s">
        <v>9</v>
      </c>
      <c r="F141" s="110">
        <f>SUM(F138:F140)</f>
        <v>2624.64</v>
      </c>
      <c r="G141" s="806"/>
      <c r="H141" s="806"/>
      <c r="I141" s="125"/>
      <c r="J141" s="97"/>
      <c r="K141" s="111">
        <f>SUM(K138:K140)</f>
        <v>3996</v>
      </c>
      <c r="L141" s="111">
        <f>K141/F141</f>
        <v>1.5224945135332846</v>
      </c>
      <c r="M141" s="599"/>
      <c r="N141" s="800"/>
    </row>
    <row r="142" spans="1:14" s="71" customFormat="1" ht="14.1" customHeight="1">
      <c r="A142" s="599">
        <v>10348</v>
      </c>
      <c r="B142" s="813" t="s">
        <v>1238</v>
      </c>
      <c r="C142" s="813" t="s">
        <v>1033</v>
      </c>
      <c r="D142" s="813" t="s">
        <v>1034</v>
      </c>
      <c r="E142" s="813" t="s">
        <v>232</v>
      </c>
      <c r="F142" s="90">
        <f>1750*1.0936</f>
        <v>1913.7999999999997</v>
      </c>
      <c r="G142" s="804" t="s">
        <v>27</v>
      </c>
      <c r="H142" s="79"/>
      <c r="I142" s="80">
        <v>150</v>
      </c>
      <c r="J142" s="81">
        <v>22</v>
      </c>
      <c r="K142" s="81">
        <f t="shared" ref="K142:K144" si="31">I142*J142</f>
        <v>3300</v>
      </c>
      <c r="L142" s="599"/>
      <c r="M142" s="599"/>
      <c r="N142" s="800"/>
    </row>
    <row r="143" spans="1:14" s="71" customFormat="1" ht="14.1" customHeight="1">
      <c r="A143" s="599"/>
      <c r="B143" s="599"/>
      <c r="C143" s="599"/>
      <c r="D143" s="599"/>
      <c r="E143" s="599"/>
      <c r="F143" s="599"/>
      <c r="G143" s="802" t="s">
        <v>49</v>
      </c>
      <c r="H143" s="79"/>
      <c r="I143" s="80">
        <v>12</v>
      </c>
      <c r="J143" s="81">
        <v>34</v>
      </c>
      <c r="K143" s="81">
        <f t="shared" si="31"/>
        <v>408</v>
      </c>
      <c r="L143" s="599"/>
      <c r="M143" s="599"/>
      <c r="N143" s="800"/>
    </row>
    <row r="144" spans="1:14" s="71" customFormat="1" ht="14.1" customHeight="1">
      <c r="A144" s="599"/>
      <c r="B144" s="599"/>
      <c r="C144" s="599"/>
      <c r="D144" s="599"/>
      <c r="E144" s="599"/>
      <c r="F144" s="599"/>
      <c r="G144" s="804" t="s">
        <v>19</v>
      </c>
      <c r="H144" s="79"/>
      <c r="I144" s="80">
        <v>3.6</v>
      </c>
      <c r="J144" s="81">
        <v>80</v>
      </c>
      <c r="K144" s="81">
        <f t="shared" si="31"/>
        <v>288</v>
      </c>
      <c r="L144" s="599"/>
      <c r="M144" s="599"/>
      <c r="N144" s="800"/>
    </row>
    <row r="145" spans="1:14" s="71" customFormat="1" ht="14.1" customHeight="1">
      <c r="A145" s="599"/>
      <c r="B145" s="599"/>
      <c r="C145" s="599"/>
      <c r="D145" s="599"/>
      <c r="E145" s="806" t="s">
        <v>9</v>
      </c>
      <c r="F145" s="110">
        <f>SUM(F142:F144)</f>
        <v>1913.7999999999997</v>
      </c>
      <c r="G145" s="806"/>
      <c r="H145" s="806"/>
      <c r="I145" s="125"/>
      <c r="J145" s="97"/>
      <c r="K145" s="111">
        <f>SUM(K142:K144)</f>
        <v>3996</v>
      </c>
      <c r="L145" s="111">
        <f>K145/F145</f>
        <v>2.0879924757027903</v>
      </c>
      <c r="M145" s="599"/>
      <c r="N145" s="800"/>
    </row>
    <row r="146" spans="1:14" s="71" customFormat="1" ht="14.1" customHeight="1">
      <c r="A146" s="599">
        <v>10253</v>
      </c>
      <c r="B146" s="813" t="s">
        <v>875</v>
      </c>
      <c r="C146" s="813" t="s">
        <v>1040</v>
      </c>
      <c r="D146" s="813" t="s">
        <v>813</v>
      </c>
      <c r="E146" s="229" t="s">
        <v>1251</v>
      </c>
      <c r="F146" s="87">
        <f>1900*1.0936</f>
        <v>2077.8399999999997</v>
      </c>
      <c r="G146" s="804" t="s">
        <v>27</v>
      </c>
      <c r="H146" s="79"/>
      <c r="I146" s="80">
        <v>80</v>
      </c>
      <c r="J146" s="81">
        <v>22</v>
      </c>
      <c r="K146" s="81">
        <f t="shared" ref="K146:K148" si="32">I146*J146</f>
        <v>1760</v>
      </c>
      <c r="L146" s="599"/>
      <c r="M146" s="599"/>
      <c r="N146" s="800"/>
    </row>
    <row r="147" spans="1:14" s="71" customFormat="1" ht="14.1" customHeight="1">
      <c r="A147" s="599"/>
      <c r="B147" s="599"/>
      <c r="C147" s="599"/>
      <c r="D147" s="599"/>
      <c r="E147" s="599"/>
      <c r="F147" s="599"/>
      <c r="G147" s="802" t="s">
        <v>49</v>
      </c>
      <c r="H147" s="79"/>
      <c r="I147" s="80">
        <v>18</v>
      </c>
      <c r="J147" s="81">
        <v>34</v>
      </c>
      <c r="K147" s="81">
        <f t="shared" si="32"/>
        <v>612</v>
      </c>
      <c r="L147" s="599"/>
      <c r="M147" s="599"/>
      <c r="N147" s="800"/>
    </row>
    <row r="148" spans="1:14" s="71" customFormat="1" ht="14.1" customHeight="1">
      <c r="A148" s="599"/>
      <c r="B148" s="599"/>
      <c r="C148" s="599"/>
      <c r="D148" s="599"/>
      <c r="E148" s="599"/>
      <c r="F148" s="599"/>
      <c r="G148" s="804" t="s">
        <v>19</v>
      </c>
      <c r="H148" s="79"/>
      <c r="I148" s="80">
        <v>3</v>
      </c>
      <c r="J148" s="81">
        <v>80</v>
      </c>
      <c r="K148" s="81">
        <f t="shared" si="32"/>
        <v>240</v>
      </c>
      <c r="L148" s="599"/>
      <c r="M148" s="599"/>
      <c r="N148" s="800"/>
    </row>
    <row r="149" spans="1:14" s="71" customFormat="1" ht="14.1" customHeight="1">
      <c r="A149" s="599"/>
      <c r="B149" s="599"/>
      <c r="C149" s="599"/>
      <c r="D149" s="599"/>
      <c r="E149" s="806" t="s">
        <v>9</v>
      </c>
      <c r="F149" s="110">
        <f>SUM(F146:F148)</f>
        <v>2077.8399999999997</v>
      </c>
      <c r="G149" s="806"/>
      <c r="H149" s="806"/>
      <c r="I149" s="125"/>
      <c r="J149" s="97"/>
      <c r="K149" s="111">
        <f>SUM(K146:K148)</f>
        <v>2612</v>
      </c>
      <c r="L149" s="111">
        <f>K149/F149</f>
        <v>1.2570746544488509</v>
      </c>
      <c r="M149" s="599"/>
      <c r="N149" s="800"/>
    </row>
    <row r="150" spans="1:14" s="71" customFormat="1" ht="14.1" customHeight="1">
      <c r="A150" s="801"/>
      <c r="B150" s="801"/>
      <c r="C150" s="801"/>
      <c r="D150" s="126" t="s">
        <v>30</v>
      </c>
      <c r="E150" s="142"/>
      <c r="F150" s="127">
        <f>F133+F137+F141+F145+F149</f>
        <v>29035.079999999994</v>
      </c>
      <c r="G150" s="128"/>
      <c r="H150" s="128"/>
      <c r="I150" s="128"/>
      <c r="J150" s="128"/>
      <c r="K150" s="127">
        <f>K133+K137+K141+K145+K149</f>
        <v>24626</v>
      </c>
      <c r="L150" s="129">
        <f>K150/F150</f>
        <v>0.84814644905404102</v>
      </c>
      <c r="M150" s="131"/>
    </row>
    <row r="151" spans="1:14" s="71" customFormat="1" ht="14.1" customHeight="1">
      <c r="A151" s="70" t="s">
        <v>11</v>
      </c>
      <c r="B151" s="70"/>
      <c r="C151" s="70"/>
      <c r="D151" s="70"/>
      <c r="E151" s="70"/>
      <c r="K151" s="824" t="s">
        <v>1234</v>
      </c>
      <c r="L151" s="824"/>
      <c r="M151" s="824"/>
    </row>
    <row r="152" spans="1:14" s="71" customFormat="1" ht="14.1" customHeight="1">
      <c r="A152" s="806" t="s">
        <v>0</v>
      </c>
      <c r="B152" s="806" t="s">
        <v>7</v>
      </c>
      <c r="C152" s="806" t="s">
        <v>13</v>
      </c>
      <c r="D152" s="806" t="s">
        <v>14</v>
      </c>
      <c r="E152" s="806" t="s">
        <v>8</v>
      </c>
      <c r="F152" s="806" t="s">
        <v>1</v>
      </c>
      <c r="G152" s="806" t="s">
        <v>2</v>
      </c>
      <c r="H152" s="806" t="s">
        <v>15</v>
      </c>
      <c r="I152" s="806" t="s">
        <v>3</v>
      </c>
      <c r="J152" s="806" t="s">
        <v>4</v>
      </c>
      <c r="K152" s="806" t="s">
        <v>5</v>
      </c>
      <c r="L152" s="806" t="s">
        <v>12</v>
      </c>
      <c r="M152" s="806" t="s">
        <v>6</v>
      </c>
      <c r="N152" s="123"/>
    </row>
    <row r="153" spans="1:14" s="71" customFormat="1" ht="14.1" customHeight="1">
      <c r="A153" s="804">
        <v>9996</v>
      </c>
      <c r="B153" s="813" t="s">
        <v>1089</v>
      </c>
      <c r="C153" s="813" t="s">
        <v>1040</v>
      </c>
      <c r="D153" s="813" t="s">
        <v>869</v>
      </c>
      <c r="E153" s="813" t="s">
        <v>102</v>
      </c>
      <c r="F153" s="90">
        <f>5550*1.0936</f>
        <v>6069.48</v>
      </c>
      <c r="G153" s="95" t="s">
        <v>1252</v>
      </c>
      <c r="H153" s="79"/>
      <c r="I153" s="80">
        <v>12</v>
      </c>
      <c r="J153" s="81">
        <v>281</v>
      </c>
      <c r="K153" s="94">
        <f t="shared" ref="K153:K154" si="33">I153*J153</f>
        <v>3372</v>
      </c>
      <c r="L153" s="79"/>
      <c r="M153" s="102"/>
    </row>
    <row r="154" spans="1:14" s="71" customFormat="1" ht="14.1" customHeight="1">
      <c r="A154" s="804"/>
      <c r="B154" s="599"/>
      <c r="C154" s="599"/>
      <c r="D154" s="599"/>
      <c r="E154" s="599"/>
      <c r="F154" s="98"/>
      <c r="G154" s="811" t="s">
        <v>1253</v>
      </c>
      <c r="H154" s="79"/>
      <c r="I154" s="81">
        <v>12</v>
      </c>
      <c r="J154" s="81">
        <v>279</v>
      </c>
      <c r="K154" s="81">
        <f t="shared" si="33"/>
        <v>3348</v>
      </c>
      <c r="L154" s="79"/>
      <c r="M154" s="102"/>
    </row>
    <row r="155" spans="1:14" s="71" customFormat="1" ht="14.1" customHeight="1">
      <c r="A155" s="804"/>
      <c r="B155" s="599"/>
      <c r="C155" s="599"/>
      <c r="D155" s="599"/>
      <c r="E155" s="806" t="s">
        <v>9</v>
      </c>
      <c r="F155" s="110">
        <f>SUM(F153:F154)</f>
        <v>6069.48</v>
      </c>
      <c r="G155" s="806"/>
      <c r="H155" s="806"/>
      <c r="I155" s="97"/>
      <c r="J155" s="97"/>
      <c r="K155" s="111">
        <f>SUM(K153:K154)</f>
        <v>6720</v>
      </c>
      <c r="L155" s="111">
        <f>K155/F155</f>
        <v>1.1071788687004489</v>
      </c>
      <c r="M155" s="102"/>
    </row>
    <row r="156" spans="1:14" s="71" customFormat="1" ht="14.1" customHeight="1">
      <c r="A156" s="804">
        <v>8073</v>
      </c>
      <c r="B156" s="813" t="s">
        <v>990</v>
      </c>
      <c r="C156" s="89" t="s">
        <v>766</v>
      </c>
      <c r="D156" s="89" t="s">
        <v>465</v>
      </c>
      <c r="E156" s="813" t="s">
        <v>232</v>
      </c>
      <c r="F156" s="99">
        <f>4800*1.0936</f>
        <v>5249.28</v>
      </c>
      <c r="G156" s="811" t="s">
        <v>1192</v>
      </c>
      <c r="H156" s="79"/>
      <c r="I156" s="80">
        <v>10</v>
      </c>
      <c r="J156" s="81">
        <v>342</v>
      </c>
      <c r="K156" s="94">
        <f t="shared" ref="K156:K157" si="34">I156*J156</f>
        <v>3420</v>
      </c>
      <c r="L156" s="79"/>
      <c r="M156" s="102"/>
    </row>
    <row r="157" spans="1:14" s="71" customFormat="1" ht="14.1" customHeight="1">
      <c r="A157" s="804"/>
      <c r="B157" s="804"/>
      <c r="C157" s="804"/>
      <c r="D157" s="804"/>
      <c r="E157" s="804"/>
      <c r="F157" s="804"/>
      <c r="G157" s="813" t="s">
        <v>202</v>
      </c>
      <c r="H157" s="79"/>
      <c r="I157" s="81">
        <v>1</v>
      </c>
      <c r="J157" s="81">
        <v>285</v>
      </c>
      <c r="K157" s="81">
        <f t="shared" si="34"/>
        <v>285</v>
      </c>
      <c r="L157" s="79"/>
      <c r="M157" s="102"/>
    </row>
    <row r="158" spans="1:14" s="817" customFormat="1" ht="14.1" customHeight="1">
      <c r="A158" s="804"/>
      <c r="B158" s="599"/>
      <c r="C158" s="599"/>
      <c r="D158" s="599"/>
      <c r="E158" s="806" t="s">
        <v>9</v>
      </c>
      <c r="F158" s="110">
        <f>SUM(F156:F157)</f>
        <v>5249.28</v>
      </c>
      <c r="G158" s="806"/>
      <c r="H158" s="806"/>
      <c r="I158" s="97"/>
      <c r="J158" s="97"/>
      <c r="K158" s="111">
        <f>SUM(K156:K157)</f>
        <v>3705</v>
      </c>
      <c r="L158" s="111">
        <f>K158/F158</f>
        <v>0.70581108266276527</v>
      </c>
      <c r="M158" s="102"/>
      <c r="N158" s="71"/>
    </row>
    <row r="159" spans="1:14" s="71" customFormat="1" ht="14.1" customHeight="1">
      <c r="A159" s="804">
        <v>9997</v>
      </c>
      <c r="B159" s="813" t="s">
        <v>478</v>
      </c>
      <c r="C159" s="89" t="s">
        <v>302</v>
      </c>
      <c r="D159" s="89" t="s">
        <v>1225</v>
      </c>
      <c r="E159" s="813" t="s">
        <v>232</v>
      </c>
      <c r="F159" s="87">
        <f>45*1.0936</f>
        <v>49.211999999999996</v>
      </c>
      <c r="G159" s="811" t="s">
        <v>1192</v>
      </c>
      <c r="H159" s="79"/>
      <c r="I159" s="80">
        <v>4</v>
      </c>
      <c r="J159" s="81">
        <v>342</v>
      </c>
      <c r="K159" s="94">
        <f t="shared" ref="K159:K161" si="35">I159*J159</f>
        <v>1368</v>
      </c>
      <c r="L159" s="79"/>
      <c r="M159" s="102"/>
    </row>
    <row r="160" spans="1:14" s="71" customFormat="1" ht="14.1" customHeight="1">
      <c r="A160" s="804"/>
      <c r="B160" s="813" t="s">
        <v>478</v>
      </c>
      <c r="C160" s="89" t="s">
        <v>302</v>
      </c>
      <c r="D160" s="89" t="s">
        <v>1225</v>
      </c>
      <c r="E160" s="813" t="s">
        <v>1239</v>
      </c>
      <c r="F160" s="87">
        <f>50*1.0936</f>
        <v>54.679999999999993</v>
      </c>
      <c r="G160" s="95" t="s">
        <v>1252</v>
      </c>
      <c r="H160" s="79"/>
      <c r="I160" s="80">
        <v>2</v>
      </c>
      <c r="J160" s="81">
        <v>281</v>
      </c>
      <c r="K160" s="94">
        <f t="shared" si="35"/>
        <v>562</v>
      </c>
      <c r="L160" s="79"/>
      <c r="M160" s="102"/>
    </row>
    <row r="161" spans="1:14" s="71" customFormat="1" ht="14.1" customHeight="1">
      <c r="A161" s="813"/>
      <c r="B161" s="813"/>
      <c r="C161" s="89"/>
      <c r="D161" s="89"/>
      <c r="E161" s="813"/>
      <c r="F161" s="87"/>
      <c r="G161" s="811" t="s">
        <v>587</v>
      </c>
      <c r="H161" s="79"/>
      <c r="I161" s="80">
        <v>0.5</v>
      </c>
      <c r="J161" s="81">
        <v>350</v>
      </c>
      <c r="K161" s="94">
        <f t="shared" si="35"/>
        <v>175</v>
      </c>
      <c r="L161" s="79"/>
      <c r="M161" s="102"/>
    </row>
    <row r="162" spans="1:14" s="71" customFormat="1" ht="14.1" customHeight="1">
      <c r="A162" s="804"/>
      <c r="B162" s="599"/>
      <c r="C162" s="599"/>
      <c r="D162" s="599"/>
      <c r="E162" s="806" t="s">
        <v>9</v>
      </c>
      <c r="F162" s="110">
        <f>SUM(F159:F161)</f>
        <v>103.892</v>
      </c>
      <c r="G162" s="806"/>
      <c r="H162" s="806"/>
      <c r="I162" s="97"/>
      <c r="J162" s="97"/>
      <c r="K162" s="111">
        <f>SUM(K159:K161)</f>
        <v>2105</v>
      </c>
      <c r="L162" s="111">
        <f>K162/F162</f>
        <v>20.26142532630039</v>
      </c>
      <c r="M162" s="102"/>
    </row>
    <row r="163" spans="1:14" s="71" customFormat="1" ht="14.1" customHeight="1">
      <c r="A163" s="804">
        <v>8074</v>
      </c>
      <c r="B163" s="813" t="s">
        <v>1223</v>
      </c>
      <c r="C163" s="813" t="s">
        <v>121</v>
      </c>
      <c r="D163" s="813" t="s">
        <v>1093</v>
      </c>
      <c r="E163" s="813" t="s">
        <v>397</v>
      </c>
      <c r="F163" s="98">
        <f>15740*1.0936</f>
        <v>17213.263999999999</v>
      </c>
      <c r="G163" s="95" t="s">
        <v>1252</v>
      </c>
      <c r="H163" s="79"/>
      <c r="I163" s="80">
        <v>6</v>
      </c>
      <c r="J163" s="81">
        <v>281</v>
      </c>
      <c r="K163" s="94">
        <f t="shared" ref="K163:K167" si="36">I163*J163</f>
        <v>1686</v>
      </c>
      <c r="L163" s="79"/>
      <c r="M163" s="102"/>
    </row>
    <row r="164" spans="1:14" s="71" customFormat="1" ht="14.1" customHeight="1">
      <c r="A164" s="804"/>
      <c r="B164" s="804"/>
      <c r="C164" s="804"/>
      <c r="D164" s="804"/>
      <c r="E164" s="804"/>
      <c r="F164" s="98"/>
      <c r="G164" s="811" t="s">
        <v>1253</v>
      </c>
      <c r="H164" s="79"/>
      <c r="I164" s="81">
        <v>1.5</v>
      </c>
      <c r="J164" s="81">
        <v>279</v>
      </c>
      <c r="K164" s="81">
        <f t="shared" si="36"/>
        <v>418.5</v>
      </c>
      <c r="L164" s="79"/>
      <c r="M164" s="102"/>
    </row>
    <row r="165" spans="1:14" s="71" customFormat="1" ht="14.1" customHeight="1">
      <c r="A165" s="813"/>
      <c r="B165" s="813"/>
      <c r="C165" s="813"/>
      <c r="D165" s="813"/>
      <c r="E165" s="813"/>
      <c r="F165" s="98"/>
      <c r="G165" s="813" t="s">
        <v>202</v>
      </c>
      <c r="H165" s="79"/>
      <c r="I165" s="81">
        <v>4</v>
      </c>
      <c r="J165" s="81">
        <v>285</v>
      </c>
      <c r="K165" s="81">
        <f t="shared" si="36"/>
        <v>1140</v>
      </c>
      <c r="L165" s="79"/>
      <c r="M165" s="102"/>
    </row>
    <row r="166" spans="1:14" s="71" customFormat="1" ht="14.1" customHeight="1">
      <c r="A166" s="813"/>
      <c r="B166" s="813"/>
      <c r="C166" s="813"/>
      <c r="D166" s="813"/>
      <c r="E166" s="813"/>
      <c r="F166" s="98"/>
      <c r="G166" s="173" t="s">
        <v>298</v>
      </c>
      <c r="H166" s="79"/>
      <c r="I166" s="80">
        <v>30</v>
      </c>
      <c r="J166" s="81">
        <v>306</v>
      </c>
      <c r="K166" s="94">
        <f t="shared" si="36"/>
        <v>9180</v>
      </c>
      <c r="L166" s="79"/>
      <c r="M166" s="102"/>
    </row>
    <row r="167" spans="1:14" s="71" customFormat="1" ht="14.1" customHeight="1">
      <c r="A167" s="813"/>
      <c r="B167" s="813"/>
      <c r="C167" s="813"/>
      <c r="D167" s="813"/>
      <c r="E167" s="813"/>
      <c r="F167" s="98"/>
      <c r="G167" s="173" t="s">
        <v>799</v>
      </c>
      <c r="H167" s="79"/>
      <c r="I167" s="188">
        <v>120</v>
      </c>
      <c r="J167" s="81">
        <v>255</v>
      </c>
      <c r="K167" s="94">
        <f t="shared" si="36"/>
        <v>30600</v>
      </c>
      <c r="L167" s="79"/>
      <c r="M167" s="102"/>
    </row>
    <row r="168" spans="1:14" s="71" customFormat="1" ht="14.1" customHeight="1">
      <c r="A168" s="804"/>
      <c r="B168" s="599"/>
      <c r="C168" s="599"/>
      <c r="D168" s="599"/>
      <c r="E168" s="806" t="s">
        <v>9</v>
      </c>
      <c r="F168" s="110">
        <f>SUM(F163:F164)</f>
        <v>17213.263999999999</v>
      </c>
      <c r="G168" s="806"/>
      <c r="H168" s="806"/>
      <c r="I168" s="97"/>
      <c r="J168" s="97"/>
      <c r="K168" s="111">
        <f>SUM(K163:K167)</f>
        <v>43024.5</v>
      </c>
      <c r="L168" s="155">
        <f>K168/F168</f>
        <v>2.4994968996002154</v>
      </c>
      <c r="M168" s="102"/>
    </row>
    <row r="169" spans="1:14" s="71" customFormat="1" ht="14.1" customHeight="1">
      <c r="A169" s="804">
        <v>9998</v>
      </c>
      <c r="B169" s="813" t="s">
        <v>179</v>
      </c>
      <c r="C169" s="804" t="s">
        <v>121</v>
      </c>
      <c r="D169" s="813" t="s">
        <v>297</v>
      </c>
      <c r="E169" s="813" t="s">
        <v>310</v>
      </c>
      <c r="F169" s="90">
        <f>70*1.0936</f>
        <v>76.551999999999992</v>
      </c>
      <c r="G169" s="430" t="s">
        <v>1254</v>
      </c>
      <c r="H169" s="79"/>
      <c r="I169" s="80">
        <v>0.5</v>
      </c>
      <c r="J169" s="81">
        <v>221</v>
      </c>
      <c r="K169" s="94">
        <f t="shared" ref="K169" si="37">I169*J169</f>
        <v>110.5</v>
      </c>
      <c r="L169" s="102"/>
      <c r="M169" s="102"/>
    </row>
    <row r="170" spans="1:14" s="71" customFormat="1" ht="14.1" customHeight="1">
      <c r="A170" s="804"/>
      <c r="B170" s="804"/>
      <c r="C170" s="804"/>
      <c r="D170" s="804"/>
      <c r="E170" s="804"/>
      <c r="F170" s="87"/>
      <c r="G170" s="95" t="s">
        <v>1255</v>
      </c>
      <c r="H170" s="79"/>
      <c r="I170" s="80">
        <v>1</v>
      </c>
      <c r="J170" s="81">
        <v>295</v>
      </c>
      <c r="K170" s="81">
        <f t="shared" ref="K170:K171" si="38">I170*J170</f>
        <v>295</v>
      </c>
      <c r="L170" s="102"/>
      <c r="M170" s="102"/>
    </row>
    <row r="171" spans="1:14" s="71" customFormat="1" ht="14.1" customHeight="1">
      <c r="A171" s="804"/>
      <c r="B171" s="804"/>
      <c r="C171" s="804"/>
      <c r="D171" s="804"/>
      <c r="E171" s="804"/>
      <c r="F171" s="87"/>
      <c r="G171" s="813" t="s">
        <v>1256</v>
      </c>
      <c r="H171" s="79"/>
      <c r="I171" s="81">
        <v>0.25</v>
      </c>
      <c r="J171" s="81">
        <v>510</v>
      </c>
      <c r="K171" s="81">
        <f t="shared" si="38"/>
        <v>127.5</v>
      </c>
      <c r="L171" s="102"/>
      <c r="M171" s="102"/>
    </row>
    <row r="172" spans="1:14" s="71" customFormat="1" ht="14.1" customHeight="1">
      <c r="A172" s="804"/>
      <c r="B172" s="804"/>
      <c r="C172" s="804"/>
      <c r="D172" s="804"/>
      <c r="E172" s="806" t="s">
        <v>9</v>
      </c>
      <c r="F172" s="110">
        <f>SUM(F169:F171)</f>
        <v>76.551999999999992</v>
      </c>
      <c r="G172" s="806"/>
      <c r="H172" s="806"/>
      <c r="I172" s="97"/>
      <c r="J172" s="97"/>
      <c r="K172" s="111">
        <f>SUM(K169:K171)</f>
        <v>533</v>
      </c>
      <c r="L172" s="155">
        <f>K172/F172</f>
        <v>6.9625875222071283</v>
      </c>
      <c r="M172" s="102"/>
    </row>
    <row r="173" spans="1:14" s="71" customFormat="1" ht="14.1" customHeight="1">
      <c r="A173" s="107"/>
      <c r="D173" s="126" t="s">
        <v>30</v>
      </c>
      <c r="E173" s="126"/>
      <c r="F173" s="127">
        <f>F155+F158+F162+F168+F172</f>
        <v>28712.467999999997</v>
      </c>
      <c r="G173" s="128"/>
      <c r="H173" s="128"/>
      <c r="I173" s="128"/>
      <c r="J173" s="128"/>
      <c r="K173" s="127">
        <f>K155+K158+K162+K168+K172</f>
        <v>56087.5</v>
      </c>
      <c r="L173" s="129">
        <f>K173/F173</f>
        <v>1.95341967816908</v>
      </c>
    </row>
    <row r="174" spans="1:14" s="71" customFormat="1" ht="14.1" customHeight="1">
      <c r="A174" s="70" t="s">
        <v>42</v>
      </c>
      <c r="B174" s="70"/>
      <c r="C174" s="70"/>
      <c r="D174" s="70"/>
      <c r="E174" s="70"/>
      <c r="K174" s="824" t="s">
        <v>1234</v>
      </c>
      <c r="L174" s="824"/>
      <c r="M174" s="824"/>
    </row>
    <row r="175" spans="1:14" s="71" customFormat="1" ht="14.1" customHeight="1">
      <c r="A175" s="806" t="s">
        <v>0</v>
      </c>
      <c r="B175" s="806" t="s">
        <v>7</v>
      </c>
      <c r="C175" s="806" t="s">
        <v>13</v>
      </c>
      <c r="D175" s="806" t="s">
        <v>14</v>
      </c>
      <c r="E175" s="806" t="s">
        <v>8</v>
      </c>
      <c r="F175" s="806" t="s">
        <v>1</v>
      </c>
      <c r="G175" s="806" t="s">
        <v>2</v>
      </c>
      <c r="H175" s="806" t="s">
        <v>15</v>
      </c>
      <c r="I175" s="806" t="s">
        <v>3</v>
      </c>
      <c r="J175" s="806" t="s">
        <v>4</v>
      </c>
      <c r="K175" s="806" t="s">
        <v>5</v>
      </c>
      <c r="L175" s="806" t="s">
        <v>12</v>
      </c>
      <c r="M175" s="806" t="s">
        <v>6</v>
      </c>
      <c r="N175" s="123"/>
    </row>
    <row r="176" spans="1:14" s="71" customFormat="1" ht="14.1" customHeight="1">
      <c r="A176" s="804">
        <v>7793</v>
      </c>
      <c r="B176" s="804" t="s">
        <v>891</v>
      </c>
      <c r="C176" s="804" t="s">
        <v>217</v>
      </c>
      <c r="D176" s="804" t="s">
        <v>180</v>
      </c>
      <c r="E176" s="805" t="s">
        <v>93</v>
      </c>
      <c r="F176" s="99">
        <f>20*1.0936</f>
        <v>21.872</v>
      </c>
      <c r="G176" s="803" t="s">
        <v>209</v>
      </c>
      <c r="H176" s="79"/>
      <c r="I176" s="80">
        <v>1.2</v>
      </c>
      <c r="J176" s="81">
        <v>350</v>
      </c>
      <c r="K176" s="81">
        <f t="shared" ref="K176:K182" si="39">I176*J176</f>
        <v>420</v>
      </c>
      <c r="L176" s="154"/>
      <c r="M176" s="102"/>
    </row>
    <row r="177" spans="1:13" s="71" customFormat="1" ht="14.1" customHeight="1">
      <c r="A177" s="804"/>
      <c r="B177" s="599"/>
      <c r="C177" s="599"/>
      <c r="D177" s="599"/>
      <c r="E177" s="804"/>
      <c r="F177" s="98"/>
      <c r="G177" s="803" t="s">
        <v>215</v>
      </c>
      <c r="H177" s="109"/>
      <c r="I177" s="80">
        <v>0.5</v>
      </c>
      <c r="J177" s="81">
        <v>750</v>
      </c>
      <c r="K177" s="81">
        <f t="shared" si="39"/>
        <v>375</v>
      </c>
      <c r="L177" s="102"/>
      <c r="M177" s="102"/>
    </row>
    <row r="178" spans="1:13" s="71" customFormat="1" ht="14.1" customHeight="1">
      <c r="A178" s="804"/>
      <c r="B178" s="599"/>
      <c r="C178" s="599"/>
      <c r="D178" s="599"/>
      <c r="E178" s="804"/>
      <c r="F178" s="98"/>
      <c r="G178" s="803" t="s">
        <v>123</v>
      </c>
      <c r="H178" s="804"/>
      <c r="I178" s="96">
        <v>1.5</v>
      </c>
      <c r="J178" s="81">
        <v>750</v>
      </c>
      <c r="K178" s="94">
        <f t="shared" si="39"/>
        <v>1125</v>
      </c>
      <c r="L178" s="79"/>
      <c r="M178" s="102"/>
    </row>
    <row r="179" spans="1:13" s="71" customFormat="1" ht="14.1" customHeight="1">
      <c r="A179" s="804"/>
      <c r="B179" s="599"/>
      <c r="C179" s="599"/>
      <c r="D179" s="599"/>
      <c r="E179" s="804"/>
      <c r="F179" s="98"/>
      <c r="G179" s="803" t="s">
        <v>1230</v>
      </c>
      <c r="H179" s="109"/>
      <c r="I179" s="80">
        <v>0.23</v>
      </c>
      <c r="J179" s="81">
        <v>753</v>
      </c>
      <c r="K179" s="94">
        <f t="shared" si="39"/>
        <v>173.19</v>
      </c>
      <c r="L179" s="102"/>
      <c r="M179" s="102"/>
    </row>
    <row r="180" spans="1:13" s="71" customFormat="1" ht="14.1" customHeight="1">
      <c r="A180" s="804"/>
      <c r="B180" s="599"/>
      <c r="C180" s="599"/>
      <c r="D180" s="599"/>
      <c r="E180" s="804"/>
      <c r="F180" s="98"/>
      <c r="G180" s="803" t="s">
        <v>210</v>
      </c>
      <c r="H180" s="109"/>
      <c r="I180" s="80">
        <v>1.6</v>
      </c>
      <c r="J180" s="81">
        <v>690</v>
      </c>
      <c r="K180" s="81">
        <f t="shared" si="39"/>
        <v>1104</v>
      </c>
      <c r="L180" s="102"/>
      <c r="M180" s="102"/>
    </row>
    <row r="181" spans="1:13" s="71" customFormat="1" ht="14.1" customHeight="1">
      <c r="A181" s="804"/>
      <c r="B181" s="599"/>
      <c r="C181" s="599"/>
      <c r="D181" s="599"/>
      <c r="E181" s="599"/>
      <c r="F181" s="98"/>
      <c r="G181" s="803" t="s">
        <v>221</v>
      </c>
      <c r="H181" s="112"/>
      <c r="I181" s="113">
        <v>1.3</v>
      </c>
      <c r="J181" s="81">
        <v>980</v>
      </c>
      <c r="K181" s="81">
        <f t="shared" si="39"/>
        <v>1274</v>
      </c>
      <c r="L181" s="102"/>
      <c r="M181" s="102"/>
    </row>
    <row r="182" spans="1:13" s="71" customFormat="1" ht="14.1" customHeight="1">
      <c r="A182" s="804"/>
      <c r="B182" s="599"/>
      <c r="C182" s="599"/>
      <c r="D182" s="599"/>
      <c r="E182" s="599"/>
      <c r="F182" s="98"/>
      <c r="G182" s="803" t="s">
        <v>1021</v>
      </c>
      <c r="H182" s="79"/>
      <c r="I182" s="80">
        <v>0.55000000000000004</v>
      </c>
      <c r="J182" s="81">
        <v>580</v>
      </c>
      <c r="K182" s="81">
        <f t="shared" si="39"/>
        <v>319</v>
      </c>
      <c r="L182" s="111"/>
      <c r="M182" s="102"/>
    </row>
    <row r="183" spans="1:13" s="71" customFormat="1" ht="14.1" customHeight="1">
      <c r="A183" s="804"/>
      <c r="B183" s="599"/>
      <c r="C183" s="599"/>
      <c r="D183" s="599"/>
      <c r="E183" s="806"/>
      <c r="F183" s="110"/>
      <c r="G183" s="802" t="s">
        <v>211</v>
      </c>
      <c r="H183" s="79"/>
      <c r="I183" s="80">
        <v>5.5</v>
      </c>
      <c r="J183" s="81">
        <v>120</v>
      </c>
      <c r="K183" s="81">
        <f>I183*J183</f>
        <v>660</v>
      </c>
      <c r="L183" s="111"/>
      <c r="M183" s="102"/>
    </row>
    <row r="184" spans="1:13" s="71" customFormat="1" ht="14.1" customHeight="1">
      <c r="A184" s="804"/>
      <c r="B184" s="599"/>
      <c r="C184" s="599"/>
      <c r="D184" s="599"/>
      <c r="E184" s="599"/>
      <c r="F184" s="98"/>
      <c r="G184" s="802" t="s">
        <v>45</v>
      </c>
      <c r="H184" s="79"/>
      <c r="I184" s="80">
        <v>0.8</v>
      </c>
      <c r="J184" s="81">
        <v>45</v>
      </c>
      <c r="K184" s="81">
        <f t="shared" ref="K184:K187" si="40">I184*J184</f>
        <v>36</v>
      </c>
      <c r="L184" s="111"/>
      <c r="M184" s="102"/>
    </row>
    <row r="185" spans="1:13" s="71" customFormat="1" ht="14.1" customHeight="1">
      <c r="A185" s="804"/>
      <c r="B185" s="599"/>
      <c r="C185" s="599"/>
      <c r="D185" s="599"/>
      <c r="E185" s="599"/>
      <c r="F185" s="98"/>
      <c r="G185" s="802" t="s">
        <v>213</v>
      </c>
      <c r="H185" s="79"/>
      <c r="I185" s="80">
        <v>0.8</v>
      </c>
      <c r="J185" s="81">
        <v>348</v>
      </c>
      <c r="K185" s="81">
        <f t="shared" si="40"/>
        <v>278.40000000000003</v>
      </c>
      <c r="L185" s="111"/>
      <c r="M185" s="102"/>
    </row>
    <row r="186" spans="1:13" s="71" customFormat="1" ht="14.1" customHeight="1">
      <c r="A186" s="804"/>
      <c r="B186" s="599"/>
      <c r="C186" s="599"/>
      <c r="D186" s="599"/>
      <c r="E186" s="599"/>
      <c r="F186" s="98"/>
      <c r="G186" s="804" t="s">
        <v>28</v>
      </c>
      <c r="H186" s="79"/>
      <c r="I186" s="80">
        <v>1.6</v>
      </c>
      <c r="J186" s="81">
        <v>17</v>
      </c>
      <c r="K186" s="81">
        <f t="shared" si="40"/>
        <v>27.200000000000003</v>
      </c>
      <c r="L186" s="111"/>
      <c r="M186" s="102"/>
    </row>
    <row r="187" spans="1:13" s="71" customFormat="1" ht="14.1" customHeight="1">
      <c r="A187" s="804"/>
      <c r="B187" s="599"/>
      <c r="C187" s="599"/>
      <c r="D187" s="599"/>
      <c r="E187" s="599"/>
      <c r="F187" s="98"/>
      <c r="G187" s="802" t="s">
        <v>214</v>
      </c>
      <c r="H187" s="79"/>
      <c r="I187" s="80">
        <v>20</v>
      </c>
      <c r="J187" s="81">
        <v>360</v>
      </c>
      <c r="K187" s="81">
        <f t="shared" si="40"/>
        <v>7200</v>
      </c>
      <c r="L187" s="102"/>
      <c r="M187" s="102"/>
    </row>
    <row r="188" spans="1:13" s="71" customFormat="1" ht="14.1" customHeight="1">
      <c r="A188" s="804"/>
      <c r="B188" s="599"/>
      <c r="C188" s="599"/>
      <c r="D188" s="599"/>
      <c r="E188" s="806" t="s">
        <v>9</v>
      </c>
      <c r="F188" s="110">
        <f>SUM(F176:F187)</f>
        <v>21.872</v>
      </c>
      <c r="G188" s="806"/>
      <c r="H188" s="806"/>
      <c r="I188" s="97"/>
      <c r="J188" s="97"/>
      <c r="K188" s="111">
        <f>SUM(K176:K187)</f>
        <v>12991.79</v>
      </c>
      <c r="L188" s="111">
        <f>K188/F188</f>
        <v>593.99186174103886</v>
      </c>
      <c r="M188" s="806" t="s">
        <v>249</v>
      </c>
    </row>
    <row r="189" spans="1:13" s="71" customFormat="1" ht="14.1" customHeight="1">
      <c r="A189" s="804">
        <v>7794</v>
      </c>
      <c r="B189" s="804" t="s">
        <v>1231</v>
      </c>
      <c r="C189" s="89" t="s">
        <v>1026</v>
      </c>
      <c r="D189" s="89" t="s">
        <v>1229</v>
      </c>
      <c r="E189" s="804" t="s">
        <v>93</v>
      </c>
      <c r="F189" s="98">
        <f>785*1.0936</f>
        <v>858.47599999999989</v>
      </c>
      <c r="G189" s="803" t="s">
        <v>209</v>
      </c>
      <c r="H189" s="79"/>
      <c r="I189" s="80">
        <v>6.5000000000000002E-2</v>
      </c>
      <c r="J189" s="81">
        <v>350</v>
      </c>
      <c r="K189" s="81">
        <f t="shared" ref="K189:K191" si="41">I189*J189</f>
        <v>22.75</v>
      </c>
      <c r="L189" s="102"/>
      <c r="M189" s="102"/>
    </row>
    <row r="190" spans="1:13" s="71" customFormat="1" ht="14.1" customHeight="1">
      <c r="A190" s="804"/>
      <c r="B190" s="804"/>
      <c r="C190" s="804"/>
      <c r="D190" s="804"/>
      <c r="E190" s="804"/>
      <c r="F190" s="804"/>
      <c r="G190" s="803" t="s">
        <v>888</v>
      </c>
      <c r="H190" s="109"/>
      <c r="I190" s="80">
        <v>0.04</v>
      </c>
      <c r="J190" s="81">
        <v>690</v>
      </c>
      <c r="K190" s="81">
        <f t="shared" si="41"/>
        <v>27.6</v>
      </c>
      <c r="L190" s="102"/>
      <c r="M190" s="102"/>
    </row>
    <row r="191" spans="1:13" s="71" customFormat="1" ht="14.1" customHeight="1">
      <c r="A191" s="804"/>
      <c r="B191" s="804"/>
      <c r="C191" s="804"/>
      <c r="D191" s="804"/>
      <c r="E191" s="804"/>
      <c r="F191" s="804"/>
      <c r="G191" s="803" t="s">
        <v>123</v>
      </c>
      <c r="H191" s="804"/>
      <c r="I191" s="96">
        <v>0.03</v>
      </c>
      <c r="J191" s="81">
        <v>750</v>
      </c>
      <c r="K191" s="94">
        <f t="shared" si="41"/>
        <v>22.5</v>
      </c>
      <c r="L191" s="79"/>
      <c r="M191" s="102"/>
    </row>
    <row r="192" spans="1:13" s="71" customFormat="1" ht="14.1" customHeight="1">
      <c r="A192" s="804"/>
      <c r="B192" s="804"/>
      <c r="C192" s="804"/>
      <c r="D192" s="804"/>
      <c r="E192" s="804"/>
      <c r="F192" s="804"/>
      <c r="G192" s="802" t="s">
        <v>211</v>
      </c>
      <c r="H192" s="79"/>
      <c r="I192" s="80">
        <v>3</v>
      </c>
      <c r="J192" s="81">
        <v>120</v>
      </c>
      <c r="K192" s="81">
        <f>I192*J192</f>
        <v>360</v>
      </c>
      <c r="L192" s="102"/>
      <c r="M192" s="102"/>
    </row>
    <row r="193" spans="1:13" s="71" customFormat="1" ht="14.1" customHeight="1">
      <c r="A193" s="804"/>
      <c r="B193" s="804"/>
      <c r="C193" s="804"/>
      <c r="D193" s="804"/>
      <c r="E193" s="804"/>
      <c r="F193" s="804"/>
      <c r="G193" s="802" t="s">
        <v>45</v>
      </c>
      <c r="H193" s="79"/>
      <c r="I193" s="80">
        <v>0.2</v>
      </c>
      <c r="J193" s="81">
        <v>45</v>
      </c>
      <c r="K193" s="81">
        <f t="shared" ref="K193:K195" si="42">I193*J193</f>
        <v>9</v>
      </c>
      <c r="L193" s="102"/>
      <c r="M193" s="102"/>
    </row>
    <row r="194" spans="1:13" s="71" customFormat="1" ht="14.1" customHeight="1">
      <c r="A194" s="804"/>
      <c r="B194" s="599"/>
      <c r="C194" s="599"/>
      <c r="D194" s="599"/>
      <c r="E194" s="806"/>
      <c r="F194" s="110"/>
      <c r="G194" s="802" t="s">
        <v>213</v>
      </c>
      <c r="H194" s="79"/>
      <c r="I194" s="80">
        <v>0.25</v>
      </c>
      <c r="J194" s="81">
        <v>348</v>
      </c>
      <c r="K194" s="81">
        <f t="shared" si="42"/>
        <v>87</v>
      </c>
      <c r="L194" s="102"/>
      <c r="M194" s="102"/>
    </row>
    <row r="195" spans="1:13" s="71" customFormat="1" ht="14.1" customHeight="1">
      <c r="A195" s="804"/>
      <c r="B195" s="599"/>
      <c r="C195" s="599"/>
      <c r="D195" s="599"/>
      <c r="E195" s="806"/>
      <c r="F195" s="110"/>
      <c r="G195" s="802" t="s">
        <v>214</v>
      </c>
      <c r="H195" s="79"/>
      <c r="I195" s="80">
        <v>10.5</v>
      </c>
      <c r="J195" s="81">
        <v>360</v>
      </c>
      <c r="K195" s="81">
        <f t="shared" si="42"/>
        <v>3780</v>
      </c>
      <c r="L195" s="111"/>
      <c r="M195" s="102"/>
    </row>
    <row r="196" spans="1:13" s="71" customFormat="1" ht="14.1" customHeight="1">
      <c r="A196" s="804"/>
      <c r="B196" s="599"/>
      <c r="C196" s="599"/>
      <c r="D196" s="599"/>
      <c r="E196" s="806" t="s">
        <v>9</v>
      </c>
      <c r="F196" s="110">
        <f>SUM(F189:F195)</f>
        <v>858.47599999999989</v>
      </c>
      <c r="G196" s="806"/>
      <c r="H196" s="806"/>
      <c r="I196" s="97"/>
      <c r="J196" s="97"/>
      <c r="K196" s="111">
        <f>SUM(K189:K195)</f>
        <v>4308.8500000000004</v>
      </c>
      <c r="L196" s="111">
        <f>K196/F196</f>
        <v>5.0191851606800899</v>
      </c>
      <c r="M196" s="102"/>
    </row>
    <row r="197" spans="1:13" s="71" customFormat="1" ht="14.1" customHeight="1">
      <c r="A197" s="804">
        <v>7795</v>
      </c>
      <c r="B197" s="804" t="s">
        <v>1232</v>
      </c>
      <c r="C197" s="89" t="s">
        <v>1026</v>
      </c>
      <c r="D197" s="89" t="s">
        <v>1229</v>
      </c>
      <c r="E197" s="804" t="s">
        <v>93</v>
      </c>
      <c r="F197" s="98">
        <f>750*1.0936</f>
        <v>820.19999999999993</v>
      </c>
      <c r="G197" s="803" t="s">
        <v>209</v>
      </c>
      <c r="H197" s="79"/>
      <c r="I197" s="80">
        <v>2.1</v>
      </c>
      <c r="J197" s="81">
        <v>350</v>
      </c>
      <c r="K197" s="81">
        <f t="shared" ref="K197:K199" si="43">I197*J197</f>
        <v>735</v>
      </c>
      <c r="L197" s="102"/>
      <c r="M197" s="102"/>
    </row>
    <row r="198" spans="1:13" s="71" customFormat="1" ht="14.1" customHeight="1">
      <c r="A198" s="804"/>
      <c r="B198" s="804"/>
      <c r="C198" s="804"/>
      <c r="D198" s="804"/>
      <c r="E198" s="804"/>
      <c r="F198" s="804"/>
      <c r="G198" s="803" t="s">
        <v>888</v>
      </c>
      <c r="H198" s="109"/>
      <c r="I198" s="80">
        <v>0.1</v>
      </c>
      <c r="J198" s="81">
        <v>690</v>
      </c>
      <c r="K198" s="81">
        <f t="shared" si="43"/>
        <v>69</v>
      </c>
      <c r="L198" s="102"/>
      <c r="M198" s="102"/>
    </row>
    <row r="199" spans="1:13" s="71" customFormat="1" ht="14.1" customHeight="1">
      <c r="A199" s="804"/>
      <c r="B199" s="804"/>
      <c r="C199" s="804"/>
      <c r="D199" s="804"/>
      <c r="E199" s="804"/>
      <c r="F199" s="804"/>
      <c r="G199" s="803" t="s">
        <v>215</v>
      </c>
      <c r="H199" s="109"/>
      <c r="I199" s="80">
        <v>0.3</v>
      </c>
      <c r="J199" s="81">
        <v>750</v>
      </c>
      <c r="K199" s="81">
        <f t="shared" si="43"/>
        <v>225</v>
      </c>
      <c r="L199" s="102"/>
      <c r="M199" s="102"/>
    </row>
    <row r="200" spans="1:13" s="71" customFormat="1" ht="14.1" customHeight="1">
      <c r="A200" s="804"/>
      <c r="B200" s="804"/>
      <c r="C200" s="804"/>
      <c r="D200" s="804"/>
      <c r="E200" s="804"/>
      <c r="F200" s="804"/>
      <c r="G200" s="802" t="s">
        <v>211</v>
      </c>
      <c r="H200" s="79"/>
      <c r="I200" s="80">
        <v>12</v>
      </c>
      <c r="J200" s="81">
        <v>120</v>
      </c>
      <c r="K200" s="81">
        <f>I200*J200</f>
        <v>1440</v>
      </c>
      <c r="L200" s="102"/>
      <c r="M200" s="102"/>
    </row>
    <row r="201" spans="1:13" s="71" customFormat="1" ht="14.1" customHeight="1">
      <c r="A201" s="804"/>
      <c r="B201" s="804"/>
      <c r="C201" s="804"/>
      <c r="D201" s="804"/>
      <c r="E201" s="804"/>
      <c r="F201" s="804"/>
      <c r="G201" s="802" t="s">
        <v>45</v>
      </c>
      <c r="H201" s="79"/>
      <c r="I201" s="80">
        <v>1</v>
      </c>
      <c r="J201" s="81">
        <v>45</v>
      </c>
      <c r="K201" s="81">
        <f t="shared" ref="K201:K202" si="44">I201*J201</f>
        <v>45</v>
      </c>
      <c r="L201" s="102"/>
      <c r="M201" s="102"/>
    </row>
    <row r="202" spans="1:13" s="71" customFormat="1" ht="14.1" customHeight="1">
      <c r="A202" s="804"/>
      <c r="B202" s="599"/>
      <c r="C202" s="599"/>
      <c r="D202" s="599"/>
      <c r="E202" s="806"/>
      <c r="F202" s="110"/>
      <c r="G202" s="802" t="s">
        <v>213</v>
      </c>
      <c r="H202" s="79"/>
      <c r="I202" s="80">
        <v>1.2</v>
      </c>
      <c r="J202" s="81">
        <v>348</v>
      </c>
      <c r="K202" s="81">
        <f t="shared" si="44"/>
        <v>417.59999999999997</v>
      </c>
      <c r="L202" s="102"/>
      <c r="M202" s="102"/>
    </row>
    <row r="203" spans="1:13" s="71" customFormat="1" ht="14.1" customHeight="1">
      <c r="A203" s="804"/>
      <c r="B203" s="599"/>
      <c r="C203" s="599"/>
      <c r="D203" s="599"/>
      <c r="E203" s="806" t="s">
        <v>9</v>
      </c>
      <c r="F203" s="110">
        <f>SUM(F197:F202)</f>
        <v>820.19999999999993</v>
      </c>
      <c r="G203" s="806"/>
      <c r="H203" s="806"/>
      <c r="I203" s="97"/>
      <c r="J203" s="97"/>
      <c r="K203" s="111">
        <f>SUM(K197:K202)</f>
        <v>2931.6</v>
      </c>
      <c r="L203" s="111">
        <f>K203/F203</f>
        <v>3.5742501828822242</v>
      </c>
      <c r="M203" s="102"/>
    </row>
    <row r="204" spans="1:13" s="71" customFormat="1" ht="14.1" customHeight="1">
      <c r="A204" s="804">
        <v>7796</v>
      </c>
      <c r="B204" s="804" t="s">
        <v>1233</v>
      </c>
      <c r="C204" s="89" t="s">
        <v>1026</v>
      </c>
      <c r="D204" s="89" t="s">
        <v>1229</v>
      </c>
      <c r="E204" s="804" t="s">
        <v>93</v>
      </c>
      <c r="F204" s="98">
        <f>1350*1.0936</f>
        <v>1476.36</v>
      </c>
      <c r="G204" s="803" t="s">
        <v>209</v>
      </c>
      <c r="H204" s="79"/>
      <c r="I204" s="80">
        <v>1.6</v>
      </c>
      <c r="J204" s="81">
        <v>350</v>
      </c>
      <c r="K204" s="81">
        <f t="shared" ref="K204:K207" si="45">I204*J204</f>
        <v>560</v>
      </c>
      <c r="L204" s="154"/>
      <c r="M204" s="102"/>
    </row>
    <row r="205" spans="1:13" s="71" customFormat="1" ht="14.1" customHeight="1">
      <c r="A205" s="804"/>
      <c r="B205" s="599"/>
      <c r="C205" s="599"/>
      <c r="D205" s="599"/>
      <c r="E205" s="804"/>
      <c r="F205" s="98"/>
      <c r="G205" s="803" t="s">
        <v>123</v>
      </c>
      <c r="H205" s="804"/>
      <c r="I205" s="96">
        <v>0.5</v>
      </c>
      <c r="J205" s="81">
        <v>750</v>
      </c>
      <c r="K205" s="94">
        <f t="shared" si="45"/>
        <v>375</v>
      </c>
      <c r="L205" s="79"/>
      <c r="M205" s="102"/>
    </row>
    <row r="206" spans="1:13" s="71" customFormat="1" ht="14.1" customHeight="1">
      <c r="A206" s="804"/>
      <c r="B206" s="599"/>
      <c r="C206" s="599"/>
      <c r="D206" s="599"/>
      <c r="E206" s="804"/>
      <c r="F206" s="98"/>
      <c r="G206" s="803" t="s">
        <v>210</v>
      </c>
      <c r="H206" s="109"/>
      <c r="I206" s="80">
        <v>0.2</v>
      </c>
      <c r="J206" s="81">
        <v>690</v>
      </c>
      <c r="K206" s="81">
        <f t="shared" si="45"/>
        <v>138</v>
      </c>
      <c r="L206" s="102"/>
      <c r="M206" s="102"/>
    </row>
    <row r="207" spans="1:13" s="71" customFormat="1" ht="14.1" customHeight="1">
      <c r="A207" s="804"/>
      <c r="B207" s="599"/>
      <c r="C207" s="599"/>
      <c r="D207" s="599"/>
      <c r="E207" s="599"/>
      <c r="F207" s="98"/>
      <c r="G207" s="803" t="s">
        <v>221</v>
      </c>
      <c r="H207" s="112"/>
      <c r="I207" s="113">
        <v>0.1</v>
      </c>
      <c r="J207" s="81">
        <v>980</v>
      </c>
      <c r="K207" s="81">
        <f t="shared" si="45"/>
        <v>98</v>
      </c>
      <c r="L207" s="102"/>
      <c r="M207" s="102"/>
    </row>
    <row r="208" spans="1:13" s="71" customFormat="1" ht="14.1" customHeight="1">
      <c r="A208" s="804"/>
      <c r="B208" s="599"/>
      <c r="C208" s="599"/>
      <c r="D208" s="599"/>
      <c r="E208" s="806"/>
      <c r="F208" s="110"/>
      <c r="G208" s="802" t="s">
        <v>211</v>
      </c>
      <c r="H208" s="79"/>
      <c r="I208" s="80">
        <v>18</v>
      </c>
      <c r="J208" s="81">
        <v>120</v>
      </c>
      <c r="K208" s="81">
        <f>I208*J208</f>
        <v>2160</v>
      </c>
      <c r="L208" s="111"/>
      <c r="M208" s="102"/>
    </row>
    <row r="209" spans="1:13" s="71" customFormat="1" ht="14.1" customHeight="1">
      <c r="A209" s="804"/>
      <c r="B209" s="599"/>
      <c r="C209" s="599"/>
      <c r="D209" s="599"/>
      <c r="E209" s="599"/>
      <c r="F209" s="98"/>
      <c r="G209" s="802" t="s">
        <v>45</v>
      </c>
      <c r="H209" s="79"/>
      <c r="I209" s="80">
        <v>1.8</v>
      </c>
      <c r="J209" s="81">
        <v>45</v>
      </c>
      <c r="K209" s="81">
        <f t="shared" ref="K209:K210" si="46">I209*J209</f>
        <v>81</v>
      </c>
      <c r="L209" s="111"/>
      <c r="M209" s="102"/>
    </row>
    <row r="210" spans="1:13" s="71" customFormat="1" ht="14.1" customHeight="1">
      <c r="A210" s="804"/>
      <c r="B210" s="599"/>
      <c r="C210" s="599"/>
      <c r="D210" s="599"/>
      <c r="E210" s="599"/>
      <c r="F210" s="98"/>
      <c r="G210" s="802" t="s">
        <v>213</v>
      </c>
      <c r="H210" s="79"/>
      <c r="I210" s="80">
        <v>2.5</v>
      </c>
      <c r="J210" s="81">
        <v>348</v>
      </c>
      <c r="K210" s="81">
        <f t="shared" si="46"/>
        <v>870</v>
      </c>
      <c r="L210" s="111"/>
      <c r="M210" s="102"/>
    </row>
    <row r="211" spans="1:13" s="71" customFormat="1" ht="14.1" customHeight="1">
      <c r="A211" s="804"/>
      <c r="B211" s="599"/>
      <c r="C211" s="599"/>
      <c r="D211" s="599"/>
      <c r="E211" s="806" t="s">
        <v>9</v>
      </c>
      <c r="F211" s="110">
        <f>SUM(F204:F210)</f>
        <v>1476.36</v>
      </c>
      <c r="G211" s="806"/>
      <c r="H211" s="806"/>
      <c r="I211" s="97"/>
      <c r="J211" s="97"/>
      <c r="K211" s="111">
        <f>SUM(K204:K210)</f>
        <v>4282</v>
      </c>
      <c r="L211" s="111">
        <f>K211/F211</f>
        <v>2.900376601912813</v>
      </c>
      <c r="M211" s="102"/>
    </row>
    <row r="212" spans="1:13" s="71" customFormat="1" ht="14.1" customHeight="1">
      <c r="A212" s="804">
        <v>7797</v>
      </c>
      <c r="B212" s="804" t="s">
        <v>1141</v>
      </c>
      <c r="C212" s="804" t="s">
        <v>700</v>
      </c>
      <c r="D212" s="804" t="s">
        <v>297</v>
      </c>
      <c r="E212" s="805" t="s">
        <v>93</v>
      </c>
      <c r="F212" s="99">
        <f>2840*1.0936</f>
        <v>3105.8239999999996</v>
      </c>
      <c r="G212" s="803" t="s">
        <v>209</v>
      </c>
      <c r="H212" s="79"/>
      <c r="I212" s="80">
        <v>4.2</v>
      </c>
      <c r="J212" s="81">
        <v>350</v>
      </c>
      <c r="K212" s="81">
        <f t="shared" ref="K212:K214" si="47">I212*J212</f>
        <v>1470</v>
      </c>
      <c r="L212" s="154"/>
      <c r="M212" s="102"/>
    </row>
    <row r="213" spans="1:13" s="71" customFormat="1" ht="14.1" customHeight="1">
      <c r="A213" s="804"/>
      <c r="B213" s="599"/>
      <c r="C213" s="599"/>
      <c r="D213" s="599"/>
      <c r="E213" s="806"/>
      <c r="F213" s="110"/>
      <c r="G213" s="803" t="s">
        <v>215</v>
      </c>
      <c r="H213" s="109"/>
      <c r="I213" s="80">
        <v>2.5</v>
      </c>
      <c r="J213" s="81">
        <v>750</v>
      </c>
      <c r="K213" s="81">
        <f t="shared" si="47"/>
        <v>1875</v>
      </c>
      <c r="L213" s="102"/>
      <c r="M213" s="102"/>
    </row>
    <row r="214" spans="1:13" s="71" customFormat="1" ht="14.1" customHeight="1">
      <c r="A214" s="804"/>
      <c r="B214" s="599"/>
      <c r="C214" s="599"/>
      <c r="D214" s="599"/>
      <c r="E214" s="806"/>
      <c r="F214" s="110"/>
      <c r="G214" s="803" t="s">
        <v>677</v>
      </c>
      <c r="H214" s="804"/>
      <c r="I214" s="96">
        <v>0.66</v>
      </c>
      <c r="J214" s="81">
        <v>680</v>
      </c>
      <c r="K214" s="94">
        <f t="shared" si="47"/>
        <v>448.8</v>
      </c>
      <c r="L214" s="79"/>
      <c r="M214" s="102"/>
    </row>
    <row r="215" spans="1:13" s="71" customFormat="1" ht="14.1" customHeight="1">
      <c r="A215" s="804"/>
      <c r="B215" s="599"/>
      <c r="C215" s="599"/>
      <c r="D215" s="599"/>
      <c r="E215" s="806"/>
      <c r="F215" s="110"/>
      <c r="G215" s="802" t="s">
        <v>211</v>
      </c>
      <c r="H215" s="79"/>
      <c r="I215" s="80">
        <v>44</v>
      </c>
      <c r="J215" s="81">
        <v>120</v>
      </c>
      <c r="K215" s="81">
        <f>I215*J215</f>
        <v>5280</v>
      </c>
      <c r="L215" s="111"/>
      <c r="M215" s="102"/>
    </row>
    <row r="216" spans="1:13" s="71" customFormat="1" ht="14.1" customHeight="1">
      <c r="A216" s="804"/>
      <c r="B216" s="599"/>
      <c r="C216" s="599"/>
      <c r="D216" s="599"/>
      <c r="E216" s="806"/>
      <c r="F216" s="110"/>
      <c r="G216" s="802" t="s">
        <v>45</v>
      </c>
      <c r="H216" s="79"/>
      <c r="I216" s="80">
        <v>3</v>
      </c>
      <c r="J216" s="81">
        <v>45</v>
      </c>
      <c r="K216" s="81">
        <f t="shared" ref="K216:K217" si="48">I216*J216</f>
        <v>135</v>
      </c>
      <c r="L216" s="111"/>
      <c r="M216" s="102"/>
    </row>
    <row r="217" spans="1:13" s="71" customFormat="1" ht="14.1" customHeight="1">
      <c r="A217" s="804"/>
      <c r="B217" s="599"/>
      <c r="C217" s="599"/>
      <c r="D217" s="599"/>
      <c r="E217" s="806"/>
      <c r="F217" s="110"/>
      <c r="G217" s="802" t="s">
        <v>213</v>
      </c>
      <c r="H217" s="79"/>
      <c r="I217" s="80">
        <v>4</v>
      </c>
      <c r="J217" s="81">
        <v>348</v>
      </c>
      <c r="K217" s="81">
        <f t="shared" si="48"/>
        <v>1392</v>
      </c>
      <c r="L217" s="111"/>
      <c r="M217" s="102"/>
    </row>
    <row r="218" spans="1:13" s="71" customFormat="1" ht="14.1" customHeight="1">
      <c r="A218" s="804"/>
      <c r="B218" s="599"/>
      <c r="C218" s="599"/>
      <c r="D218" s="599"/>
      <c r="E218" s="806" t="s">
        <v>9</v>
      </c>
      <c r="F218" s="110">
        <f>SUM(F212:F217)</f>
        <v>3105.8239999999996</v>
      </c>
      <c r="G218" s="806"/>
      <c r="H218" s="806"/>
      <c r="I218" s="97"/>
      <c r="J218" s="97"/>
      <c r="K218" s="111">
        <f>SUM(K212:K217)</f>
        <v>10600.8</v>
      </c>
      <c r="L218" s="111">
        <f>K218/F218</f>
        <v>3.4132004904334567</v>
      </c>
      <c r="M218" s="102"/>
    </row>
    <row r="219" spans="1:13" s="71" customFormat="1" ht="14.1" customHeight="1">
      <c r="A219" s="804">
        <v>7798</v>
      </c>
      <c r="B219" s="804" t="s">
        <v>945</v>
      </c>
      <c r="C219" s="804" t="s">
        <v>217</v>
      </c>
      <c r="D219" s="804" t="s">
        <v>540</v>
      </c>
      <c r="E219" s="805" t="s">
        <v>93</v>
      </c>
      <c r="F219" s="99">
        <f>50*1.0936</f>
        <v>54.679999999999993</v>
      </c>
      <c r="G219" s="803" t="s">
        <v>209</v>
      </c>
      <c r="H219" s="79"/>
      <c r="I219" s="80">
        <v>0.5</v>
      </c>
      <c r="J219" s="81">
        <v>350</v>
      </c>
      <c r="K219" s="81">
        <f t="shared" ref="K219:K224" si="49">I219*J219</f>
        <v>175</v>
      </c>
      <c r="L219" s="102"/>
      <c r="M219" s="102"/>
    </row>
    <row r="220" spans="1:13" s="71" customFormat="1" ht="14.1" customHeight="1">
      <c r="A220" s="804"/>
      <c r="B220" s="804"/>
      <c r="C220" s="804"/>
      <c r="D220" s="804"/>
      <c r="E220" s="805"/>
      <c r="F220" s="108"/>
      <c r="G220" s="803" t="s">
        <v>888</v>
      </c>
      <c r="H220" s="109"/>
      <c r="I220" s="80">
        <v>1.1000000000000001</v>
      </c>
      <c r="J220" s="81">
        <v>690</v>
      </c>
      <c r="K220" s="81">
        <f t="shared" si="49"/>
        <v>759.00000000000011</v>
      </c>
      <c r="L220" s="102"/>
      <c r="M220" s="102"/>
    </row>
    <row r="221" spans="1:13" s="71" customFormat="1" ht="14.1" customHeight="1">
      <c r="A221" s="804"/>
      <c r="B221" s="804"/>
      <c r="C221" s="804"/>
      <c r="D221" s="804"/>
      <c r="E221" s="805"/>
      <c r="F221" s="108"/>
      <c r="G221" s="803" t="s">
        <v>677</v>
      </c>
      <c r="H221" s="804"/>
      <c r="I221" s="96">
        <v>0.02</v>
      </c>
      <c r="J221" s="81">
        <v>680</v>
      </c>
      <c r="K221" s="94">
        <f t="shared" si="49"/>
        <v>13.6</v>
      </c>
      <c r="L221" s="79"/>
      <c r="M221" s="102"/>
    </row>
    <row r="222" spans="1:13" s="71" customFormat="1" ht="14.1" customHeight="1">
      <c r="A222" s="804"/>
      <c r="B222" s="804"/>
      <c r="C222" s="804"/>
      <c r="D222" s="804"/>
      <c r="E222" s="805"/>
      <c r="F222" s="108"/>
      <c r="G222" s="803" t="s">
        <v>123</v>
      </c>
      <c r="H222" s="804"/>
      <c r="I222" s="96">
        <v>2</v>
      </c>
      <c r="J222" s="81">
        <v>750</v>
      </c>
      <c r="K222" s="94">
        <f t="shared" si="49"/>
        <v>1500</v>
      </c>
      <c r="L222" s="79"/>
      <c r="M222" s="102"/>
    </row>
    <row r="223" spans="1:13" s="71" customFormat="1" ht="14.1" customHeight="1">
      <c r="A223" s="804"/>
      <c r="B223" s="804"/>
      <c r="C223" s="804"/>
      <c r="D223" s="804"/>
      <c r="E223" s="805"/>
      <c r="F223" s="108"/>
      <c r="G223" s="803" t="s">
        <v>221</v>
      </c>
      <c r="H223" s="112"/>
      <c r="I223" s="113">
        <v>1.2</v>
      </c>
      <c r="J223" s="81">
        <v>980</v>
      </c>
      <c r="K223" s="81">
        <f t="shared" si="49"/>
        <v>1176</v>
      </c>
      <c r="L223" s="79"/>
      <c r="M223" s="102"/>
    </row>
    <row r="224" spans="1:13" s="71" customFormat="1" ht="14.1" customHeight="1">
      <c r="A224" s="804"/>
      <c r="B224" s="804"/>
      <c r="C224" s="804"/>
      <c r="D224" s="804"/>
      <c r="E224" s="805"/>
      <c r="F224" s="108"/>
      <c r="G224" s="803" t="s">
        <v>1230</v>
      </c>
      <c r="H224" s="109"/>
      <c r="I224" s="80">
        <v>0.5</v>
      </c>
      <c r="J224" s="81">
        <v>753</v>
      </c>
      <c r="K224" s="94">
        <f t="shared" si="49"/>
        <v>376.5</v>
      </c>
      <c r="L224" s="79"/>
      <c r="M224" s="102"/>
    </row>
    <row r="225" spans="1:13" s="71" customFormat="1" ht="14.1" customHeight="1">
      <c r="A225" s="804"/>
      <c r="B225" s="804"/>
      <c r="C225" s="804"/>
      <c r="D225" s="804"/>
      <c r="E225" s="805"/>
      <c r="F225" s="108"/>
      <c r="G225" s="802" t="s">
        <v>211</v>
      </c>
      <c r="H225" s="79"/>
      <c r="I225" s="80">
        <v>18</v>
      </c>
      <c r="J225" s="81">
        <v>120</v>
      </c>
      <c r="K225" s="81">
        <f>I225*J225</f>
        <v>2160</v>
      </c>
      <c r="L225" s="102"/>
      <c r="M225" s="102"/>
    </row>
    <row r="226" spans="1:13" s="71" customFormat="1" ht="14.1" customHeight="1">
      <c r="A226" s="804"/>
      <c r="B226" s="804"/>
      <c r="C226" s="804"/>
      <c r="D226" s="804"/>
      <c r="E226" s="805"/>
      <c r="F226" s="108"/>
      <c r="G226" s="802" t="s">
        <v>45</v>
      </c>
      <c r="H226" s="79"/>
      <c r="I226" s="80">
        <v>1.5</v>
      </c>
      <c r="J226" s="81">
        <v>45</v>
      </c>
      <c r="K226" s="81">
        <f t="shared" ref="K226:K227" si="50">I226*J226</f>
        <v>67.5</v>
      </c>
      <c r="L226" s="102"/>
      <c r="M226" s="102"/>
    </row>
    <row r="227" spans="1:13" s="71" customFormat="1" ht="14.1" customHeight="1">
      <c r="A227" s="804"/>
      <c r="B227" s="804"/>
      <c r="C227" s="804"/>
      <c r="D227" s="804"/>
      <c r="E227" s="805"/>
      <c r="F227" s="108"/>
      <c r="G227" s="802" t="s">
        <v>213</v>
      </c>
      <c r="H227" s="79"/>
      <c r="I227" s="80">
        <v>2</v>
      </c>
      <c r="J227" s="81">
        <v>348</v>
      </c>
      <c r="K227" s="81">
        <f t="shared" si="50"/>
        <v>696</v>
      </c>
      <c r="L227" s="102"/>
      <c r="M227" s="102"/>
    </row>
    <row r="228" spans="1:13" s="71" customFormat="1" ht="14.1" customHeight="1">
      <c r="A228" s="804"/>
      <c r="B228" s="599"/>
      <c r="C228" s="599"/>
      <c r="D228" s="599"/>
      <c r="E228" s="806" t="s">
        <v>9</v>
      </c>
      <c r="F228" s="110">
        <f>SUM(F219:F227)</f>
        <v>54.679999999999993</v>
      </c>
      <c r="G228" s="806"/>
      <c r="H228" s="806"/>
      <c r="I228" s="97"/>
      <c r="J228" s="97"/>
      <c r="K228" s="111">
        <f>SUM(K219:K227)</f>
        <v>6923.6</v>
      </c>
      <c r="L228" s="155">
        <f>K228/F228</f>
        <v>126.62033650329191</v>
      </c>
      <c r="M228" s="806" t="s">
        <v>249</v>
      </c>
    </row>
    <row r="229" spans="1:13" s="71" customFormat="1" ht="14.1" customHeight="1">
      <c r="D229" s="126" t="s">
        <v>30</v>
      </c>
      <c r="E229" s="126"/>
      <c r="F229" s="127">
        <f>F188+F196+F203+F211+F218+F228</f>
        <v>6337.4119999999994</v>
      </c>
      <c r="G229" s="128"/>
      <c r="H229" s="128"/>
      <c r="I229" s="128"/>
      <c r="J229" s="128"/>
      <c r="K229" s="127">
        <f>K188+K196+K203+K211+K218+K228</f>
        <v>42038.639999999992</v>
      </c>
      <c r="L229" s="129">
        <f>K229/F229</f>
        <v>6.6334080851931354</v>
      </c>
    </row>
    <row r="230" spans="1:13" s="71" customFormat="1" ht="14.1" customHeight="1"/>
    <row r="231" spans="1:13" s="71" customFormat="1" ht="14.1" customHeight="1"/>
    <row r="232" spans="1:13" s="71" customFormat="1" ht="14.1" customHeight="1">
      <c r="B232" s="107"/>
      <c r="C232" s="107"/>
      <c r="D232" s="133" t="s">
        <v>1009</v>
      </c>
      <c r="E232" s="405">
        <f>F127+F229</f>
        <v>51366.392</v>
      </c>
      <c r="F232" s="133"/>
      <c r="G232" s="134">
        <f>K26+K59+K68+K74+K127+K150+K173+K229</f>
        <v>478910.69799999997</v>
      </c>
      <c r="H232" s="135"/>
      <c r="I232" s="135"/>
      <c r="J232" s="135"/>
      <c r="K232" s="135"/>
      <c r="L232" s="134">
        <f>G232/E232</f>
        <v>9.3234248961850383</v>
      </c>
    </row>
    <row r="233" spans="1:13" s="71" customFormat="1" ht="14.1" customHeight="1">
      <c r="B233" s="107"/>
      <c r="C233" s="107"/>
      <c r="D233" s="109" t="s">
        <v>855</v>
      </c>
      <c r="E233" s="406"/>
      <c r="F233" s="109"/>
      <c r="G233" s="359">
        <f>K77+K78+K79+K85+K86+K87+K91+K92+K93+K97+K98+K99+K103+K104+K105+K109+K110+K111+K115+K116+K117+K121+K122+K123+K176+K177+K178+K179+K180+K181+K182+K189+K80+K81+K190+K191+K197+K198+K199+K204+K205+K206+K207+K212+K213+K214+K219+K220+K221+K222+K223+K224</f>
        <v>128377.79800000002</v>
      </c>
      <c r="H233" s="370"/>
      <c r="I233" s="359">
        <f>'27'!I164+'28'!G233</f>
        <v>2013364.537</v>
      </c>
      <c r="J233" s="416">
        <f>G233+M246</f>
        <v>129114.11800000003</v>
      </c>
      <c r="K233" s="360"/>
      <c r="L233" s="396"/>
    </row>
    <row r="234" spans="1:13" s="71" customFormat="1" ht="14.1" customHeight="1">
      <c r="B234" s="107"/>
      <c r="C234" s="107"/>
      <c r="D234" s="323" t="s">
        <v>854</v>
      </c>
      <c r="E234" s="361"/>
      <c r="F234" s="323"/>
      <c r="G234" s="397">
        <f>G232-G233</f>
        <v>350532.89999999997</v>
      </c>
      <c r="H234" s="398"/>
      <c r="I234" s="359">
        <f>'27'!I165+'28'!G234</f>
        <v>4376122.2810000004</v>
      </c>
      <c r="J234" s="400"/>
      <c r="K234" s="400"/>
      <c r="L234" s="401"/>
    </row>
    <row r="235" spans="1:13" s="71" customFormat="1" ht="14.1" customHeight="1">
      <c r="B235" s="107"/>
      <c r="C235" s="107"/>
      <c r="D235" s="109" t="s">
        <v>853</v>
      </c>
      <c r="E235" s="407"/>
      <c r="F235" s="109"/>
      <c r="G235" s="410">
        <f>SUM(G233:G234)</f>
        <v>478910.69799999997</v>
      </c>
      <c r="H235" s="402"/>
      <c r="I235" s="403">
        <f>'01'!G218+'02'!G265+'03'!G358+'04'!G268</f>
        <v>0</v>
      </c>
      <c r="J235" s="402"/>
      <c r="K235" s="402"/>
      <c r="L235" s="404">
        <f>G235/E232</f>
        <v>9.3234248961850383</v>
      </c>
    </row>
    <row r="236" spans="1:13" s="71" customFormat="1" ht="14.1" customHeight="1">
      <c r="B236" s="107"/>
      <c r="C236" s="107"/>
      <c r="D236" s="395" t="s">
        <v>906</v>
      </c>
      <c r="E236" s="408"/>
      <c r="F236" s="109"/>
      <c r="G236" s="409">
        <f>M246</f>
        <v>736.32</v>
      </c>
      <c r="H236" s="392"/>
      <c r="I236" s="391"/>
      <c r="J236" s="391"/>
      <c r="K236" s="393"/>
    </row>
    <row r="237" spans="1:13" s="71" customFormat="1" ht="14.1" customHeight="1">
      <c r="B237" s="107"/>
      <c r="C237" s="107"/>
      <c r="D237" s="106"/>
      <c r="E237" s="106"/>
      <c r="F237" s="106"/>
      <c r="G237" s="106"/>
      <c r="H237" s="246"/>
      <c r="I237" s="106"/>
      <c r="J237" s="106"/>
      <c r="K237" s="106"/>
      <c r="L237" s="106"/>
    </row>
    <row r="238" spans="1:13" s="71" customFormat="1" ht="14.1" customHeight="1">
      <c r="B238" s="28"/>
      <c r="C238" s="28"/>
      <c r="D238" s="829" t="s">
        <v>852</v>
      </c>
      <c r="E238" s="829"/>
      <c r="F238" s="357">
        <f>G258</f>
        <v>297200</v>
      </c>
      <c r="G238" s="29"/>
      <c r="H238" s="500" t="s">
        <v>908</v>
      </c>
      <c r="I238" s="830" t="s">
        <v>199</v>
      </c>
      <c r="J238" s="831"/>
      <c r="K238" s="80"/>
      <c r="L238" s="81">
        <v>530</v>
      </c>
      <c r="M238" s="81">
        <f t="shared" ref="M238:M243" si="51">K238*L238</f>
        <v>0</v>
      </c>
    </row>
    <row r="239" spans="1:13" s="71" customFormat="1" ht="14.1" customHeight="1">
      <c r="B239" s="28"/>
      <c r="C239" s="28"/>
      <c r="D239" s="829" t="s">
        <v>835</v>
      </c>
      <c r="E239" s="829"/>
      <c r="F239" s="357">
        <f>G244+G245</f>
        <v>0</v>
      </c>
      <c r="G239" s="29"/>
      <c r="H239" s="500" t="s">
        <v>909</v>
      </c>
      <c r="I239" s="830" t="s">
        <v>196</v>
      </c>
      <c r="J239" s="831"/>
      <c r="K239" s="80"/>
      <c r="L239" s="81">
        <v>888</v>
      </c>
      <c r="M239" s="81">
        <f t="shared" si="51"/>
        <v>0</v>
      </c>
    </row>
    <row r="240" spans="1:13" s="71" customFormat="1" ht="14.1" customHeight="1">
      <c r="B240" s="28"/>
      <c r="C240" s="28"/>
      <c r="D240" s="829" t="s">
        <v>836</v>
      </c>
      <c r="E240" s="829"/>
      <c r="F240" s="357">
        <f>SUM(F238:F239)</f>
        <v>297200</v>
      </c>
      <c r="G240" s="29"/>
      <c r="H240" s="500" t="s">
        <v>910</v>
      </c>
      <c r="I240" s="830" t="s">
        <v>192</v>
      </c>
      <c r="J240" s="831"/>
      <c r="K240" s="80"/>
      <c r="L240" s="81">
        <v>1126</v>
      </c>
      <c r="M240" s="81">
        <f t="shared" si="51"/>
        <v>0</v>
      </c>
    </row>
    <row r="241" spans="1:13" s="71" customFormat="1" ht="14.1" customHeight="1">
      <c r="B241" s="28"/>
      <c r="C241" s="28"/>
      <c r="D241" s="799" t="s">
        <v>847</v>
      </c>
      <c r="E241" s="799"/>
      <c r="F241" s="357">
        <f>F238-G234</f>
        <v>-53332.899999999965</v>
      </c>
      <c r="G241" s="29"/>
      <c r="H241" s="500" t="s">
        <v>908</v>
      </c>
      <c r="I241" s="832" t="s">
        <v>460</v>
      </c>
      <c r="J241" s="833"/>
      <c r="K241" s="80">
        <v>0.04</v>
      </c>
      <c r="L241" s="81">
        <v>920</v>
      </c>
      <c r="M241" s="81">
        <f t="shared" si="51"/>
        <v>36.800000000000004</v>
      </c>
    </row>
    <row r="242" spans="1:13" s="71" customFormat="1" ht="14.1" customHeight="1">
      <c r="B242" s="28"/>
      <c r="C242" s="28"/>
      <c r="D242" s="29"/>
      <c r="E242" s="29"/>
      <c r="F242" s="29"/>
      <c r="G242" s="29"/>
      <c r="H242" s="500" t="s">
        <v>912</v>
      </c>
      <c r="I242" s="834" t="s">
        <v>315</v>
      </c>
      <c r="J242" s="835"/>
      <c r="K242" s="80">
        <f>0.26+0.02</f>
        <v>0.28000000000000003</v>
      </c>
      <c r="L242" s="81">
        <v>2184</v>
      </c>
      <c r="M242" s="81">
        <f t="shared" si="51"/>
        <v>611.5200000000001</v>
      </c>
    </row>
    <row r="243" spans="1:13" s="71" customFormat="1" ht="14.1" customHeight="1">
      <c r="B243" s="836" t="s">
        <v>833</v>
      </c>
      <c r="C243" s="837"/>
      <c r="D243" s="805" t="s">
        <v>844</v>
      </c>
      <c r="E243" s="805" t="s">
        <v>845</v>
      </c>
      <c r="F243" s="805" t="s">
        <v>846</v>
      </c>
      <c r="G243" s="805" t="s">
        <v>5</v>
      </c>
      <c r="H243" s="500" t="s">
        <v>911</v>
      </c>
      <c r="I243" s="832" t="s">
        <v>183</v>
      </c>
      <c r="J243" s="833"/>
      <c r="K243" s="80">
        <v>5.5E-2</v>
      </c>
      <c r="L243" s="81">
        <v>1600</v>
      </c>
      <c r="M243" s="81">
        <f t="shared" si="51"/>
        <v>88</v>
      </c>
    </row>
    <row r="244" spans="1:13" s="71" customFormat="1" ht="14.1" customHeight="1">
      <c r="B244" s="28"/>
      <c r="C244" s="28"/>
      <c r="D244" s="805" t="s">
        <v>837</v>
      </c>
      <c r="E244" s="109">
        <v>15.5</v>
      </c>
      <c r="F244" s="122"/>
      <c r="G244" s="357">
        <f>F244*E244</f>
        <v>0</v>
      </c>
      <c r="H244" s="500" t="s">
        <v>909</v>
      </c>
      <c r="I244" s="838"/>
      <c r="J244" s="839"/>
      <c r="K244" s="102"/>
      <c r="L244" s="102"/>
      <c r="M244" s="388"/>
    </row>
    <row r="245" spans="1:13" s="71" customFormat="1" ht="14.1" customHeight="1">
      <c r="B245" s="28"/>
      <c r="C245" s="28"/>
      <c r="D245" s="805" t="s">
        <v>1062</v>
      </c>
      <c r="E245" s="109">
        <v>34</v>
      </c>
      <c r="F245" s="122"/>
      <c r="G245" s="329">
        <f t="shared" ref="G245" si="52">F245*E245</f>
        <v>0</v>
      </c>
      <c r="H245" s="500" t="s">
        <v>911</v>
      </c>
      <c r="I245" s="847"/>
      <c r="J245" s="848"/>
      <c r="K245" s="109"/>
      <c r="L245" s="109"/>
      <c r="M245" s="102"/>
    </row>
    <row r="246" spans="1:13" s="71" customFormat="1" ht="14.1" customHeight="1">
      <c r="A246" s="800"/>
      <c r="B246" s="29"/>
      <c r="C246" s="29"/>
      <c r="D246" s="322" t="s">
        <v>843</v>
      </c>
      <c r="E246" s="317"/>
      <c r="F246" s="492">
        <f>SUM(F244:F245)</f>
        <v>0</v>
      </c>
      <c r="G246" s="440">
        <f>SUM(G244:G245)</f>
        <v>0</v>
      </c>
      <c r="H246" s="106"/>
      <c r="I246" s="844" t="s">
        <v>906</v>
      </c>
      <c r="J246" s="845"/>
      <c r="K246" s="490">
        <f>SUM(K238:K245)</f>
        <v>0.375</v>
      </c>
      <c r="L246" s="104"/>
      <c r="M246" s="489">
        <f>SUM(M238:M245)</f>
        <v>736.32</v>
      </c>
    </row>
    <row r="247" spans="1:13" s="71" customFormat="1" ht="14.1" customHeight="1">
      <c r="B247" s="28"/>
      <c r="C247" s="28"/>
      <c r="D247" s="805" t="s">
        <v>1070</v>
      </c>
      <c r="E247" s="109">
        <v>227</v>
      </c>
      <c r="F247" s="122">
        <v>120</v>
      </c>
      <c r="G247" s="357">
        <f t="shared" ref="G247:G257" si="53">F247*E247</f>
        <v>27240</v>
      </c>
      <c r="H247" s="106"/>
      <c r="I247" s="106"/>
      <c r="J247" s="106"/>
      <c r="K247" s="106"/>
      <c r="L247" s="106"/>
      <c r="M247" s="263">
        <f>G233+M246</f>
        <v>129114.11800000003</v>
      </c>
    </row>
    <row r="248" spans="1:13" s="71" customFormat="1" ht="14.1" customHeight="1">
      <c r="B248" s="28"/>
      <c r="C248" s="28"/>
      <c r="D248" s="805" t="s">
        <v>1065</v>
      </c>
      <c r="E248" s="389">
        <v>165</v>
      </c>
      <c r="F248" s="122">
        <f>120+120+120</f>
        <v>360</v>
      </c>
      <c r="G248" s="357">
        <f t="shared" si="53"/>
        <v>59400</v>
      </c>
      <c r="H248" s="106"/>
      <c r="I248" s="106"/>
      <c r="J248" s="106"/>
      <c r="K248" s="106"/>
      <c r="L248" s="106"/>
    </row>
    <row r="249" spans="1:13" s="71" customFormat="1" ht="14.1" customHeight="1">
      <c r="B249" s="28"/>
      <c r="C249" s="28"/>
      <c r="D249" s="807" t="s">
        <v>1066</v>
      </c>
      <c r="E249" s="389">
        <v>165</v>
      </c>
      <c r="F249" s="122">
        <v>250</v>
      </c>
      <c r="G249" s="357">
        <f t="shared" si="53"/>
        <v>41250</v>
      </c>
      <c r="H249" s="106"/>
      <c r="I249" s="106"/>
      <c r="J249" s="106"/>
      <c r="K249" s="106"/>
      <c r="L249" s="106"/>
    </row>
    <row r="250" spans="1:13" s="71" customFormat="1" ht="14.1" customHeight="1">
      <c r="B250" s="28"/>
      <c r="C250" s="28"/>
      <c r="D250" s="805" t="s">
        <v>1067</v>
      </c>
      <c r="E250" s="389">
        <v>416</v>
      </c>
      <c r="F250" s="122">
        <v>60</v>
      </c>
      <c r="G250" s="357">
        <f t="shared" si="53"/>
        <v>24960</v>
      </c>
      <c r="H250" s="106"/>
      <c r="I250" s="106"/>
      <c r="J250" s="106"/>
      <c r="K250" s="106"/>
      <c r="L250" s="106"/>
    </row>
    <row r="251" spans="1:13" s="71" customFormat="1" ht="14.1" customHeight="1">
      <c r="B251" s="28"/>
      <c r="C251" s="28"/>
      <c r="D251" s="805" t="s">
        <v>1241</v>
      </c>
      <c r="E251" s="389">
        <v>46</v>
      </c>
      <c r="F251" s="122">
        <v>725</v>
      </c>
      <c r="G251" s="357">
        <f t="shared" si="53"/>
        <v>33350</v>
      </c>
      <c r="H251" s="107"/>
      <c r="I251" s="107"/>
      <c r="J251" s="107"/>
      <c r="K251" s="107"/>
      <c r="L251" s="107"/>
    </row>
    <row r="252" spans="1:13" s="71" customFormat="1" ht="14.1" customHeight="1">
      <c r="B252" s="28"/>
      <c r="C252" s="28"/>
      <c r="D252" s="805" t="s">
        <v>1242</v>
      </c>
      <c r="E252" s="109">
        <v>22</v>
      </c>
      <c r="F252" s="122">
        <v>2000</v>
      </c>
      <c r="G252" s="357">
        <f t="shared" si="53"/>
        <v>44000</v>
      </c>
    </row>
    <row r="253" spans="1:13" s="71" customFormat="1" ht="14.1" customHeight="1">
      <c r="B253" s="28"/>
      <c r="C253" s="28"/>
      <c r="D253" s="805" t="s">
        <v>1062</v>
      </c>
      <c r="E253" s="109">
        <v>34</v>
      </c>
      <c r="F253" s="122"/>
      <c r="G253" s="357">
        <f t="shared" si="53"/>
        <v>0</v>
      </c>
    </row>
    <row r="254" spans="1:13" s="71" customFormat="1" ht="14.1" customHeight="1">
      <c r="B254" s="28"/>
      <c r="C254" s="28"/>
      <c r="D254" s="805" t="s">
        <v>24</v>
      </c>
      <c r="E254" s="109">
        <v>74</v>
      </c>
      <c r="F254" s="122">
        <v>500</v>
      </c>
      <c r="G254" s="357">
        <f t="shared" si="53"/>
        <v>37000</v>
      </c>
    </row>
    <row r="255" spans="1:13" s="71" customFormat="1" ht="14.1" customHeight="1">
      <c r="B255" s="28"/>
      <c r="C255" s="28"/>
      <c r="D255" s="816" t="s">
        <v>968</v>
      </c>
      <c r="E255" s="109">
        <v>360</v>
      </c>
      <c r="F255" s="122">
        <v>50</v>
      </c>
      <c r="G255" s="357">
        <f t="shared" si="53"/>
        <v>18000</v>
      </c>
    </row>
    <row r="256" spans="1:13" s="71" customFormat="1" ht="14.1" customHeight="1">
      <c r="B256"/>
      <c r="C256"/>
      <c r="D256" s="816" t="s">
        <v>211</v>
      </c>
      <c r="E256" s="109">
        <v>120</v>
      </c>
      <c r="F256" s="122">
        <v>100</v>
      </c>
      <c r="G256" s="357">
        <f t="shared" si="53"/>
        <v>12000</v>
      </c>
    </row>
    <row r="257" spans="1:13" s="71" customFormat="1" ht="14.1" customHeight="1">
      <c r="B257"/>
      <c r="C257"/>
      <c r="D257" s="805" t="s">
        <v>839</v>
      </c>
      <c r="E257" s="109">
        <v>120</v>
      </c>
      <c r="F257" s="122"/>
      <c r="G257" s="357">
        <f t="shared" si="53"/>
        <v>0</v>
      </c>
    </row>
    <row r="258" spans="1:13" s="71" customFormat="1" ht="14.1" customHeight="1">
      <c r="B258"/>
      <c r="C258"/>
      <c r="D258" s="331" t="s">
        <v>843</v>
      </c>
      <c r="E258" s="109"/>
      <c r="F258" s="122">
        <f>SUM(F247:F257)</f>
        <v>4165</v>
      </c>
      <c r="G258" s="357">
        <f>SUM(G247:G257)</f>
        <v>297200</v>
      </c>
    </row>
    <row r="259" spans="1:13" s="71" customFormat="1" ht="14.1" customHeight="1">
      <c r="B259"/>
      <c r="C259"/>
      <c r="D259" s="322" t="s">
        <v>969</v>
      </c>
      <c r="E259" s="317"/>
      <c r="F259" s="492">
        <f>F246+F258</f>
        <v>4165</v>
      </c>
      <c r="G259" s="440">
        <f>G246+G258</f>
        <v>297200</v>
      </c>
    </row>
    <row r="260" spans="1:13" s="71" customFormat="1" ht="14.1" customHeight="1"/>
    <row r="261" spans="1:13" s="71" customFormat="1" ht="14.1" customHeight="1"/>
    <row r="262" spans="1:13" s="71" customFormat="1" ht="14.1" customHeight="1"/>
    <row r="263" spans="1:13" s="71" customFormat="1" ht="14.1" customHeight="1"/>
    <row r="264" spans="1:13" s="71" customFormat="1" ht="14.1" customHeight="1"/>
    <row r="265" spans="1:13" ht="14.1" customHeight="1"/>
    <row r="266" spans="1:13" s="64" customFormat="1" ht="14.1" customHeight="1">
      <c r="A266" s="840" t="s">
        <v>240</v>
      </c>
      <c r="B266" s="840"/>
      <c r="C266" s="840" t="s">
        <v>765</v>
      </c>
      <c r="D266" s="840"/>
      <c r="E266" s="840" t="s">
        <v>764</v>
      </c>
      <c r="F266" s="840"/>
      <c r="G266" s="380" t="s">
        <v>66</v>
      </c>
      <c r="H266" s="840" t="s">
        <v>411</v>
      </c>
      <c r="I266" s="840"/>
      <c r="J266" s="840"/>
      <c r="K266" s="840" t="s">
        <v>68</v>
      </c>
      <c r="L266" s="840"/>
      <c r="M266" s="840"/>
    </row>
  </sheetData>
  <mergeCells count="29">
    <mergeCell ref="K266:M266"/>
    <mergeCell ref="I244:J244"/>
    <mergeCell ref="I245:J245"/>
    <mergeCell ref="I246:J246"/>
    <mergeCell ref="A266:B266"/>
    <mergeCell ref="C266:D266"/>
    <mergeCell ref="E266:F266"/>
    <mergeCell ref="H266:J266"/>
    <mergeCell ref="D240:E240"/>
    <mergeCell ref="I240:J240"/>
    <mergeCell ref="I241:J241"/>
    <mergeCell ref="I242:J242"/>
    <mergeCell ref="B243:C243"/>
    <mergeCell ref="I243:J243"/>
    <mergeCell ref="K60:M60"/>
    <mergeCell ref="K69:M69"/>
    <mergeCell ref="K75:M75"/>
    <mergeCell ref="K128:M128"/>
    <mergeCell ref="K151:M151"/>
    <mergeCell ref="K4:M4"/>
    <mergeCell ref="K27:M27"/>
    <mergeCell ref="A1:M1"/>
    <mergeCell ref="A2:M2"/>
    <mergeCell ref="A3:M3"/>
    <mergeCell ref="K174:M174"/>
    <mergeCell ref="D238:E238"/>
    <mergeCell ref="D239:E239"/>
    <mergeCell ref="I238:J238"/>
    <mergeCell ref="I239:J239"/>
  </mergeCells>
  <pageMargins left="0.45" right="0.2" top="0.25" bottom="0.25" header="0.3" footer="0.3"/>
  <pageSetup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30"/>
  <sheetViews>
    <sheetView topLeftCell="A73" workbookViewId="0">
      <selection activeCell="B79" sqref="B79:F79"/>
    </sheetView>
  </sheetViews>
  <sheetFormatPr defaultRowHeight="15"/>
  <cols>
    <col min="1" max="1" width="8.7109375" customWidth="1"/>
    <col min="2" max="2" width="11.140625" customWidth="1"/>
    <col min="3" max="3" width="12.5703125" bestFit="1" customWidth="1"/>
    <col min="4" max="4" width="19.5703125" customWidth="1"/>
    <col min="5" max="5" width="12.85546875" customWidth="1"/>
    <col min="6" max="6" width="10.5703125" bestFit="1" customWidth="1"/>
    <col min="7" max="7" width="24.140625" customWidth="1"/>
    <col min="8" max="8" width="6.42578125" bestFit="1" customWidth="1"/>
    <col min="9" max="10" width="10.5703125" bestFit="1" customWidth="1"/>
    <col min="11" max="11" width="11.5703125" bestFit="1" customWidth="1"/>
    <col min="12" max="12" width="9.42578125" customWidth="1"/>
    <col min="13" max="13" width="10.5703125" customWidth="1"/>
    <col min="14" max="14" width="12.7109375" customWidth="1"/>
  </cols>
  <sheetData>
    <row r="1" spans="1:14" ht="23.25">
      <c r="A1" s="846" t="s">
        <v>146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383"/>
    </row>
    <row r="2" spans="1:14" ht="14.1" customHeight="1">
      <c r="A2" s="827" t="s">
        <v>147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384"/>
    </row>
    <row r="3" spans="1:14" s="9" customFormat="1" ht="14.1" customHeight="1">
      <c r="A3" s="828" t="s">
        <v>148</v>
      </c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  <c r="M3" s="828"/>
      <c r="N3" s="385"/>
    </row>
    <row r="4" spans="1:14" ht="14.1" customHeight="1">
      <c r="A4" s="70" t="s">
        <v>21</v>
      </c>
      <c r="B4" s="70"/>
      <c r="C4" s="70"/>
      <c r="D4" s="70"/>
      <c r="E4" s="70"/>
      <c r="F4" s="71"/>
      <c r="G4" s="71"/>
      <c r="H4" s="71"/>
      <c r="I4" s="71"/>
      <c r="J4" s="71"/>
      <c r="K4" s="824" t="s">
        <v>1221</v>
      </c>
      <c r="L4" s="824"/>
      <c r="M4" s="824"/>
      <c r="N4" s="71"/>
    </row>
    <row r="5" spans="1:14" ht="14.1" customHeight="1">
      <c r="A5" s="172" t="s">
        <v>0</v>
      </c>
      <c r="B5" s="172" t="s">
        <v>7</v>
      </c>
      <c r="C5" s="172" t="s">
        <v>13</v>
      </c>
      <c r="D5" s="172" t="s">
        <v>14</v>
      </c>
      <c r="E5" s="172" t="s">
        <v>8</v>
      </c>
      <c r="F5" s="172" t="s">
        <v>1</v>
      </c>
      <c r="G5" s="592" t="s">
        <v>1222</v>
      </c>
      <c r="H5" s="172" t="s">
        <v>15</v>
      </c>
      <c r="I5" s="172" t="s">
        <v>3</v>
      </c>
      <c r="J5" s="172" t="s">
        <v>4</v>
      </c>
      <c r="K5" s="172" t="s">
        <v>5</v>
      </c>
      <c r="L5" s="172" t="s">
        <v>12</v>
      </c>
      <c r="M5" s="172" t="s">
        <v>6</v>
      </c>
      <c r="N5" s="71"/>
    </row>
    <row r="6" spans="1:14" ht="14.1" customHeight="1">
      <c r="A6" s="85">
        <v>1</v>
      </c>
      <c r="B6" s="605" t="s">
        <v>1223</v>
      </c>
      <c r="C6" s="605" t="s">
        <v>121</v>
      </c>
      <c r="D6" s="605" t="s">
        <v>1093</v>
      </c>
      <c r="E6" s="606"/>
      <c r="F6" s="98">
        <f>20048*1.0936</f>
        <v>21924.492799999996</v>
      </c>
      <c r="G6" s="120" t="s">
        <v>170</v>
      </c>
      <c r="H6" s="79"/>
      <c r="I6" s="80">
        <v>25</v>
      </c>
      <c r="J6" s="81">
        <v>227</v>
      </c>
      <c r="K6" s="81">
        <f t="shared" ref="K6:K7" si="0">I6*J6</f>
        <v>5675</v>
      </c>
      <c r="L6" s="102"/>
      <c r="M6" s="156" t="e">
        <f>I6+I10+#REF!+#REF!+#REF!+#REF!+#REF!+#REF!</f>
        <v>#REF!</v>
      </c>
      <c r="N6" s="120" t="s">
        <v>173</v>
      </c>
    </row>
    <row r="7" spans="1:14" ht="14.1" customHeight="1">
      <c r="A7" s="85"/>
      <c r="B7" s="120"/>
      <c r="C7" s="120"/>
      <c r="D7" s="120"/>
      <c r="E7" s="85"/>
      <c r="F7" s="98"/>
      <c r="G7" s="120" t="s">
        <v>171</v>
      </c>
      <c r="H7" s="79"/>
      <c r="I7" s="80">
        <v>15</v>
      </c>
      <c r="J7" s="81">
        <v>416</v>
      </c>
      <c r="K7" s="81">
        <f t="shared" si="0"/>
        <v>6240</v>
      </c>
      <c r="L7" s="102"/>
      <c r="M7" s="156" t="e">
        <f>I7+I11+#REF!+#REF!+#REF!+#REF!+#REF!+#REF!+I19+#REF!+#REF!+#REF!+#REF!+#REF!+#REF!</f>
        <v>#REF!</v>
      </c>
      <c r="N7" s="120" t="s">
        <v>174</v>
      </c>
    </row>
    <row r="8" spans="1:14" ht="14.1" customHeight="1">
      <c r="A8" s="85"/>
      <c r="B8" s="120"/>
      <c r="C8" s="120"/>
      <c r="D8" s="120"/>
      <c r="E8" s="85"/>
      <c r="F8" s="98"/>
      <c r="G8" s="120" t="s">
        <v>172</v>
      </c>
      <c r="H8" s="79"/>
      <c r="I8" s="80">
        <v>10</v>
      </c>
      <c r="J8" s="81">
        <v>165</v>
      </c>
      <c r="K8" s="81">
        <f>I8*J8</f>
        <v>1650</v>
      </c>
      <c r="L8" s="102"/>
      <c r="M8" s="156" t="e">
        <f>I8+I12+#REF!+#REF!+#REF!+#REF!+#REF!+#REF!+I20+#REF!+#REF!+#REF!+#REF!+#REF!+#REF!</f>
        <v>#REF!</v>
      </c>
      <c r="N8" s="120" t="s">
        <v>172</v>
      </c>
    </row>
    <row r="9" spans="1:14" ht="14.1" customHeight="1">
      <c r="A9" s="85"/>
      <c r="B9" s="85"/>
      <c r="C9" s="85"/>
      <c r="D9" s="85"/>
      <c r="E9" s="172" t="s">
        <v>9</v>
      </c>
      <c r="F9" s="110">
        <f>SUM(F6:F8)</f>
        <v>21924.492799999996</v>
      </c>
      <c r="G9" s="172"/>
      <c r="H9" s="172"/>
      <c r="I9" s="125"/>
      <c r="J9" s="97"/>
      <c r="K9" s="111">
        <f>SUM(K6:K8)</f>
        <v>13565</v>
      </c>
      <c r="L9" s="111">
        <f>K9/F9</f>
        <v>0.61871442699919621</v>
      </c>
      <c r="M9" s="156" t="e">
        <f>I17+#REF!+#REF!+#REF!+#REF!+#REF!+#REF!+#REF!+#REF!+#REF!+#REF!+#REF!</f>
        <v>#REF!</v>
      </c>
      <c r="N9" s="120" t="s">
        <v>24</v>
      </c>
    </row>
    <row r="10" spans="1:14" ht="14.1" customHeight="1">
      <c r="A10" s="85">
        <v>2</v>
      </c>
      <c r="B10" s="605" t="s">
        <v>1224</v>
      </c>
      <c r="C10" s="605" t="s">
        <v>1040</v>
      </c>
      <c r="D10" s="605" t="s">
        <v>1225</v>
      </c>
      <c r="E10" s="267"/>
      <c r="F10" s="98">
        <f>8760*1.0936</f>
        <v>9579.9359999999997</v>
      </c>
      <c r="G10" s="120" t="s">
        <v>170</v>
      </c>
      <c r="H10" s="79"/>
      <c r="I10" s="80">
        <v>12.5</v>
      </c>
      <c r="J10" s="81">
        <v>227</v>
      </c>
      <c r="K10" s="81">
        <f t="shared" ref="K10:K11" si="1">I10*J10</f>
        <v>2837.5</v>
      </c>
      <c r="L10" s="102"/>
      <c r="M10" s="156" t="e">
        <f>I18+#REF!+#REF!+#REF!+#REF!+#REF!+#REF!</f>
        <v>#REF!</v>
      </c>
      <c r="N10" s="120" t="s">
        <v>175</v>
      </c>
    </row>
    <row r="11" spans="1:14" ht="14.1" customHeight="1">
      <c r="A11" s="85"/>
      <c r="B11" s="120"/>
      <c r="C11" s="120"/>
      <c r="D11" s="120"/>
      <c r="E11" s="120"/>
      <c r="F11" s="98"/>
      <c r="G11" s="120" t="s">
        <v>171</v>
      </c>
      <c r="H11" s="79"/>
      <c r="I11" s="80">
        <v>12.5</v>
      </c>
      <c r="J11" s="81">
        <v>416</v>
      </c>
      <c r="K11" s="81">
        <f t="shared" si="1"/>
        <v>5200</v>
      </c>
      <c r="L11" s="102"/>
      <c r="M11" s="156" t="e">
        <f>I21+#REF!+#REF!+#REF!+#REF!+#REF!+#REF!</f>
        <v>#REF!</v>
      </c>
      <c r="N11" s="83" t="s">
        <v>176</v>
      </c>
    </row>
    <row r="12" spans="1:14" ht="14.1" customHeight="1">
      <c r="A12" s="85"/>
      <c r="B12" s="120"/>
      <c r="C12" s="120"/>
      <c r="D12" s="120"/>
      <c r="E12" s="120"/>
      <c r="F12" s="98"/>
      <c r="G12" s="120" t="s">
        <v>172</v>
      </c>
      <c r="H12" s="79"/>
      <c r="I12" s="80">
        <v>7.5</v>
      </c>
      <c r="J12" s="81">
        <v>165</v>
      </c>
      <c r="K12" s="81">
        <f>I12*J12</f>
        <v>1237.5</v>
      </c>
      <c r="L12" s="102"/>
      <c r="M12" s="156" t="e">
        <f>#REF!+#REF!+#REF!+#REF!+#REF!</f>
        <v>#REF!</v>
      </c>
      <c r="N12" s="84" t="s">
        <v>10</v>
      </c>
    </row>
    <row r="13" spans="1:14" ht="14.1" customHeight="1">
      <c r="A13" s="85"/>
      <c r="B13" s="120"/>
      <c r="C13" s="120"/>
      <c r="D13" s="120"/>
      <c r="E13" s="266" t="s">
        <v>9</v>
      </c>
      <c r="F13" s="110">
        <f>SUM(F10:F12)</f>
        <v>9579.9359999999997</v>
      </c>
      <c r="G13" s="266"/>
      <c r="H13" s="266"/>
      <c r="I13" s="125"/>
      <c r="J13" s="97"/>
      <c r="K13" s="111">
        <f>SUM(K10:K12)</f>
        <v>9275</v>
      </c>
      <c r="L13" s="111">
        <f>K13/F13</f>
        <v>0.96816930718535077</v>
      </c>
      <c r="M13" s="102"/>
      <c r="N13" s="71"/>
    </row>
    <row r="14" spans="1:14" ht="14.1" customHeight="1">
      <c r="A14" s="71"/>
      <c r="B14" s="71"/>
      <c r="C14" s="71"/>
      <c r="D14" s="126" t="s">
        <v>30</v>
      </c>
      <c r="E14" s="126"/>
      <c r="F14" s="127">
        <f>F9+F13</f>
        <v>31504.428799999994</v>
      </c>
      <c r="G14" s="128"/>
      <c r="H14" s="128"/>
      <c r="I14" s="128"/>
      <c r="J14" s="128"/>
      <c r="K14" s="127">
        <f>K9+K13</f>
        <v>22840</v>
      </c>
      <c r="L14" s="129">
        <f>K14/F14</f>
        <v>0.72497743555344207</v>
      </c>
      <c r="M14" s="71"/>
      <c r="N14" s="71"/>
    </row>
    <row r="15" spans="1:14" ht="14.1" customHeight="1">
      <c r="A15" s="70" t="s">
        <v>23</v>
      </c>
      <c r="B15" s="70"/>
      <c r="C15" s="70"/>
      <c r="D15" s="70"/>
      <c r="E15" s="70"/>
      <c r="F15" s="71"/>
      <c r="G15" s="71"/>
      <c r="H15" s="71"/>
      <c r="I15" s="71"/>
      <c r="J15" s="71"/>
      <c r="K15" s="824" t="s">
        <v>1221</v>
      </c>
      <c r="L15" s="824"/>
      <c r="M15" s="824"/>
      <c r="N15" s="71"/>
    </row>
    <row r="16" spans="1:14" ht="14.1" customHeight="1">
      <c r="A16" s="172" t="s">
        <v>0</v>
      </c>
      <c r="B16" s="172" t="s">
        <v>7</v>
      </c>
      <c r="C16" s="172" t="s">
        <v>13</v>
      </c>
      <c r="D16" s="172" t="s">
        <v>14</v>
      </c>
      <c r="E16" s="172" t="s">
        <v>8</v>
      </c>
      <c r="F16" s="172" t="s">
        <v>1</v>
      </c>
      <c r="G16" s="172" t="s">
        <v>2</v>
      </c>
      <c r="H16" s="172" t="s">
        <v>15</v>
      </c>
      <c r="I16" s="172" t="s">
        <v>3</v>
      </c>
      <c r="J16" s="172" t="s">
        <v>4</v>
      </c>
      <c r="K16" s="172" t="s">
        <v>5</v>
      </c>
      <c r="L16" s="172" t="s">
        <v>12</v>
      </c>
      <c r="M16" s="172" t="s">
        <v>6</v>
      </c>
      <c r="N16" s="71"/>
    </row>
    <row r="17" spans="1:14" ht="14.1" customHeight="1">
      <c r="A17" s="85">
        <v>1</v>
      </c>
      <c r="B17" s="120" t="s">
        <v>688</v>
      </c>
      <c r="C17" s="120" t="s">
        <v>115</v>
      </c>
      <c r="D17" s="120" t="s">
        <v>689</v>
      </c>
      <c r="E17" s="267"/>
      <c r="F17" s="87"/>
      <c r="G17" s="120" t="s">
        <v>24</v>
      </c>
      <c r="H17" s="79"/>
      <c r="I17" s="80"/>
      <c r="J17" s="81">
        <v>74</v>
      </c>
      <c r="K17" s="81">
        <f t="shared" ref="K17:K19" si="2">I17*J17</f>
        <v>0</v>
      </c>
      <c r="L17" s="102"/>
      <c r="M17" s="124"/>
      <c r="N17" s="71"/>
    </row>
    <row r="18" spans="1:14" ht="14.1" customHeight="1">
      <c r="A18" s="85"/>
      <c r="B18" s="120"/>
      <c r="C18" s="120"/>
      <c r="D18" s="120"/>
      <c r="E18" s="85"/>
      <c r="F18" s="98"/>
      <c r="G18" s="88" t="s">
        <v>18</v>
      </c>
      <c r="H18" s="79"/>
      <c r="I18" s="80"/>
      <c r="J18" s="81">
        <v>46</v>
      </c>
      <c r="K18" s="81">
        <f t="shared" si="2"/>
        <v>0</v>
      </c>
      <c r="L18" s="102"/>
      <c r="M18" s="102"/>
      <c r="N18" s="71"/>
    </row>
    <row r="19" spans="1:14" ht="14.1" customHeight="1">
      <c r="A19" s="85"/>
      <c r="B19" s="120"/>
      <c r="C19" s="120"/>
      <c r="D19" s="120"/>
      <c r="E19" s="85"/>
      <c r="F19" s="98"/>
      <c r="G19" s="120" t="s">
        <v>171</v>
      </c>
      <c r="H19" s="79"/>
      <c r="I19" s="80"/>
      <c r="J19" s="81">
        <v>416</v>
      </c>
      <c r="K19" s="81">
        <f t="shared" si="2"/>
        <v>0</v>
      </c>
      <c r="L19" s="102"/>
      <c r="M19" s="102"/>
      <c r="N19" s="71"/>
    </row>
    <row r="20" spans="1:14" ht="14.1" customHeight="1">
      <c r="A20" s="85"/>
      <c r="B20" s="85"/>
      <c r="C20" s="85"/>
      <c r="D20" s="85"/>
      <c r="E20" s="85"/>
      <c r="F20" s="98"/>
      <c r="G20" s="120" t="s">
        <v>172</v>
      </c>
      <c r="H20" s="79"/>
      <c r="I20" s="80"/>
      <c r="J20" s="81">
        <v>165</v>
      </c>
      <c r="K20" s="81">
        <f>I20*J20</f>
        <v>0</v>
      </c>
      <c r="L20" s="102"/>
      <c r="M20" s="102"/>
      <c r="N20" s="71"/>
    </row>
    <row r="21" spans="1:14" ht="14.1" customHeight="1">
      <c r="A21" s="85"/>
      <c r="B21" s="85"/>
      <c r="C21" s="85"/>
      <c r="D21" s="85"/>
      <c r="E21" s="85"/>
      <c r="F21" s="98"/>
      <c r="G21" s="83" t="s">
        <v>181</v>
      </c>
      <c r="H21" s="79"/>
      <c r="I21" s="80"/>
      <c r="J21" s="81">
        <v>165</v>
      </c>
      <c r="K21" s="81">
        <f t="shared" ref="K21" si="3">I21*J21</f>
        <v>0</v>
      </c>
      <c r="L21" s="102"/>
      <c r="M21" s="102"/>
      <c r="N21" s="71"/>
    </row>
    <row r="22" spans="1:14" ht="14.1" customHeight="1">
      <c r="A22" s="85"/>
      <c r="B22" s="85"/>
      <c r="C22" s="85"/>
      <c r="D22" s="85"/>
      <c r="E22" s="172" t="s">
        <v>9</v>
      </c>
      <c r="F22" s="110">
        <f>SUM(F17:F21)</f>
        <v>0</v>
      </c>
      <c r="G22" s="172"/>
      <c r="H22" s="172"/>
      <c r="I22" s="125"/>
      <c r="J22" s="97"/>
      <c r="K22" s="111">
        <f>SUM(K17:K21)</f>
        <v>0</v>
      </c>
      <c r="L22" s="111" t="e">
        <f>K22/F22</f>
        <v>#DIV/0!</v>
      </c>
      <c r="M22" s="102"/>
      <c r="N22" s="71"/>
    </row>
    <row r="23" spans="1:14" ht="14.1" customHeight="1">
      <c r="A23" s="131"/>
      <c r="B23" s="131"/>
      <c r="C23" s="131"/>
      <c r="D23" s="172" t="s">
        <v>30</v>
      </c>
      <c r="E23" s="172"/>
      <c r="F23" s="127">
        <f>F22</f>
        <v>0</v>
      </c>
      <c r="G23" s="132"/>
      <c r="H23" s="132"/>
      <c r="I23" s="132"/>
      <c r="J23" s="132"/>
      <c r="K23" s="127">
        <f>K22</f>
        <v>0</v>
      </c>
      <c r="L23" s="129" t="e">
        <f>K23/F23</f>
        <v>#DIV/0!</v>
      </c>
      <c r="M23" s="102"/>
      <c r="N23" s="71"/>
    </row>
    <row r="24" spans="1:14" ht="14.1" customHeight="1">
      <c r="A24" s="70" t="s">
        <v>22</v>
      </c>
      <c r="B24" s="70"/>
      <c r="C24" s="70"/>
      <c r="D24" s="70"/>
      <c r="E24" s="70"/>
      <c r="F24" s="71"/>
      <c r="G24" s="71"/>
      <c r="H24" s="71"/>
      <c r="I24" s="71"/>
      <c r="J24" s="71"/>
      <c r="K24" s="824" t="s">
        <v>1221</v>
      </c>
      <c r="L24" s="824"/>
      <c r="M24" s="824"/>
      <c r="N24" s="71"/>
    </row>
    <row r="25" spans="1:14" ht="14.1" customHeight="1">
      <c r="A25" s="172" t="s">
        <v>0</v>
      </c>
      <c r="B25" s="172" t="s">
        <v>7</v>
      </c>
      <c r="C25" s="172" t="s">
        <v>13</v>
      </c>
      <c r="D25" s="172" t="s">
        <v>14</v>
      </c>
      <c r="E25" s="172" t="s">
        <v>8</v>
      </c>
      <c r="F25" s="172" t="s">
        <v>1</v>
      </c>
      <c r="G25" s="172" t="s">
        <v>2</v>
      </c>
      <c r="H25" s="172" t="s">
        <v>15</v>
      </c>
      <c r="I25" s="172" t="s">
        <v>3</v>
      </c>
      <c r="J25" s="172" t="s">
        <v>4</v>
      </c>
      <c r="K25" s="172" t="s">
        <v>5</v>
      </c>
      <c r="L25" s="172" t="s">
        <v>12</v>
      </c>
      <c r="M25" s="172" t="s">
        <v>6</v>
      </c>
      <c r="N25" s="71"/>
    </row>
    <row r="26" spans="1:14" ht="14.1" customHeight="1">
      <c r="A26" s="599">
        <v>2</v>
      </c>
      <c r="B26" s="804" t="s">
        <v>1158</v>
      </c>
      <c r="C26" s="804" t="s">
        <v>1216</v>
      </c>
      <c r="D26" s="804" t="s">
        <v>1217</v>
      </c>
      <c r="E26" s="804"/>
      <c r="F26" s="90">
        <f>1500*1.0936</f>
        <v>1640.3999999999999</v>
      </c>
      <c r="G26" s="804" t="s">
        <v>24</v>
      </c>
      <c r="H26" s="79"/>
      <c r="I26" s="80">
        <v>20</v>
      </c>
      <c r="J26" s="81">
        <v>74</v>
      </c>
      <c r="K26" s="81">
        <f t="shared" ref="K26:K27" si="4">I26*J26</f>
        <v>1480</v>
      </c>
      <c r="L26" s="102"/>
      <c r="M26" s="102"/>
      <c r="N26" s="71"/>
    </row>
    <row r="27" spans="1:14" ht="14.1" customHeight="1">
      <c r="A27" s="599"/>
      <c r="B27" s="804"/>
      <c r="C27" s="804"/>
      <c r="D27" s="804"/>
      <c r="E27" s="599"/>
      <c r="F27" s="87"/>
      <c r="G27" s="430" t="s">
        <v>10</v>
      </c>
      <c r="H27" s="79"/>
      <c r="I27" s="80">
        <v>5</v>
      </c>
      <c r="J27" s="81">
        <v>120</v>
      </c>
      <c r="K27" s="81">
        <f t="shared" si="4"/>
        <v>600</v>
      </c>
      <c r="L27" s="102"/>
      <c r="M27" s="102"/>
      <c r="N27" s="71"/>
    </row>
    <row r="28" spans="1:14" ht="14.1" customHeight="1">
      <c r="A28" s="599"/>
      <c r="B28" s="804"/>
      <c r="C28" s="804"/>
      <c r="D28" s="804"/>
      <c r="E28" s="806" t="s">
        <v>9</v>
      </c>
      <c r="F28" s="110">
        <f>SUM(F26:F27)</f>
        <v>1640.3999999999999</v>
      </c>
      <c r="G28" s="806"/>
      <c r="H28" s="806"/>
      <c r="I28" s="125"/>
      <c r="J28" s="97"/>
      <c r="K28" s="111">
        <f>SUM(K26:K27)</f>
        <v>2080</v>
      </c>
      <c r="L28" s="111">
        <f>K28/F28</f>
        <v>1.2679834186783712</v>
      </c>
      <c r="M28" s="102"/>
      <c r="N28" s="71"/>
    </row>
    <row r="29" spans="1:14" ht="14.1" customHeight="1">
      <c r="A29" s="599">
        <v>3</v>
      </c>
      <c r="B29" s="804" t="s">
        <v>1120</v>
      </c>
      <c r="C29" s="804" t="s">
        <v>121</v>
      </c>
      <c r="D29" s="804" t="s">
        <v>369</v>
      </c>
      <c r="E29" s="804"/>
      <c r="F29" s="87">
        <f>15850*1.0936</f>
        <v>17333.559999999998</v>
      </c>
      <c r="G29" s="804" t="s">
        <v>24</v>
      </c>
      <c r="H29" s="79"/>
      <c r="I29" s="80">
        <v>200</v>
      </c>
      <c r="J29" s="81">
        <v>74</v>
      </c>
      <c r="K29" s="81">
        <f t="shared" ref="K29:K30" si="5">I29*J29</f>
        <v>14800</v>
      </c>
      <c r="L29" s="102"/>
      <c r="M29" s="102"/>
      <c r="N29" s="71"/>
    </row>
    <row r="30" spans="1:14" ht="14.1" customHeight="1">
      <c r="A30" s="599"/>
      <c r="B30" s="804"/>
      <c r="C30" s="804"/>
      <c r="D30" s="804"/>
      <c r="E30" s="599"/>
      <c r="F30" s="87"/>
      <c r="G30" s="430" t="s">
        <v>10</v>
      </c>
      <c r="H30" s="79"/>
      <c r="I30" s="80">
        <v>30</v>
      </c>
      <c r="J30" s="81">
        <v>120</v>
      </c>
      <c r="K30" s="81">
        <f t="shared" si="5"/>
        <v>3600</v>
      </c>
      <c r="L30" s="102"/>
      <c r="M30" s="102"/>
      <c r="N30" s="71"/>
    </row>
    <row r="31" spans="1:14" ht="14.1" customHeight="1">
      <c r="A31" s="599"/>
      <c r="B31" s="804"/>
      <c r="C31" s="804"/>
      <c r="D31" s="804"/>
      <c r="E31" s="806" t="s">
        <v>9</v>
      </c>
      <c r="F31" s="110">
        <f>SUM(F29:F30)</f>
        <v>17333.559999999998</v>
      </c>
      <c r="G31" s="806"/>
      <c r="H31" s="806"/>
      <c r="I31" s="125"/>
      <c r="J31" s="97"/>
      <c r="K31" s="111">
        <f>SUM(K29:K30)</f>
        <v>18400</v>
      </c>
      <c r="L31" s="111">
        <f>K31/F31</f>
        <v>1.0615245800631838</v>
      </c>
      <c r="M31" s="102"/>
      <c r="N31" s="71"/>
    </row>
    <row r="32" spans="1:14" ht="14.1" customHeight="1">
      <c r="A32" s="599"/>
      <c r="B32" s="804" t="s">
        <v>866</v>
      </c>
      <c r="C32" s="804" t="s">
        <v>792</v>
      </c>
      <c r="D32" s="804" t="s">
        <v>1215</v>
      </c>
      <c r="E32" s="804"/>
      <c r="F32" s="90">
        <f>6680*1.0936</f>
        <v>7305.2479999999996</v>
      </c>
      <c r="G32" s="804" t="s">
        <v>24</v>
      </c>
      <c r="H32" s="79"/>
      <c r="I32" s="80">
        <v>76</v>
      </c>
      <c r="J32" s="81">
        <v>74</v>
      </c>
      <c r="K32" s="81">
        <f t="shared" ref="K32:K33" si="6">I32*J32</f>
        <v>5624</v>
      </c>
      <c r="L32" s="102"/>
      <c r="M32" s="102"/>
      <c r="N32" s="71"/>
    </row>
    <row r="33" spans="1:14" ht="14.1" customHeight="1">
      <c r="A33" s="599"/>
      <c r="B33" s="804"/>
      <c r="C33" s="804"/>
      <c r="D33" s="804"/>
      <c r="E33" s="599"/>
      <c r="F33" s="87"/>
      <c r="G33" s="430" t="s">
        <v>10</v>
      </c>
      <c r="H33" s="79"/>
      <c r="I33" s="80">
        <v>10</v>
      </c>
      <c r="J33" s="81">
        <v>120</v>
      </c>
      <c r="K33" s="81">
        <f t="shared" si="6"/>
        <v>1200</v>
      </c>
      <c r="L33" s="102"/>
      <c r="M33" s="102"/>
      <c r="N33" s="71"/>
    </row>
    <row r="34" spans="1:14" ht="14.1" customHeight="1">
      <c r="A34" s="599"/>
      <c r="B34" s="804"/>
      <c r="C34" s="804"/>
      <c r="D34" s="804"/>
      <c r="E34" s="806" t="s">
        <v>9</v>
      </c>
      <c r="F34" s="110">
        <f>SUM(F32:F33)</f>
        <v>7305.2479999999996</v>
      </c>
      <c r="G34" s="806"/>
      <c r="H34" s="806"/>
      <c r="I34" s="125"/>
      <c r="J34" s="97"/>
      <c r="K34" s="111">
        <f>SUM(K32:K33)</f>
        <v>6824</v>
      </c>
      <c r="L34" s="111">
        <f>K34/F34</f>
        <v>0.93412297570185165</v>
      </c>
      <c r="M34" s="102"/>
      <c r="N34" s="71"/>
    </row>
    <row r="35" spans="1:14" ht="14.1" customHeight="1">
      <c r="A35" s="71"/>
      <c r="B35" s="71"/>
      <c r="C35" s="71"/>
      <c r="D35" s="126" t="s">
        <v>30</v>
      </c>
      <c r="E35" s="126"/>
      <c r="F35" s="127">
        <f>F28+F31+F34</f>
        <v>26279.207999999999</v>
      </c>
      <c r="G35" s="128"/>
      <c r="H35" s="128"/>
      <c r="I35" s="128"/>
      <c r="J35" s="128"/>
      <c r="K35" s="127">
        <f>K28+K31+K34</f>
        <v>27304</v>
      </c>
      <c r="L35" s="129">
        <f>K35/F35</f>
        <v>1.0389963046070492</v>
      </c>
      <c r="M35" s="71"/>
      <c r="N35" s="71"/>
    </row>
    <row r="36" spans="1:14" ht="14.1" customHeight="1">
      <c r="A36" s="107" t="s">
        <v>16</v>
      </c>
      <c r="B36" s="107"/>
      <c r="C36" s="107"/>
      <c r="D36" s="107"/>
      <c r="E36" s="107"/>
      <c r="F36" s="107"/>
      <c r="G36" s="107"/>
      <c r="H36" s="107"/>
      <c r="I36" s="107"/>
      <c r="J36" s="107"/>
      <c r="K36" s="824" t="s">
        <v>1221</v>
      </c>
      <c r="L36" s="824"/>
      <c r="M36" s="824"/>
      <c r="N36" s="71"/>
    </row>
    <row r="37" spans="1:14" ht="14.1" customHeight="1">
      <c r="A37" s="120" t="s">
        <v>0</v>
      </c>
      <c r="B37" s="120" t="s">
        <v>7</v>
      </c>
      <c r="C37" s="120" t="s">
        <v>13</v>
      </c>
      <c r="D37" s="120" t="s">
        <v>14</v>
      </c>
      <c r="E37" s="120" t="s">
        <v>8</v>
      </c>
      <c r="F37" s="120" t="s">
        <v>1</v>
      </c>
      <c r="G37" s="120" t="s">
        <v>2</v>
      </c>
      <c r="H37" s="120" t="s">
        <v>15</v>
      </c>
      <c r="I37" s="120" t="s">
        <v>3</v>
      </c>
      <c r="J37" s="120" t="s">
        <v>4</v>
      </c>
      <c r="K37" s="120" t="s">
        <v>5</v>
      </c>
      <c r="L37" s="120" t="s">
        <v>12</v>
      </c>
      <c r="M37" s="120" t="s">
        <v>6</v>
      </c>
      <c r="N37" s="71"/>
    </row>
    <row r="38" spans="1:14" ht="14.1" customHeight="1">
      <c r="A38" s="120">
        <v>7994</v>
      </c>
      <c r="B38" s="120" t="s">
        <v>357</v>
      </c>
      <c r="C38" s="120" t="s">
        <v>305</v>
      </c>
      <c r="D38" s="120" t="s">
        <v>306</v>
      </c>
      <c r="E38" s="120" t="s">
        <v>310</v>
      </c>
      <c r="F38" s="90"/>
      <c r="G38" s="116" t="s">
        <v>235</v>
      </c>
      <c r="H38" s="117"/>
      <c r="I38" s="118"/>
      <c r="J38" s="118">
        <v>672</v>
      </c>
      <c r="K38" s="118">
        <f>I38*J38</f>
        <v>0</v>
      </c>
      <c r="L38" s="79"/>
      <c r="M38" s="192"/>
      <c r="N38" s="71"/>
    </row>
    <row r="39" spans="1:14" ht="14.1" customHeight="1">
      <c r="A39" s="120"/>
      <c r="B39" s="120"/>
      <c r="C39" s="120"/>
      <c r="D39" s="120"/>
      <c r="E39" s="120" t="s">
        <v>9</v>
      </c>
      <c r="F39" s="87"/>
      <c r="G39" s="120"/>
      <c r="H39" s="120"/>
      <c r="I39" s="80"/>
      <c r="J39" s="81"/>
      <c r="K39" s="81">
        <f>SUM(K38)</f>
        <v>0</v>
      </c>
      <c r="L39" s="81" t="e">
        <f>K39/F39</f>
        <v>#DIV/0!</v>
      </c>
      <c r="M39" s="79"/>
      <c r="N39" s="71"/>
    </row>
    <row r="40" spans="1:14" ht="14.1" customHeight="1">
      <c r="A40" s="201"/>
      <c r="B40" s="201"/>
      <c r="C40" s="201"/>
      <c r="D40" s="208" t="s">
        <v>30</v>
      </c>
      <c r="E40" s="208"/>
      <c r="F40" s="209">
        <f>F39</f>
        <v>0</v>
      </c>
      <c r="G40" s="210"/>
      <c r="H40" s="210"/>
      <c r="I40" s="210"/>
      <c r="J40" s="210"/>
      <c r="K40" s="209">
        <f>K39</f>
        <v>0</v>
      </c>
      <c r="L40" s="92" t="e">
        <f>K40/F40</f>
        <v>#DIV/0!</v>
      </c>
      <c r="M40" s="137"/>
      <c r="N40" s="71"/>
    </row>
    <row r="41" spans="1:14" ht="14.1" customHeight="1">
      <c r="A41" s="70" t="s">
        <v>72</v>
      </c>
      <c r="B41" s="70"/>
      <c r="C41" s="70"/>
      <c r="D41" s="70"/>
      <c r="E41" s="70"/>
      <c r="F41" s="71"/>
      <c r="G41" s="71"/>
      <c r="H41" s="71"/>
      <c r="I41" s="140"/>
      <c r="J41" s="71"/>
      <c r="K41" s="824" t="s">
        <v>1221</v>
      </c>
      <c r="L41" s="824"/>
      <c r="M41" s="824"/>
      <c r="N41" s="71"/>
    </row>
    <row r="42" spans="1:14" ht="14.1" customHeight="1">
      <c r="A42" s="172" t="s">
        <v>0</v>
      </c>
      <c r="B42" s="172" t="s">
        <v>7</v>
      </c>
      <c r="C42" s="172" t="s">
        <v>13</v>
      </c>
      <c r="D42" s="172" t="s">
        <v>14</v>
      </c>
      <c r="E42" s="172" t="s">
        <v>8</v>
      </c>
      <c r="F42" s="172" t="s">
        <v>1</v>
      </c>
      <c r="G42" s="172" t="s">
        <v>2</v>
      </c>
      <c r="H42" s="172" t="s">
        <v>15</v>
      </c>
      <c r="I42" s="141" t="s">
        <v>3</v>
      </c>
      <c r="J42" s="172" t="s">
        <v>4</v>
      </c>
      <c r="K42" s="172" t="s">
        <v>5</v>
      </c>
      <c r="L42" s="172" t="s">
        <v>12</v>
      </c>
      <c r="M42" s="172" t="s">
        <v>6</v>
      </c>
      <c r="N42" s="123"/>
    </row>
    <row r="43" spans="1:14" ht="14.1" customHeight="1">
      <c r="A43" s="804">
        <v>10055</v>
      </c>
      <c r="B43" s="804" t="s">
        <v>1223</v>
      </c>
      <c r="C43" s="804" t="s">
        <v>121</v>
      </c>
      <c r="D43" s="804" t="s">
        <v>1093</v>
      </c>
      <c r="E43" s="805" t="s">
        <v>397</v>
      </c>
      <c r="F43" s="98">
        <f>15740*1.0936</f>
        <v>17213.263999999999</v>
      </c>
      <c r="G43" s="802" t="s">
        <v>405</v>
      </c>
      <c r="H43" s="79"/>
      <c r="I43" s="80">
        <f>8.8+8.8+5.1+3.754+0.476</f>
        <v>26.930000000000003</v>
      </c>
      <c r="J43" s="81">
        <v>1708</v>
      </c>
      <c r="K43" s="81">
        <f t="shared" ref="K43:K47" si="7">I43*J43</f>
        <v>45996.44</v>
      </c>
      <c r="L43" s="102"/>
      <c r="M43" s="102"/>
      <c r="N43" s="71"/>
    </row>
    <row r="44" spans="1:14" ht="14.1" customHeight="1">
      <c r="A44" s="804"/>
      <c r="B44" s="85"/>
      <c r="C44" s="85"/>
      <c r="D44" s="85"/>
      <c r="E44" s="85"/>
      <c r="F44" s="98"/>
      <c r="G44" s="802" t="s">
        <v>183</v>
      </c>
      <c r="H44" s="79"/>
      <c r="I44" s="80">
        <f>2.3+2.3+1.2+1.148+0.072</f>
        <v>7.02</v>
      </c>
      <c r="J44" s="81">
        <v>1600</v>
      </c>
      <c r="K44" s="81">
        <f t="shared" si="7"/>
        <v>11232</v>
      </c>
      <c r="L44" s="102"/>
      <c r="M44" s="102"/>
      <c r="N44" s="71"/>
    </row>
    <row r="45" spans="1:14" ht="14.1" customHeight="1">
      <c r="A45" s="804"/>
      <c r="B45" s="85"/>
      <c r="C45" s="85"/>
      <c r="D45" s="85"/>
      <c r="E45" s="85"/>
      <c r="F45" s="98"/>
      <c r="G45" s="93" t="s">
        <v>315</v>
      </c>
      <c r="H45" s="79"/>
      <c r="I45" s="80">
        <f>10.6+10.6+5.59+4.634+0.5</f>
        <v>31.923999999999999</v>
      </c>
      <c r="J45" s="81">
        <v>2184</v>
      </c>
      <c r="K45" s="81">
        <f t="shared" si="7"/>
        <v>69722.016000000003</v>
      </c>
      <c r="L45" s="102"/>
      <c r="M45" s="102"/>
      <c r="N45" s="71"/>
    </row>
    <row r="46" spans="1:14" ht="14.1" customHeight="1">
      <c r="A46" s="804"/>
      <c r="B46" s="85"/>
      <c r="C46" s="85"/>
      <c r="D46" s="85"/>
      <c r="E46" s="85"/>
      <c r="F46" s="98"/>
      <c r="G46" s="804" t="s">
        <v>184</v>
      </c>
      <c r="H46" s="804"/>
      <c r="I46" s="80">
        <f>10+10+5+5.2+1</f>
        <v>31.2</v>
      </c>
      <c r="J46" s="81">
        <v>336</v>
      </c>
      <c r="K46" s="94">
        <f t="shared" si="7"/>
        <v>10483.199999999999</v>
      </c>
      <c r="L46" s="102"/>
      <c r="M46" s="102"/>
      <c r="N46" s="71"/>
    </row>
    <row r="47" spans="1:14" ht="14.1" customHeight="1">
      <c r="A47" s="804"/>
      <c r="B47" s="85"/>
      <c r="C47" s="85"/>
      <c r="D47" s="85"/>
      <c r="E47" s="85"/>
      <c r="F47" s="98"/>
      <c r="G47" s="95" t="s">
        <v>185</v>
      </c>
      <c r="H47" s="79"/>
      <c r="I47" s="96">
        <f>2+2+1+1.05+0.1</f>
        <v>6.1499999999999995</v>
      </c>
      <c r="J47" s="81">
        <v>490</v>
      </c>
      <c r="K47" s="81">
        <f t="shared" si="7"/>
        <v>3013.4999999999995</v>
      </c>
      <c r="L47" s="102"/>
      <c r="M47" s="102"/>
      <c r="N47" s="71"/>
    </row>
    <row r="48" spans="1:14" ht="14.1" customHeight="1">
      <c r="A48" s="804"/>
      <c r="B48" s="85"/>
      <c r="C48" s="85"/>
      <c r="D48" s="85"/>
      <c r="E48" s="172" t="s">
        <v>9</v>
      </c>
      <c r="F48" s="110">
        <f>SUM(F43:F47)</f>
        <v>17213.263999999999</v>
      </c>
      <c r="G48" s="172"/>
      <c r="H48" s="172"/>
      <c r="I48" s="125"/>
      <c r="J48" s="97"/>
      <c r="K48" s="111">
        <f>SUM(K43:K47)</f>
        <v>140447.15600000002</v>
      </c>
      <c r="L48" s="111">
        <f>K48/F48</f>
        <v>8.1592402231209622</v>
      </c>
      <c r="M48" s="102"/>
      <c r="N48" s="71"/>
    </row>
    <row r="49" spans="1:14" ht="14.1" customHeight="1">
      <c r="A49" s="804">
        <v>10058</v>
      </c>
      <c r="B49" s="804" t="s">
        <v>1238</v>
      </c>
      <c r="C49" s="804" t="s">
        <v>1033</v>
      </c>
      <c r="D49" s="804" t="s">
        <v>1034</v>
      </c>
      <c r="E49" s="804" t="s">
        <v>232</v>
      </c>
      <c r="F49" s="90">
        <f>1750*1.0936</f>
        <v>1913.7999999999997</v>
      </c>
      <c r="G49" s="803" t="s">
        <v>281</v>
      </c>
      <c r="H49" s="79"/>
      <c r="I49" s="80">
        <v>2.21</v>
      </c>
      <c r="J49" s="81">
        <v>1035</v>
      </c>
      <c r="K49" s="81">
        <f t="shared" ref="K49" si="8">I49*J49</f>
        <v>2287.35</v>
      </c>
      <c r="L49" s="102"/>
      <c r="M49" s="102"/>
      <c r="N49" s="71"/>
    </row>
    <row r="50" spans="1:14" ht="14.1" customHeight="1">
      <c r="A50" s="804"/>
      <c r="B50" s="85"/>
      <c r="C50" s="85"/>
      <c r="D50" s="85"/>
      <c r="E50" s="85"/>
      <c r="F50" s="98"/>
      <c r="G50" s="802" t="s">
        <v>472</v>
      </c>
      <c r="H50" s="79"/>
      <c r="I50" s="80">
        <v>22.25</v>
      </c>
      <c r="J50" s="81">
        <v>904</v>
      </c>
      <c r="K50" s="81">
        <f t="shared" ref="K50:K53" si="9">I50*J50</f>
        <v>20114</v>
      </c>
      <c r="L50" s="2"/>
      <c r="M50" s="102"/>
      <c r="N50" s="71"/>
    </row>
    <row r="51" spans="1:14" ht="14.1" customHeight="1">
      <c r="A51" s="804"/>
      <c r="B51" s="85"/>
      <c r="C51" s="85"/>
      <c r="D51" s="85"/>
      <c r="E51" s="85"/>
      <c r="F51" s="98"/>
      <c r="G51" s="803" t="s">
        <v>282</v>
      </c>
      <c r="H51" s="120"/>
      <c r="I51" s="96">
        <v>5</v>
      </c>
      <c r="J51" s="81">
        <v>840</v>
      </c>
      <c r="K51" s="94">
        <f t="shared" si="9"/>
        <v>4200</v>
      </c>
      <c r="L51" s="2"/>
      <c r="M51" s="102"/>
      <c r="N51" s="71"/>
    </row>
    <row r="52" spans="1:14" ht="14.1" customHeight="1">
      <c r="A52" s="804"/>
      <c r="B52" s="85"/>
      <c r="C52" s="85"/>
      <c r="D52" s="85"/>
      <c r="E52" s="85"/>
      <c r="F52" s="98"/>
      <c r="G52" s="804" t="s">
        <v>184</v>
      </c>
      <c r="H52" s="804"/>
      <c r="I52" s="80">
        <v>5</v>
      </c>
      <c r="J52" s="81">
        <v>336</v>
      </c>
      <c r="K52" s="94">
        <f t="shared" si="9"/>
        <v>1680</v>
      </c>
      <c r="L52" s="102"/>
      <c r="M52" s="102"/>
      <c r="N52" s="71"/>
    </row>
    <row r="53" spans="1:14" ht="14.1" customHeight="1">
      <c r="A53" s="804"/>
      <c r="B53" s="85"/>
      <c r="C53" s="85"/>
      <c r="D53" s="85"/>
      <c r="E53" s="85"/>
      <c r="F53" s="98"/>
      <c r="G53" s="95" t="s">
        <v>185</v>
      </c>
      <c r="H53" s="79"/>
      <c r="I53" s="96">
        <v>1</v>
      </c>
      <c r="J53" s="81">
        <v>490</v>
      </c>
      <c r="K53" s="81">
        <f t="shared" si="9"/>
        <v>490</v>
      </c>
      <c r="L53" s="102"/>
      <c r="M53" s="102"/>
      <c r="N53" s="71"/>
    </row>
    <row r="54" spans="1:14" ht="14.1" customHeight="1">
      <c r="A54" s="804"/>
      <c r="B54" s="85"/>
      <c r="C54" s="85"/>
      <c r="D54" s="85"/>
      <c r="E54" s="172" t="s">
        <v>9</v>
      </c>
      <c r="F54" s="110">
        <f>SUM(F49:F53)</f>
        <v>1913.7999999999997</v>
      </c>
      <c r="G54" s="172"/>
      <c r="H54" s="172"/>
      <c r="I54" s="125"/>
      <c r="J54" s="97"/>
      <c r="K54" s="111">
        <f>SUM(K49:K53)</f>
        <v>28771.35</v>
      </c>
      <c r="L54" s="111">
        <f>K54/F54</f>
        <v>15.033624203156027</v>
      </c>
      <c r="M54" s="102"/>
      <c r="N54" s="71"/>
    </row>
    <row r="55" spans="1:14" ht="14.1" customHeight="1">
      <c r="A55" s="804">
        <v>10057</v>
      </c>
      <c r="B55" s="804" t="s">
        <v>1121</v>
      </c>
      <c r="C55" s="804" t="s">
        <v>1033</v>
      </c>
      <c r="D55" s="804" t="s">
        <v>1034</v>
      </c>
      <c r="E55" s="804" t="s">
        <v>1012</v>
      </c>
      <c r="F55" s="90">
        <f>1980*1.0936</f>
        <v>2165.328</v>
      </c>
      <c r="G55" s="803" t="s">
        <v>196</v>
      </c>
      <c r="H55" s="79"/>
      <c r="I55" s="80">
        <v>0.498</v>
      </c>
      <c r="J55" s="81">
        <v>888</v>
      </c>
      <c r="K55" s="81">
        <f t="shared" ref="K55:K59" si="10">I55*J55</f>
        <v>442.22399999999999</v>
      </c>
      <c r="L55" s="102"/>
      <c r="M55" s="102"/>
      <c r="N55" s="71"/>
    </row>
    <row r="56" spans="1:14" ht="14.1" customHeight="1">
      <c r="A56" s="804"/>
      <c r="B56" s="120"/>
      <c r="C56" s="120"/>
      <c r="D56" s="120"/>
      <c r="E56" s="120"/>
      <c r="F56" s="108"/>
      <c r="G56" s="803" t="s">
        <v>195</v>
      </c>
      <c r="H56" s="79"/>
      <c r="I56" s="80">
        <v>1.6E-2</v>
      </c>
      <c r="J56" s="81">
        <v>645</v>
      </c>
      <c r="K56" s="81">
        <f t="shared" si="10"/>
        <v>10.32</v>
      </c>
      <c r="L56" s="102"/>
      <c r="M56" s="102"/>
      <c r="N56" s="71"/>
    </row>
    <row r="57" spans="1:14" ht="14.1" customHeight="1">
      <c r="A57" s="804"/>
      <c r="B57" s="85"/>
      <c r="C57" s="85"/>
      <c r="D57" s="85"/>
      <c r="E57" s="85"/>
      <c r="F57" s="98"/>
      <c r="G57" s="803" t="s">
        <v>191</v>
      </c>
      <c r="H57" s="79"/>
      <c r="I57" s="80">
        <v>0.16800000000000001</v>
      </c>
      <c r="J57" s="81">
        <v>1628</v>
      </c>
      <c r="K57" s="81">
        <f t="shared" si="10"/>
        <v>273.50400000000002</v>
      </c>
      <c r="L57" s="79"/>
      <c r="M57" s="102"/>
      <c r="N57" s="71"/>
    </row>
    <row r="58" spans="1:14" ht="14.1" customHeight="1">
      <c r="A58" s="804"/>
      <c r="B58" s="85"/>
      <c r="C58" s="85"/>
      <c r="D58" s="85"/>
      <c r="E58" s="85"/>
      <c r="F58" s="98"/>
      <c r="G58" s="804" t="s">
        <v>184</v>
      </c>
      <c r="H58" s="804"/>
      <c r="I58" s="80">
        <v>6</v>
      </c>
      <c r="J58" s="81">
        <v>336</v>
      </c>
      <c r="K58" s="94">
        <f t="shared" si="10"/>
        <v>2016</v>
      </c>
      <c r="L58" s="102"/>
      <c r="M58" s="102"/>
      <c r="N58" s="71"/>
    </row>
    <row r="59" spans="1:14" ht="14.1" customHeight="1">
      <c r="A59" s="804"/>
      <c r="B59" s="85"/>
      <c r="C59" s="85"/>
      <c r="D59" s="85"/>
      <c r="E59" s="85"/>
      <c r="F59" s="98"/>
      <c r="G59" s="95" t="s">
        <v>185</v>
      </c>
      <c r="H59" s="79"/>
      <c r="I59" s="96">
        <v>1.2</v>
      </c>
      <c r="J59" s="81">
        <v>490</v>
      </c>
      <c r="K59" s="81">
        <f t="shared" si="10"/>
        <v>588</v>
      </c>
      <c r="L59" s="102"/>
      <c r="M59" s="102"/>
      <c r="N59" s="71"/>
    </row>
    <row r="60" spans="1:14" ht="14.1" customHeight="1">
      <c r="A60" s="804"/>
      <c r="B60" s="85"/>
      <c r="C60" s="85"/>
      <c r="D60" s="85"/>
      <c r="E60" s="172" t="s">
        <v>9</v>
      </c>
      <c r="F60" s="110">
        <f>SUM(F55:F59)</f>
        <v>2165.328</v>
      </c>
      <c r="G60" s="172"/>
      <c r="H60" s="172"/>
      <c r="I60" s="125"/>
      <c r="J60" s="97"/>
      <c r="K60" s="111">
        <f>SUM(K55:K59)</f>
        <v>3330.0479999999998</v>
      </c>
      <c r="L60" s="111">
        <f>K60/F60</f>
        <v>1.5378954135355012</v>
      </c>
      <c r="M60" s="102"/>
      <c r="N60" s="71"/>
    </row>
    <row r="61" spans="1:14" ht="14.1" customHeight="1">
      <c r="A61" s="804">
        <v>9899</v>
      </c>
      <c r="B61" s="804" t="s">
        <v>478</v>
      </c>
      <c r="C61" s="89" t="s">
        <v>302</v>
      </c>
      <c r="D61" s="89" t="s">
        <v>1225</v>
      </c>
      <c r="E61" s="804" t="s">
        <v>232</v>
      </c>
      <c r="F61" s="87">
        <f>45*1.0936</f>
        <v>49.211999999999996</v>
      </c>
      <c r="G61" s="93" t="s">
        <v>190</v>
      </c>
      <c r="H61" s="79"/>
      <c r="I61" s="80">
        <v>4.3999999999999997E-2</v>
      </c>
      <c r="J61" s="81">
        <v>644</v>
      </c>
      <c r="K61" s="81">
        <f t="shared" ref="K61" si="11">I61*J61</f>
        <v>28.335999999999999</v>
      </c>
      <c r="L61" s="102"/>
      <c r="M61" s="102"/>
      <c r="N61" s="71"/>
    </row>
    <row r="62" spans="1:14" ht="14.1" customHeight="1">
      <c r="A62" s="804"/>
      <c r="B62" s="85"/>
      <c r="C62" s="85"/>
      <c r="D62" s="85"/>
      <c r="E62" s="120"/>
      <c r="F62" s="110"/>
      <c r="G62" s="803" t="s">
        <v>281</v>
      </c>
      <c r="H62" s="79"/>
      <c r="I62" s="80">
        <v>0.129</v>
      </c>
      <c r="J62" s="81">
        <v>1035</v>
      </c>
      <c r="K62" s="81">
        <f t="shared" ref="K62:K65" si="12">I62*J62</f>
        <v>133.51500000000001</v>
      </c>
      <c r="L62" s="102"/>
      <c r="M62" s="102"/>
      <c r="N62" s="71"/>
    </row>
    <row r="63" spans="1:14" ht="14.1" customHeight="1">
      <c r="A63" s="804"/>
      <c r="B63" s="85"/>
      <c r="C63" s="85"/>
      <c r="D63" s="85"/>
      <c r="E63" s="172"/>
      <c r="F63" s="110"/>
      <c r="G63" s="803" t="s">
        <v>199</v>
      </c>
      <c r="H63" s="79"/>
      <c r="I63" s="80">
        <v>1.5960000000000001</v>
      </c>
      <c r="J63" s="81">
        <v>530</v>
      </c>
      <c r="K63" s="81">
        <f t="shared" si="12"/>
        <v>845.88</v>
      </c>
      <c r="L63" s="79"/>
      <c r="M63" s="102"/>
      <c r="N63" s="71"/>
    </row>
    <row r="64" spans="1:14" ht="14.1" customHeight="1">
      <c r="A64" s="804"/>
      <c r="B64" s="85"/>
      <c r="C64" s="85"/>
      <c r="D64" s="85"/>
      <c r="E64" s="172"/>
      <c r="F64" s="110"/>
      <c r="G64" s="804" t="s">
        <v>184</v>
      </c>
      <c r="H64" s="804"/>
      <c r="I64" s="80">
        <v>0.6</v>
      </c>
      <c r="J64" s="81">
        <v>336</v>
      </c>
      <c r="K64" s="94">
        <f t="shared" si="12"/>
        <v>201.6</v>
      </c>
      <c r="L64" s="111"/>
      <c r="M64" s="102"/>
      <c r="N64" s="71"/>
    </row>
    <row r="65" spans="1:14" ht="14.1" customHeight="1">
      <c r="A65" s="804"/>
      <c r="B65" s="85"/>
      <c r="C65" s="85"/>
      <c r="D65" s="85"/>
      <c r="E65" s="172"/>
      <c r="F65" s="110"/>
      <c r="G65" s="95" t="s">
        <v>185</v>
      </c>
      <c r="H65" s="79"/>
      <c r="I65" s="96">
        <v>0.12</v>
      </c>
      <c r="J65" s="81">
        <v>490</v>
      </c>
      <c r="K65" s="81">
        <f t="shared" si="12"/>
        <v>58.8</v>
      </c>
      <c r="L65" s="111"/>
      <c r="M65" s="102"/>
      <c r="N65" s="71"/>
    </row>
    <row r="66" spans="1:14" ht="14.1" customHeight="1">
      <c r="A66" s="804"/>
      <c r="B66" s="85"/>
      <c r="C66" s="85"/>
      <c r="D66" s="85"/>
      <c r="E66" s="172" t="s">
        <v>9</v>
      </c>
      <c r="F66" s="110">
        <f>SUM(F61:F65)</f>
        <v>49.211999999999996</v>
      </c>
      <c r="G66" s="172"/>
      <c r="H66" s="172"/>
      <c r="I66" s="125"/>
      <c r="J66" s="97"/>
      <c r="K66" s="111">
        <f>SUM(K61:K65)</f>
        <v>1268.1309999999999</v>
      </c>
      <c r="L66" s="111">
        <f>K66/F66</f>
        <v>25.768735267820855</v>
      </c>
      <c r="M66" s="102"/>
      <c r="N66" s="71"/>
    </row>
    <row r="67" spans="1:14" ht="14.1" customHeight="1">
      <c r="A67" s="804">
        <v>9898</v>
      </c>
      <c r="B67" s="804" t="s">
        <v>478</v>
      </c>
      <c r="C67" s="89" t="s">
        <v>302</v>
      </c>
      <c r="D67" s="89" t="s">
        <v>1225</v>
      </c>
      <c r="E67" s="804" t="s">
        <v>1239</v>
      </c>
      <c r="F67" s="87">
        <f>50*1.0936</f>
        <v>54.679999999999993</v>
      </c>
      <c r="G67" s="802" t="s">
        <v>405</v>
      </c>
      <c r="H67" s="79"/>
      <c r="I67" s="80">
        <v>0.217</v>
      </c>
      <c r="J67" s="81">
        <v>1708</v>
      </c>
      <c r="K67" s="81">
        <f t="shared" ref="K67:K71" si="13">I67*J67</f>
        <v>370.63600000000002</v>
      </c>
      <c r="L67" s="102"/>
      <c r="M67" s="102"/>
      <c r="N67" s="71"/>
    </row>
    <row r="68" spans="1:14" ht="14.1" customHeight="1">
      <c r="A68" s="804"/>
      <c r="B68" s="85"/>
      <c r="C68" s="85"/>
      <c r="D68" s="85"/>
      <c r="E68" s="172"/>
      <c r="F68" s="110"/>
      <c r="G68" s="802" t="s">
        <v>183</v>
      </c>
      <c r="H68" s="79"/>
      <c r="I68" s="80">
        <v>4.2999999999999997E-2</v>
      </c>
      <c r="J68" s="81">
        <v>1600</v>
      </c>
      <c r="K68" s="81">
        <f t="shared" si="13"/>
        <v>68.8</v>
      </c>
      <c r="L68" s="102"/>
      <c r="M68" s="102"/>
      <c r="N68" s="71"/>
    </row>
    <row r="69" spans="1:14" ht="14.1" customHeight="1">
      <c r="A69" s="804"/>
      <c r="B69" s="85"/>
      <c r="C69" s="85"/>
      <c r="D69" s="85"/>
      <c r="E69" s="172"/>
      <c r="F69" s="110"/>
      <c r="G69" s="93" t="s">
        <v>315</v>
      </c>
      <c r="H69" s="79"/>
      <c r="I69" s="80">
        <v>0.216</v>
      </c>
      <c r="J69" s="81">
        <v>2184</v>
      </c>
      <c r="K69" s="81">
        <f t="shared" si="13"/>
        <v>471.74399999999997</v>
      </c>
      <c r="L69" s="79"/>
      <c r="M69" s="102"/>
      <c r="N69" s="71"/>
    </row>
    <row r="70" spans="1:14" ht="14.1" customHeight="1">
      <c r="A70" s="804"/>
      <c r="B70" s="85"/>
      <c r="C70" s="85"/>
      <c r="D70" s="85"/>
      <c r="E70" s="172"/>
      <c r="F70" s="110"/>
      <c r="G70" s="804" t="s">
        <v>184</v>
      </c>
      <c r="H70" s="804"/>
      <c r="I70" s="80">
        <v>0.6</v>
      </c>
      <c r="J70" s="81">
        <v>336</v>
      </c>
      <c r="K70" s="94">
        <f t="shared" si="13"/>
        <v>201.6</v>
      </c>
      <c r="L70" s="111"/>
      <c r="M70" s="102"/>
      <c r="N70" s="71"/>
    </row>
    <row r="71" spans="1:14" ht="14.1" customHeight="1">
      <c r="A71" s="804"/>
      <c r="B71" s="85"/>
      <c r="C71" s="85"/>
      <c r="D71" s="85"/>
      <c r="E71" s="172"/>
      <c r="F71" s="110"/>
      <c r="G71" s="95" t="s">
        <v>185</v>
      </c>
      <c r="H71" s="79"/>
      <c r="I71" s="96">
        <v>0.12</v>
      </c>
      <c r="J71" s="81">
        <v>490</v>
      </c>
      <c r="K71" s="81">
        <f t="shared" si="13"/>
        <v>58.8</v>
      </c>
      <c r="L71" s="111"/>
      <c r="M71" s="102"/>
      <c r="N71" s="71"/>
    </row>
    <row r="72" spans="1:14" ht="14.1" customHeight="1">
      <c r="A72" s="804"/>
      <c r="B72" s="85"/>
      <c r="C72" s="85"/>
      <c r="D72" s="85"/>
      <c r="E72" s="172" t="s">
        <v>9</v>
      </c>
      <c r="F72" s="110">
        <f>SUM(F67:F71)</f>
        <v>54.679999999999993</v>
      </c>
      <c r="G72" s="172"/>
      <c r="H72" s="172"/>
      <c r="I72" s="125"/>
      <c r="J72" s="97"/>
      <c r="K72" s="111">
        <f>SUM(K67:K71)</f>
        <v>1171.58</v>
      </c>
      <c r="L72" s="111">
        <f>K72/F72</f>
        <v>21.426115581565472</v>
      </c>
      <c r="M72" s="102"/>
      <c r="N72" s="71"/>
    </row>
    <row r="73" spans="1:14" ht="14.1" customHeight="1">
      <c r="A73" s="804">
        <v>9897</v>
      </c>
      <c r="B73" s="804" t="s">
        <v>1240</v>
      </c>
      <c r="C73" s="804" t="s">
        <v>121</v>
      </c>
      <c r="D73" s="804" t="s">
        <v>369</v>
      </c>
      <c r="E73" s="804" t="s">
        <v>563</v>
      </c>
      <c r="F73" s="222">
        <f>50*1.0936</f>
        <v>54.679999999999993</v>
      </c>
      <c r="G73" s="93" t="s">
        <v>190</v>
      </c>
      <c r="H73" s="79"/>
      <c r="I73" s="80">
        <v>0.78</v>
      </c>
      <c r="J73" s="81">
        <v>644</v>
      </c>
      <c r="K73" s="81">
        <f t="shared" ref="K73:K77" si="14">I73*J73</f>
        <v>502.32</v>
      </c>
      <c r="L73" s="102"/>
      <c r="M73" s="102"/>
      <c r="N73" s="71"/>
    </row>
    <row r="74" spans="1:14" ht="14.1" customHeight="1">
      <c r="A74" s="804"/>
      <c r="B74" s="85"/>
      <c r="C74" s="85"/>
      <c r="D74" s="85"/>
      <c r="E74" s="120"/>
      <c r="F74" s="110"/>
      <c r="G74" s="803" t="s">
        <v>192</v>
      </c>
      <c r="H74" s="79"/>
      <c r="I74" s="80">
        <v>0.42</v>
      </c>
      <c r="J74" s="81">
        <v>1126</v>
      </c>
      <c r="K74" s="81">
        <f t="shared" si="14"/>
        <v>472.91999999999996</v>
      </c>
      <c r="L74" s="102"/>
      <c r="M74" s="102"/>
      <c r="N74" s="71"/>
    </row>
    <row r="75" spans="1:14" ht="14.1" customHeight="1">
      <c r="A75" s="804"/>
      <c r="B75" s="85"/>
      <c r="C75" s="85"/>
      <c r="D75" s="85"/>
      <c r="E75" s="172"/>
      <c r="F75" s="110"/>
      <c r="G75" s="803" t="s">
        <v>193</v>
      </c>
      <c r="H75" s="79"/>
      <c r="I75" s="80">
        <v>1.5</v>
      </c>
      <c r="J75" s="81">
        <v>1150</v>
      </c>
      <c r="K75" s="81">
        <f t="shared" si="14"/>
        <v>1725</v>
      </c>
      <c r="L75" s="102"/>
      <c r="M75" s="102"/>
      <c r="N75" s="71"/>
    </row>
    <row r="76" spans="1:14" ht="14.1" customHeight="1">
      <c r="A76" s="804"/>
      <c r="B76" s="85"/>
      <c r="C76" s="85"/>
      <c r="D76" s="85"/>
      <c r="E76" s="172"/>
      <c r="F76" s="110"/>
      <c r="G76" s="804" t="s">
        <v>184</v>
      </c>
      <c r="H76" s="804"/>
      <c r="I76" s="80">
        <v>0.6</v>
      </c>
      <c r="J76" s="81">
        <v>336</v>
      </c>
      <c r="K76" s="94">
        <f t="shared" si="14"/>
        <v>201.6</v>
      </c>
      <c r="L76" s="102"/>
      <c r="M76" s="102"/>
      <c r="N76" s="71"/>
    </row>
    <row r="77" spans="1:14" ht="14.1" customHeight="1">
      <c r="A77" s="804"/>
      <c r="B77" s="85"/>
      <c r="C77" s="85"/>
      <c r="D77" s="85"/>
      <c r="E77" s="172"/>
      <c r="F77" s="110"/>
      <c r="G77" s="95" t="s">
        <v>185</v>
      </c>
      <c r="H77" s="79"/>
      <c r="I77" s="96">
        <v>0.12</v>
      </c>
      <c r="J77" s="81">
        <v>490</v>
      </c>
      <c r="K77" s="81">
        <f t="shared" si="14"/>
        <v>58.8</v>
      </c>
      <c r="L77" s="102"/>
      <c r="M77" s="102"/>
      <c r="N77" s="71"/>
    </row>
    <row r="78" spans="1:14" ht="14.1" customHeight="1">
      <c r="A78" s="804"/>
      <c r="B78" s="85"/>
      <c r="C78" s="85"/>
      <c r="D78" s="85"/>
      <c r="E78" s="172" t="s">
        <v>9</v>
      </c>
      <c r="F78" s="110">
        <f>SUM(F73:F77)</f>
        <v>54.679999999999993</v>
      </c>
      <c r="G78" s="172"/>
      <c r="H78" s="172"/>
      <c r="I78" s="125"/>
      <c r="J78" s="97"/>
      <c r="K78" s="111">
        <f>SUM(K73:K77)</f>
        <v>2960.64</v>
      </c>
      <c r="L78" s="111">
        <f>K78/F78</f>
        <v>54.144842721287496</v>
      </c>
      <c r="M78" s="102"/>
      <c r="N78" s="71"/>
    </row>
    <row r="79" spans="1:14" ht="14.1" customHeight="1">
      <c r="A79" s="804">
        <v>5968</v>
      </c>
      <c r="B79" s="804" t="s">
        <v>954</v>
      </c>
      <c r="C79" s="804" t="s">
        <v>494</v>
      </c>
      <c r="D79" s="804" t="s">
        <v>1169</v>
      </c>
      <c r="E79" s="804" t="s">
        <v>102</v>
      </c>
      <c r="F79" s="222">
        <f>1000*1.0936</f>
        <v>1093.5999999999999</v>
      </c>
      <c r="G79" s="802" t="s">
        <v>405</v>
      </c>
      <c r="H79" s="79"/>
      <c r="I79" s="80">
        <f>1.528+0.11</f>
        <v>1.6380000000000001</v>
      </c>
      <c r="J79" s="81">
        <v>1708</v>
      </c>
      <c r="K79" s="81">
        <f t="shared" ref="K79:K83" si="15">I79*J79</f>
        <v>2797.7040000000002</v>
      </c>
      <c r="L79" s="102"/>
      <c r="M79" s="102"/>
      <c r="N79" s="71"/>
    </row>
    <row r="80" spans="1:14" ht="14.1" customHeight="1">
      <c r="A80" s="804"/>
      <c r="B80" s="804"/>
      <c r="C80" s="804"/>
      <c r="D80" s="804"/>
      <c r="E80" s="804"/>
      <c r="F80" s="804"/>
      <c r="G80" s="803" t="s">
        <v>192</v>
      </c>
      <c r="H80" s="79"/>
      <c r="I80" s="80">
        <f>0.9+0.1</f>
        <v>1</v>
      </c>
      <c r="J80" s="81">
        <v>1126</v>
      </c>
      <c r="K80" s="81">
        <f t="shared" si="15"/>
        <v>1126</v>
      </c>
      <c r="L80" s="102"/>
      <c r="M80" s="102"/>
      <c r="N80" s="71"/>
    </row>
    <row r="81" spans="1:14" ht="14.1" customHeight="1">
      <c r="A81" s="804"/>
      <c r="B81" s="599"/>
      <c r="C81" s="599"/>
      <c r="D81" s="599"/>
      <c r="E81" s="599"/>
      <c r="F81" s="98"/>
      <c r="G81" s="803" t="s">
        <v>193</v>
      </c>
      <c r="H81" s="79"/>
      <c r="I81" s="80">
        <v>4.9400000000000004</v>
      </c>
      <c r="J81" s="81">
        <v>1150</v>
      </c>
      <c r="K81" s="81">
        <f t="shared" si="15"/>
        <v>5681</v>
      </c>
      <c r="L81" s="102"/>
      <c r="M81" s="102"/>
      <c r="N81" s="71"/>
    </row>
    <row r="82" spans="1:14" ht="14.1" customHeight="1">
      <c r="A82" s="804"/>
      <c r="B82" s="599"/>
      <c r="C82" s="599"/>
      <c r="D82" s="599"/>
      <c r="E82" s="599"/>
      <c r="F82" s="98"/>
      <c r="G82" s="804" t="s">
        <v>184</v>
      </c>
      <c r="H82" s="804"/>
      <c r="I82" s="80">
        <v>3.25</v>
      </c>
      <c r="J82" s="81">
        <v>336</v>
      </c>
      <c r="K82" s="94">
        <f t="shared" si="15"/>
        <v>1092</v>
      </c>
      <c r="L82" s="102"/>
      <c r="M82" s="102"/>
      <c r="N82" s="71"/>
    </row>
    <row r="83" spans="1:14" ht="14.1" customHeight="1">
      <c r="A83" s="804"/>
      <c r="B83" s="599"/>
      <c r="C83" s="599"/>
      <c r="D83" s="599"/>
      <c r="E83" s="599"/>
      <c r="F83" s="98"/>
      <c r="G83" s="95" t="s">
        <v>185</v>
      </c>
      <c r="H83" s="79"/>
      <c r="I83" s="96">
        <v>0.7</v>
      </c>
      <c r="J83" s="81">
        <v>490</v>
      </c>
      <c r="K83" s="81">
        <f t="shared" si="15"/>
        <v>343</v>
      </c>
      <c r="L83" s="102"/>
      <c r="M83" s="102"/>
      <c r="N83" s="71"/>
    </row>
    <row r="84" spans="1:14" ht="14.1" customHeight="1">
      <c r="A84" s="804"/>
      <c r="B84" s="85"/>
      <c r="C84" s="85"/>
      <c r="D84" s="85"/>
      <c r="E84" s="172" t="s">
        <v>9</v>
      </c>
      <c r="F84" s="110">
        <f>SUM(F79:F83)</f>
        <v>1093.5999999999999</v>
      </c>
      <c r="G84" s="172"/>
      <c r="H84" s="172"/>
      <c r="I84" s="125"/>
      <c r="J84" s="97"/>
      <c r="K84" s="111">
        <f>SUM(K79:K83)</f>
        <v>11039.704</v>
      </c>
      <c r="L84" s="111">
        <f>K84/F84</f>
        <v>10.094828090709584</v>
      </c>
      <c r="M84" s="102"/>
      <c r="N84" s="71"/>
    </row>
    <row r="85" spans="1:14" ht="14.1" customHeight="1">
      <c r="A85" s="202"/>
      <c r="B85" s="202"/>
      <c r="C85" s="202"/>
      <c r="D85" s="126" t="s">
        <v>30</v>
      </c>
      <c r="E85" s="126"/>
      <c r="F85" s="127">
        <f>F48+F54+F60+F66+F72+F78+F84</f>
        <v>22544.563999999998</v>
      </c>
      <c r="G85" s="128"/>
      <c r="H85" s="128"/>
      <c r="I85" s="128"/>
      <c r="J85" s="128"/>
      <c r="K85" s="127">
        <f>K48+K54+K60+K66+K72+K78+K84</f>
        <v>188988.60900000003</v>
      </c>
      <c r="L85" s="129">
        <f>K85/F85</f>
        <v>8.3828903943318682</v>
      </c>
      <c r="M85" s="131"/>
      <c r="N85" s="71"/>
    </row>
    <row r="86" spans="1:14" ht="14.1" customHeight="1">
      <c r="A86" s="70" t="s">
        <v>40</v>
      </c>
      <c r="B86" s="70"/>
      <c r="C86" s="70"/>
      <c r="D86" s="70"/>
      <c r="E86" s="70"/>
      <c r="F86" s="71"/>
      <c r="G86" s="71"/>
      <c r="H86" s="71"/>
      <c r="I86" s="140"/>
      <c r="J86" s="71"/>
      <c r="K86" s="824" t="s">
        <v>1221</v>
      </c>
      <c r="L86" s="824"/>
      <c r="M86" s="824"/>
      <c r="N86" s="71"/>
    </row>
    <row r="87" spans="1:14" ht="14.1" customHeight="1">
      <c r="A87" s="172" t="s">
        <v>0</v>
      </c>
      <c r="B87" s="172" t="s">
        <v>7</v>
      </c>
      <c r="C87" s="172" t="s">
        <v>13</v>
      </c>
      <c r="D87" s="172" t="s">
        <v>14</v>
      </c>
      <c r="E87" s="172" t="s">
        <v>8</v>
      </c>
      <c r="F87" s="172" t="s">
        <v>1</v>
      </c>
      <c r="G87" s="172" t="s">
        <v>2</v>
      </c>
      <c r="H87" s="172" t="s">
        <v>15</v>
      </c>
      <c r="I87" s="141" t="s">
        <v>3</v>
      </c>
      <c r="J87" s="172" t="s">
        <v>4</v>
      </c>
      <c r="K87" s="172" t="s">
        <v>5</v>
      </c>
      <c r="L87" s="172" t="s">
        <v>12</v>
      </c>
      <c r="M87" s="172" t="s">
        <v>6</v>
      </c>
      <c r="N87" s="123"/>
    </row>
    <row r="88" spans="1:14" ht="14.1" customHeight="1">
      <c r="A88" s="85">
        <v>10341</v>
      </c>
      <c r="B88" s="804" t="s">
        <v>1232</v>
      </c>
      <c r="C88" s="89" t="s">
        <v>1026</v>
      </c>
      <c r="D88" s="89" t="s">
        <v>1116</v>
      </c>
      <c r="E88" s="804" t="s">
        <v>127</v>
      </c>
      <c r="F88" s="90">
        <f>2280*1.0936</f>
        <v>2493.4079999999999</v>
      </c>
      <c r="G88" s="120" t="s">
        <v>27</v>
      </c>
      <c r="H88" s="79"/>
      <c r="I88" s="80">
        <v>125</v>
      </c>
      <c r="J88" s="81">
        <v>22</v>
      </c>
      <c r="K88" s="81">
        <f t="shared" ref="K88:K90" si="16">I88*J88</f>
        <v>2750</v>
      </c>
      <c r="L88" s="85"/>
      <c r="M88" s="85"/>
      <c r="N88" s="200"/>
    </row>
    <row r="89" spans="1:14" ht="14.1" customHeight="1">
      <c r="A89" s="85"/>
      <c r="B89" s="3"/>
      <c r="C89" s="3"/>
      <c r="D89" s="3"/>
      <c r="E89" s="120"/>
      <c r="F89" s="4"/>
      <c r="G89" s="83" t="s">
        <v>49</v>
      </c>
      <c r="H89" s="79"/>
      <c r="I89" s="80">
        <v>10</v>
      </c>
      <c r="J89" s="81">
        <v>34</v>
      </c>
      <c r="K89" s="81">
        <f t="shared" si="16"/>
        <v>340</v>
      </c>
      <c r="L89" s="85"/>
      <c r="M89" s="85"/>
      <c r="N89" s="200"/>
    </row>
    <row r="90" spans="1:14" ht="14.1" customHeight="1">
      <c r="A90" s="85"/>
      <c r="B90" s="85"/>
      <c r="C90" s="85"/>
      <c r="D90" s="85"/>
      <c r="E90" s="85"/>
      <c r="F90" s="85"/>
      <c r="G90" s="120" t="s">
        <v>19</v>
      </c>
      <c r="H90" s="79"/>
      <c r="I90" s="80">
        <v>3</v>
      </c>
      <c r="J90" s="81">
        <v>80</v>
      </c>
      <c r="K90" s="81">
        <f t="shared" si="16"/>
        <v>240</v>
      </c>
      <c r="L90" s="85"/>
      <c r="M90" s="85"/>
      <c r="N90" s="200"/>
    </row>
    <row r="91" spans="1:14" ht="14.1" customHeight="1">
      <c r="A91" s="85"/>
      <c r="B91" s="85"/>
      <c r="C91" s="85"/>
      <c r="D91" s="85"/>
      <c r="E91" s="172" t="s">
        <v>9</v>
      </c>
      <c r="F91" s="110">
        <f>SUM(F88:F90)</f>
        <v>2493.4079999999999</v>
      </c>
      <c r="G91" s="172"/>
      <c r="H91" s="172"/>
      <c r="I91" s="125"/>
      <c r="J91" s="97"/>
      <c r="K91" s="111">
        <f>SUM(K88:K90)</f>
        <v>3330</v>
      </c>
      <c r="L91" s="111">
        <f>K91/F91</f>
        <v>1.3355215030993726</v>
      </c>
      <c r="M91" s="102"/>
      <c r="N91" s="71"/>
    </row>
    <row r="92" spans="1:14" ht="14.1" customHeight="1">
      <c r="A92" s="85">
        <v>10345</v>
      </c>
      <c r="B92" s="804" t="s">
        <v>1223</v>
      </c>
      <c r="C92" s="804" t="s">
        <v>121</v>
      </c>
      <c r="D92" s="804" t="s">
        <v>1093</v>
      </c>
      <c r="E92" s="805" t="s">
        <v>397</v>
      </c>
      <c r="F92" s="98">
        <f>15740*1.0936</f>
        <v>17213.263999999999</v>
      </c>
      <c r="G92" s="120" t="s">
        <v>27</v>
      </c>
      <c r="H92" s="79"/>
      <c r="I92" s="80">
        <v>675</v>
      </c>
      <c r="J92" s="81">
        <v>22</v>
      </c>
      <c r="K92" s="81">
        <f t="shared" ref="K92:K94" si="17">I92*J92</f>
        <v>14850</v>
      </c>
      <c r="L92" s="85"/>
      <c r="M92" s="85"/>
      <c r="N92" s="200"/>
    </row>
    <row r="93" spans="1:14" ht="14.1" customHeight="1">
      <c r="A93" s="85"/>
      <c r="B93" s="120"/>
      <c r="C93" s="120"/>
      <c r="D93" s="120"/>
      <c r="E93" s="120"/>
      <c r="F93" s="120"/>
      <c r="G93" s="83" t="s">
        <v>49</v>
      </c>
      <c r="H93" s="79"/>
      <c r="I93" s="80">
        <v>54</v>
      </c>
      <c r="J93" s="81">
        <v>34</v>
      </c>
      <c r="K93" s="81">
        <f t="shared" si="17"/>
        <v>1836</v>
      </c>
      <c r="L93" s="85"/>
      <c r="M93" s="85"/>
      <c r="N93" s="200"/>
    </row>
    <row r="94" spans="1:14" ht="14.1" customHeight="1">
      <c r="A94" s="85"/>
      <c r="B94" s="85"/>
      <c r="C94" s="85"/>
      <c r="D94" s="85"/>
      <c r="E94" s="85"/>
      <c r="F94" s="85"/>
      <c r="G94" s="120" t="s">
        <v>19</v>
      </c>
      <c r="H94" s="79"/>
      <c r="I94" s="80">
        <v>16.2</v>
      </c>
      <c r="J94" s="81">
        <v>80</v>
      </c>
      <c r="K94" s="81">
        <f t="shared" si="17"/>
        <v>1296</v>
      </c>
      <c r="L94" s="85"/>
      <c r="M94" s="85"/>
      <c r="N94" s="200"/>
    </row>
    <row r="95" spans="1:14" ht="14.1" customHeight="1">
      <c r="A95" s="85"/>
      <c r="B95" s="85"/>
      <c r="C95" s="85"/>
      <c r="D95" s="85"/>
      <c r="E95" s="172" t="s">
        <v>9</v>
      </c>
      <c r="F95" s="110">
        <f>SUM(F92:F94)</f>
        <v>17213.263999999999</v>
      </c>
      <c r="G95" s="172"/>
      <c r="H95" s="172"/>
      <c r="I95" s="125"/>
      <c r="J95" s="97"/>
      <c r="K95" s="111">
        <f>SUM(K92:K94)</f>
        <v>17982</v>
      </c>
      <c r="L95" s="111">
        <f>K95/F95</f>
        <v>1.0446595137331305</v>
      </c>
      <c r="M95" s="102"/>
      <c r="N95" s="71"/>
    </row>
    <row r="96" spans="1:14" ht="14.1" customHeight="1">
      <c r="A96" s="85">
        <v>10341</v>
      </c>
      <c r="B96" s="804" t="s">
        <v>1189</v>
      </c>
      <c r="C96" s="804" t="s">
        <v>516</v>
      </c>
      <c r="D96" s="804" t="s">
        <v>1174</v>
      </c>
      <c r="E96" s="804" t="s">
        <v>127</v>
      </c>
      <c r="F96" s="222">
        <f>420*1.0936</f>
        <v>459.31199999999995</v>
      </c>
      <c r="G96" s="120" t="s">
        <v>27</v>
      </c>
      <c r="H96" s="79"/>
      <c r="I96" s="80">
        <v>30</v>
      </c>
      <c r="J96" s="81">
        <v>22</v>
      </c>
      <c r="K96" s="81">
        <f t="shared" ref="K96:K98" si="18">I96*J96</f>
        <v>660</v>
      </c>
      <c r="L96" s="85"/>
      <c r="M96" s="85"/>
      <c r="N96" s="200"/>
    </row>
    <row r="97" spans="1:14" ht="14.1" customHeight="1">
      <c r="A97" s="85"/>
      <c r="B97" s="120"/>
      <c r="C97" s="120"/>
      <c r="D97" s="120"/>
      <c r="E97" s="120"/>
      <c r="F97" s="108"/>
      <c r="G97" s="83" t="s">
        <v>49</v>
      </c>
      <c r="H97" s="79"/>
      <c r="I97" s="80">
        <v>1.5</v>
      </c>
      <c r="J97" s="81">
        <v>34</v>
      </c>
      <c r="K97" s="81">
        <f t="shared" si="18"/>
        <v>51</v>
      </c>
      <c r="L97" s="85"/>
      <c r="M97" s="85"/>
      <c r="N97" s="200"/>
    </row>
    <row r="98" spans="1:14" ht="14.1" customHeight="1">
      <c r="A98" s="85"/>
      <c r="B98" s="85"/>
      <c r="C98" s="85"/>
      <c r="D98" s="85"/>
      <c r="E98" s="85"/>
      <c r="F98" s="85"/>
      <c r="G98" s="120" t="s">
        <v>19</v>
      </c>
      <c r="H98" s="79"/>
      <c r="I98" s="80">
        <v>0.05</v>
      </c>
      <c r="J98" s="81">
        <v>80</v>
      </c>
      <c r="K98" s="81">
        <f t="shared" si="18"/>
        <v>4</v>
      </c>
      <c r="L98" s="85"/>
      <c r="M98" s="85"/>
      <c r="N98" s="200"/>
    </row>
    <row r="99" spans="1:14" ht="14.1" customHeight="1">
      <c r="A99" s="85"/>
      <c r="B99" s="85"/>
      <c r="C99" s="85"/>
      <c r="D99" s="85"/>
      <c r="E99" s="172" t="s">
        <v>9</v>
      </c>
      <c r="F99" s="110">
        <f>SUM(F96:F98)</f>
        <v>459.31199999999995</v>
      </c>
      <c r="G99" s="172"/>
      <c r="H99" s="172"/>
      <c r="I99" s="125"/>
      <c r="J99" s="97"/>
      <c r="K99" s="111">
        <f>SUM(K96:K98)</f>
        <v>715</v>
      </c>
      <c r="L99" s="111">
        <f>K99/F99</f>
        <v>1.5566760720381789</v>
      </c>
      <c r="M99" s="85"/>
      <c r="N99" s="200"/>
    </row>
    <row r="100" spans="1:14" ht="14.1" customHeight="1">
      <c r="A100" s="202"/>
      <c r="B100" s="202"/>
      <c r="C100" s="202"/>
      <c r="D100" s="126" t="s">
        <v>30</v>
      </c>
      <c r="E100" s="142"/>
      <c r="F100" s="127">
        <f>F91+F95+F99</f>
        <v>20165.984</v>
      </c>
      <c r="G100" s="128"/>
      <c r="H100" s="128"/>
      <c r="I100" s="128"/>
      <c r="J100" s="128"/>
      <c r="K100" s="127">
        <f>K91+K95+K99</f>
        <v>22027</v>
      </c>
      <c r="L100" s="129">
        <f>K100/F100</f>
        <v>1.0922849090825422</v>
      </c>
      <c r="M100" s="131"/>
      <c r="N100" s="71"/>
    </row>
    <row r="101" spans="1:14" ht="14.1" customHeight="1">
      <c r="A101" s="106" t="s">
        <v>11</v>
      </c>
      <c r="B101" s="106"/>
      <c r="C101" s="106"/>
      <c r="D101" s="106"/>
      <c r="E101" s="106"/>
      <c r="F101" s="107"/>
      <c r="G101" s="107"/>
      <c r="H101" s="107"/>
      <c r="I101" s="107"/>
      <c r="J101" s="107"/>
      <c r="K101" s="824" t="s">
        <v>1221</v>
      </c>
      <c r="L101" s="824"/>
      <c r="M101" s="824"/>
      <c r="N101" s="71"/>
    </row>
    <row r="102" spans="1:14" ht="14.1" customHeight="1">
      <c r="A102" s="203" t="s">
        <v>0</v>
      </c>
      <c r="B102" s="203" t="s">
        <v>7</v>
      </c>
      <c r="C102" s="203" t="s">
        <v>13</v>
      </c>
      <c r="D102" s="203" t="s">
        <v>14</v>
      </c>
      <c r="E102" s="203" t="s">
        <v>8</v>
      </c>
      <c r="F102" s="203" t="s">
        <v>1</v>
      </c>
      <c r="G102" s="203" t="s">
        <v>2</v>
      </c>
      <c r="H102" s="203" t="s">
        <v>15</v>
      </c>
      <c r="I102" s="203" t="s">
        <v>3</v>
      </c>
      <c r="J102" s="203" t="s">
        <v>4</v>
      </c>
      <c r="K102" s="203" t="s">
        <v>5</v>
      </c>
      <c r="L102" s="203" t="s">
        <v>12</v>
      </c>
      <c r="M102" s="203" t="s">
        <v>6</v>
      </c>
      <c r="N102" s="123"/>
    </row>
    <row r="103" spans="1:14" ht="14.1" customHeight="1">
      <c r="A103" s="120">
        <v>8071</v>
      </c>
      <c r="B103" s="804" t="s">
        <v>1167</v>
      </c>
      <c r="C103" s="804" t="s">
        <v>121</v>
      </c>
      <c r="D103" s="804" t="s">
        <v>369</v>
      </c>
      <c r="E103" s="804" t="s">
        <v>323</v>
      </c>
      <c r="F103" s="222">
        <f>13200*1.0936</f>
        <v>14435.519999999999</v>
      </c>
      <c r="G103" s="173" t="s">
        <v>799</v>
      </c>
      <c r="H103" s="79"/>
      <c r="I103" s="188">
        <v>37.5</v>
      </c>
      <c r="J103" s="81">
        <v>350</v>
      </c>
      <c r="K103" s="94">
        <f t="shared" ref="K103:K105" si="19">I103*J103</f>
        <v>13125</v>
      </c>
      <c r="L103" s="79"/>
      <c r="M103" s="79"/>
      <c r="N103" s="71"/>
    </row>
    <row r="104" spans="1:14" ht="14.1" customHeight="1">
      <c r="A104" s="804"/>
      <c r="B104" s="804"/>
      <c r="C104" s="804"/>
      <c r="D104" s="804"/>
      <c r="E104" s="804"/>
      <c r="F104" s="222"/>
      <c r="G104" s="802" t="s">
        <v>206</v>
      </c>
      <c r="H104" s="79"/>
      <c r="I104" s="81">
        <v>20</v>
      </c>
      <c r="J104" s="81">
        <v>375</v>
      </c>
      <c r="K104" s="81">
        <f t="shared" si="19"/>
        <v>7500</v>
      </c>
      <c r="L104" s="79"/>
      <c r="M104" s="79"/>
      <c r="N104" s="71"/>
    </row>
    <row r="105" spans="1:14" ht="14.1" customHeight="1">
      <c r="A105" s="804"/>
      <c r="B105" s="804"/>
      <c r="C105" s="804"/>
      <c r="D105" s="804"/>
      <c r="E105" s="804"/>
      <c r="F105" s="222"/>
      <c r="G105" s="173" t="s">
        <v>298</v>
      </c>
      <c r="H105" s="79"/>
      <c r="I105" s="80">
        <v>25</v>
      </c>
      <c r="J105" s="81">
        <v>435</v>
      </c>
      <c r="K105" s="94">
        <f t="shared" si="19"/>
        <v>10875</v>
      </c>
      <c r="L105" s="79"/>
      <c r="M105" s="79"/>
      <c r="N105" s="71"/>
    </row>
    <row r="106" spans="1:14" ht="14.1" customHeight="1">
      <c r="A106" s="804"/>
      <c r="B106" s="804"/>
      <c r="C106" s="804"/>
      <c r="D106" s="804"/>
      <c r="E106" s="804"/>
      <c r="F106" s="222"/>
      <c r="G106" s="802" t="s">
        <v>798</v>
      </c>
      <c r="H106" s="79"/>
      <c r="I106" s="81">
        <v>7.6</v>
      </c>
      <c r="J106" s="81">
        <v>248</v>
      </c>
      <c r="K106" s="81">
        <f>I106*J106</f>
        <v>1884.8</v>
      </c>
      <c r="L106" s="79"/>
      <c r="M106" s="79"/>
      <c r="N106" s="71"/>
    </row>
    <row r="107" spans="1:14" ht="14.1" customHeight="1">
      <c r="A107" s="120"/>
      <c r="B107" s="120"/>
      <c r="C107" s="120"/>
      <c r="D107" s="120"/>
      <c r="E107" s="268" t="s">
        <v>9</v>
      </c>
      <c r="F107" s="108">
        <f>SUM(F103:F106)</f>
        <v>14435.519999999999</v>
      </c>
      <c r="G107" s="268"/>
      <c r="H107" s="268"/>
      <c r="I107" s="81"/>
      <c r="J107" s="81"/>
      <c r="K107" s="103">
        <f>SUM(K103:K106)</f>
        <v>33384.800000000003</v>
      </c>
      <c r="L107" s="103">
        <f>K107/F107</f>
        <v>2.312684267695241</v>
      </c>
      <c r="M107" s="79"/>
      <c r="N107" s="71"/>
    </row>
    <row r="108" spans="1:14" ht="14.1" customHeight="1">
      <c r="A108" s="120">
        <v>8069</v>
      </c>
      <c r="B108" s="804" t="s">
        <v>269</v>
      </c>
      <c r="C108" s="120"/>
      <c r="D108" s="120"/>
      <c r="E108" s="120"/>
      <c r="F108" s="222">
        <f>200*1.0936</f>
        <v>218.71999999999997</v>
      </c>
      <c r="G108" s="802" t="s">
        <v>1192</v>
      </c>
      <c r="H108" s="79"/>
      <c r="I108" s="80">
        <v>5</v>
      </c>
      <c r="J108" s="81">
        <v>342</v>
      </c>
      <c r="K108" s="94">
        <f t="shared" ref="K108:K109" si="20">I108*J108</f>
        <v>1710</v>
      </c>
      <c r="L108" s="102"/>
      <c r="M108" s="79"/>
      <c r="N108" s="71"/>
    </row>
    <row r="109" spans="1:14" ht="14.1" customHeight="1">
      <c r="A109" s="804"/>
      <c r="B109" s="804"/>
      <c r="C109" s="804"/>
      <c r="D109" s="804"/>
      <c r="E109" s="804"/>
      <c r="F109" s="222"/>
      <c r="G109" s="802" t="s">
        <v>206</v>
      </c>
      <c r="H109" s="79"/>
      <c r="I109" s="81">
        <v>5</v>
      </c>
      <c r="J109" s="81">
        <v>375</v>
      </c>
      <c r="K109" s="81">
        <f t="shared" si="20"/>
        <v>1875</v>
      </c>
      <c r="L109" s="102"/>
      <c r="M109" s="79"/>
      <c r="N109" s="71"/>
    </row>
    <row r="110" spans="1:14" ht="14.1" customHeight="1">
      <c r="A110" s="120"/>
      <c r="B110" s="120"/>
      <c r="C110" s="120"/>
      <c r="D110" s="120"/>
      <c r="E110" s="268" t="s">
        <v>9</v>
      </c>
      <c r="F110" s="108">
        <f>SUM(F108:F109)</f>
        <v>218.71999999999997</v>
      </c>
      <c r="G110" s="268"/>
      <c r="H110" s="268"/>
      <c r="I110" s="81"/>
      <c r="J110" s="81"/>
      <c r="K110" s="103">
        <f>SUM(K108:K109)</f>
        <v>3585</v>
      </c>
      <c r="L110" s="103">
        <f>K110/F110</f>
        <v>16.39081931236284</v>
      </c>
      <c r="M110" s="79"/>
      <c r="N110" s="71"/>
    </row>
    <row r="111" spans="1:14" ht="14.1" customHeight="1">
      <c r="A111" s="120">
        <v>9995</v>
      </c>
      <c r="B111" s="804" t="s">
        <v>1089</v>
      </c>
      <c r="C111" s="804" t="s">
        <v>233</v>
      </c>
      <c r="D111" s="804" t="s">
        <v>1169</v>
      </c>
      <c r="E111" s="804" t="s">
        <v>102</v>
      </c>
      <c r="F111" s="222">
        <f>11000*1.0936</f>
        <v>12029.599999999999</v>
      </c>
      <c r="G111" s="802" t="s">
        <v>206</v>
      </c>
      <c r="H111" s="79"/>
      <c r="I111" s="81">
        <v>17</v>
      </c>
      <c r="J111" s="81">
        <v>375</v>
      </c>
      <c r="K111" s="81">
        <f t="shared" ref="K111" si="21">I111*J111</f>
        <v>6375</v>
      </c>
      <c r="L111" s="79"/>
      <c r="M111" s="79"/>
      <c r="N111" s="71"/>
    </row>
    <row r="112" spans="1:14" ht="14.1" customHeight="1">
      <c r="A112" s="120"/>
      <c r="B112" s="804"/>
      <c r="C112" s="804"/>
      <c r="D112" s="804"/>
      <c r="E112" s="599"/>
      <c r="F112" s="804"/>
      <c r="G112" s="802" t="s">
        <v>798</v>
      </c>
      <c r="H112" s="79"/>
      <c r="I112" s="81">
        <v>17</v>
      </c>
      <c r="J112" s="81">
        <v>248</v>
      </c>
      <c r="K112" s="81">
        <f>I112*J112</f>
        <v>4216</v>
      </c>
      <c r="L112" s="79"/>
      <c r="M112" s="79"/>
      <c r="N112" s="71"/>
    </row>
    <row r="113" spans="1:14" ht="14.1" customHeight="1">
      <c r="A113" s="120"/>
      <c r="B113" s="804"/>
      <c r="C113" s="804"/>
      <c r="D113" s="804"/>
      <c r="E113" s="599"/>
      <c r="F113" s="804"/>
      <c r="G113" s="804" t="s">
        <v>202</v>
      </c>
      <c r="H113" s="79"/>
      <c r="I113" s="188">
        <v>9</v>
      </c>
      <c r="J113" s="81">
        <v>386</v>
      </c>
      <c r="K113" s="81">
        <f t="shared" ref="K113" si="22">I113*J113</f>
        <v>3474</v>
      </c>
      <c r="L113" s="79"/>
      <c r="M113" s="79"/>
      <c r="N113" s="71"/>
    </row>
    <row r="114" spans="1:14" ht="14.1" customHeight="1">
      <c r="A114" s="120"/>
      <c r="B114" s="120"/>
      <c r="C114" s="120"/>
      <c r="D114" s="120"/>
      <c r="E114" s="203" t="s">
        <v>9</v>
      </c>
      <c r="F114" s="108">
        <f>SUM(F111:F113)</f>
        <v>12029.599999999999</v>
      </c>
      <c r="G114" s="203"/>
      <c r="H114" s="203"/>
      <c r="I114" s="81"/>
      <c r="J114" s="81"/>
      <c r="K114" s="103">
        <f>SUM(K111:K113)</f>
        <v>14065</v>
      </c>
      <c r="L114" s="103">
        <f>K114/F114</f>
        <v>1.1691993083726808</v>
      </c>
      <c r="M114" s="79"/>
      <c r="N114" s="71"/>
    </row>
    <row r="115" spans="1:14" ht="14.1" customHeight="1">
      <c r="A115" s="120">
        <v>9994</v>
      </c>
      <c r="B115" s="804" t="s">
        <v>892</v>
      </c>
      <c r="C115" s="89" t="s">
        <v>766</v>
      </c>
      <c r="D115" s="89" t="s">
        <v>465</v>
      </c>
      <c r="E115" s="804" t="s">
        <v>635</v>
      </c>
      <c r="F115" s="87">
        <f>6750*1.0936</f>
        <v>7381.7999999999993</v>
      </c>
      <c r="G115" s="173" t="s">
        <v>298</v>
      </c>
      <c r="H115" s="79"/>
      <c r="I115" s="80">
        <v>24</v>
      </c>
      <c r="J115" s="81">
        <v>435</v>
      </c>
      <c r="K115" s="94">
        <f t="shared" ref="K115" si="23">I115*J115</f>
        <v>10440</v>
      </c>
      <c r="L115" s="79"/>
      <c r="M115" s="79"/>
      <c r="N115" s="71"/>
    </row>
    <row r="116" spans="1:14" ht="14.1" customHeight="1">
      <c r="A116" s="120"/>
      <c r="B116" s="120"/>
      <c r="C116" s="120"/>
      <c r="D116" s="120"/>
      <c r="E116" s="120"/>
      <c r="F116" s="120"/>
      <c r="G116" s="802" t="s">
        <v>698</v>
      </c>
      <c r="H116" s="79"/>
      <c r="I116" s="80">
        <v>1</v>
      </c>
      <c r="J116" s="81">
        <v>152</v>
      </c>
      <c r="K116" s="94">
        <f t="shared" ref="K116" si="24">I116*J116</f>
        <v>152</v>
      </c>
      <c r="L116" s="79"/>
      <c r="M116" s="79"/>
      <c r="N116" s="71"/>
    </row>
    <row r="117" spans="1:14" ht="14.1" customHeight="1">
      <c r="A117" s="120"/>
      <c r="B117" s="120"/>
      <c r="C117" s="120"/>
      <c r="D117" s="120"/>
      <c r="E117" s="120"/>
      <c r="F117" s="120"/>
      <c r="G117" s="802" t="s">
        <v>798</v>
      </c>
      <c r="H117" s="79"/>
      <c r="I117" s="81">
        <v>5</v>
      </c>
      <c r="J117" s="81">
        <v>248</v>
      </c>
      <c r="K117" s="81">
        <f>I117*J117</f>
        <v>1240</v>
      </c>
      <c r="L117" s="79"/>
      <c r="M117" s="79"/>
      <c r="N117" s="71"/>
    </row>
    <row r="118" spans="1:14" ht="14.1" customHeight="1">
      <c r="A118" s="120"/>
      <c r="B118" s="120"/>
      <c r="C118" s="120"/>
      <c r="D118" s="120"/>
      <c r="E118" s="268" t="s">
        <v>9</v>
      </c>
      <c r="F118" s="108">
        <f>SUM(F115:F117)</f>
        <v>7381.7999999999993</v>
      </c>
      <c r="G118" s="268"/>
      <c r="H118" s="268"/>
      <c r="I118" s="81"/>
      <c r="J118" s="81"/>
      <c r="K118" s="103">
        <f>SUM(K115:K117)</f>
        <v>11832</v>
      </c>
      <c r="L118" s="103">
        <f>K118/F118</f>
        <v>1.6028610907908643</v>
      </c>
      <c r="M118" s="79"/>
      <c r="N118" s="71"/>
    </row>
    <row r="119" spans="1:14" ht="14.1" customHeight="1">
      <c r="A119" s="120">
        <v>5759</v>
      </c>
      <c r="B119" s="804" t="s">
        <v>1226</v>
      </c>
      <c r="C119" s="89" t="s">
        <v>1026</v>
      </c>
      <c r="D119" s="89" t="s">
        <v>322</v>
      </c>
      <c r="E119" s="804" t="s">
        <v>93</v>
      </c>
      <c r="F119" s="98">
        <f>900*1.0936</f>
        <v>984.2399999999999</v>
      </c>
      <c r="G119" s="802" t="s">
        <v>1192</v>
      </c>
      <c r="H119" s="79"/>
      <c r="I119" s="80">
        <v>3</v>
      </c>
      <c r="J119" s="81">
        <v>342</v>
      </c>
      <c r="K119" s="94">
        <f t="shared" ref="K119:K120" si="25">I119*J119</f>
        <v>1026</v>
      </c>
      <c r="L119" s="79"/>
      <c r="M119" s="79"/>
      <c r="N119" s="71"/>
    </row>
    <row r="120" spans="1:14" ht="14.1" customHeight="1">
      <c r="A120" s="120"/>
      <c r="B120" s="804" t="s">
        <v>1082</v>
      </c>
      <c r="C120" s="89" t="s">
        <v>1026</v>
      </c>
      <c r="D120" s="89" t="s">
        <v>322</v>
      </c>
      <c r="E120" s="804" t="s">
        <v>93</v>
      </c>
      <c r="F120" s="98">
        <f>875*1.0936</f>
        <v>956.89999999999986</v>
      </c>
      <c r="G120" s="802" t="s">
        <v>206</v>
      </c>
      <c r="H120" s="79"/>
      <c r="I120" s="81">
        <v>3</v>
      </c>
      <c r="J120" s="81">
        <v>375</v>
      </c>
      <c r="K120" s="81">
        <f t="shared" si="25"/>
        <v>1125</v>
      </c>
      <c r="L120" s="79"/>
      <c r="M120" s="79"/>
      <c r="N120" s="71"/>
    </row>
    <row r="121" spans="1:14" ht="14.1" customHeight="1">
      <c r="A121" s="120"/>
      <c r="B121" s="120"/>
      <c r="C121" s="120"/>
      <c r="D121" s="120"/>
      <c r="E121" s="268" t="s">
        <v>9</v>
      </c>
      <c r="F121" s="108">
        <f>SUM(F119:F120)</f>
        <v>1941.1399999999999</v>
      </c>
      <c r="G121" s="268"/>
      <c r="H121" s="268"/>
      <c r="I121" s="81"/>
      <c r="J121" s="81"/>
      <c r="K121" s="103">
        <f>SUM(K119:K120)</f>
        <v>2151</v>
      </c>
      <c r="L121" s="103">
        <f>K121/F121</f>
        <v>1.1081117281597412</v>
      </c>
      <c r="M121" s="79"/>
      <c r="N121" s="71"/>
    </row>
    <row r="122" spans="1:14" ht="14.1" customHeight="1">
      <c r="A122" s="107"/>
      <c r="B122" s="107"/>
      <c r="C122" s="107"/>
      <c r="D122" s="133" t="s">
        <v>30</v>
      </c>
      <c r="E122" s="133"/>
      <c r="F122" s="134">
        <f>F107+F110+F114+F118+F121</f>
        <v>36006.78</v>
      </c>
      <c r="G122" s="135"/>
      <c r="H122" s="135"/>
      <c r="I122" s="135"/>
      <c r="J122" s="135"/>
      <c r="K122" s="134">
        <f>K107+K110+K114+K118+K121</f>
        <v>65017.8</v>
      </c>
      <c r="L122" s="151">
        <f>K122/F122</f>
        <v>1.8057099246308612</v>
      </c>
      <c r="M122" s="107"/>
      <c r="N122" s="71"/>
    </row>
    <row r="123" spans="1:14" ht="14.1" customHeight="1">
      <c r="A123" s="70" t="s">
        <v>42</v>
      </c>
      <c r="B123" s="70"/>
      <c r="C123" s="70"/>
      <c r="D123" s="70"/>
      <c r="E123" s="70"/>
      <c r="F123" s="71"/>
      <c r="G123" s="71"/>
      <c r="H123" s="71"/>
      <c r="I123" s="71"/>
      <c r="J123" s="71"/>
      <c r="K123" s="824" t="s">
        <v>1221</v>
      </c>
      <c r="L123" s="824"/>
      <c r="M123" s="824"/>
      <c r="N123" s="71"/>
    </row>
    <row r="124" spans="1:14" ht="14.1" customHeight="1">
      <c r="A124" s="172" t="s">
        <v>0</v>
      </c>
      <c r="B124" s="172" t="s">
        <v>7</v>
      </c>
      <c r="C124" s="172" t="s">
        <v>13</v>
      </c>
      <c r="D124" s="172" t="s">
        <v>14</v>
      </c>
      <c r="E124" s="172" t="s">
        <v>8</v>
      </c>
      <c r="F124" s="172" t="s">
        <v>1</v>
      </c>
      <c r="G124" s="172" t="s">
        <v>2</v>
      </c>
      <c r="H124" s="172" t="s">
        <v>15</v>
      </c>
      <c r="I124" s="172" t="s">
        <v>3</v>
      </c>
      <c r="J124" s="172" t="s">
        <v>4</v>
      </c>
      <c r="K124" s="172" t="s">
        <v>5</v>
      </c>
      <c r="L124" s="172" t="s">
        <v>12</v>
      </c>
      <c r="M124" s="172" t="s">
        <v>6</v>
      </c>
      <c r="N124" s="123"/>
    </row>
    <row r="125" spans="1:14" ht="14.1" customHeight="1">
      <c r="A125" s="120">
        <v>7786</v>
      </c>
      <c r="B125" s="605" t="s">
        <v>1226</v>
      </c>
      <c r="C125" s="89" t="s">
        <v>1026</v>
      </c>
      <c r="D125" s="89" t="s">
        <v>322</v>
      </c>
      <c r="E125" s="120" t="s">
        <v>93</v>
      </c>
      <c r="F125" s="98">
        <f>900*1.0936</f>
        <v>984.2399999999999</v>
      </c>
      <c r="G125" s="604" t="s">
        <v>209</v>
      </c>
      <c r="H125" s="79"/>
      <c r="I125" s="80">
        <v>0.03</v>
      </c>
      <c r="J125" s="81">
        <v>350</v>
      </c>
      <c r="K125" s="81">
        <f t="shared" ref="K125:K127" si="26">I125*J125</f>
        <v>10.5</v>
      </c>
      <c r="L125" s="102"/>
      <c r="M125" s="102"/>
      <c r="N125" s="71"/>
    </row>
    <row r="126" spans="1:14" ht="14.1" customHeight="1">
      <c r="A126" s="120"/>
      <c r="B126" s="120"/>
      <c r="C126" s="120"/>
      <c r="D126" s="120"/>
      <c r="E126" s="120"/>
      <c r="F126" s="120"/>
      <c r="G126" s="604" t="s">
        <v>888</v>
      </c>
      <c r="H126" s="109"/>
      <c r="I126" s="80">
        <v>0.01</v>
      </c>
      <c r="J126" s="81">
        <v>690</v>
      </c>
      <c r="K126" s="81">
        <f t="shared" si="26"/>
        <v>6.9</v>
      </c>
      <c r="L126" s="102"/>
      <c r="M126" s="102"/>
      <c r="N126" s="71"/>
    </row>
    <row r="127" spans="1:14" ht="14.1" customHeight="1">
      <c r="A127" s="120"/>
      <c r="B127" s="120"/>
      <c r="C127" s="120"/>
      <c r="D127" s="120"/>
      <c r="E127" s="120"/>
      <c r="F127" s="120"/>
      <c r="G127" s="604" t="s">
        <v>123</v>
      </c>
      <c r="H127" s="605"/>
      <c r="I127" s="96">
        <v>0.02</v>
      </c>
      <c r="J127" s="81">
        <v>750</v>
      </c>
      <c r="K127" s="94">
        <f t="shared" si="26"/>
        <v>15</v>
      </c>
      <c r="L127" s="79"/>
      <c r="M127" s="102"/>
      <c r="N127" s="71"/>
    </row>
    <row r="128" spans="1:14" ht="14.1" customHeight="1">
      <c r="A128" s="120"/>
      <c r="B128" s="120"/>
      <c r="C128" s="120"/>
      <c r="D128" s="120"/>
      <c r="E128" s="120"/>
      <c r="F128" s="120"/>
      <c r="G128" s="608" t="s">
        <v>211</v>
      </c>
      <c r="H128" s="79"/>
      <c r="I128" s="80">
        <v>1.8</v>
      </c>
      <c r="J128" s="81">
        <v>120</v>
      </c>
      <c r="K128" s="81">
        <f>I128*J128</f>
        <v>216</v>
      </c>
      <c r="L128" s="102"/>
      <c r="M128" s="102"/>
      <c r="N128" s="71"/>
    </row>
    <row r="129" spans="1:14" ht="14.1" customHeight="1">
      <c r="A129" s="120"/>
      <c r="B129" s="120"/>
      <c r="C129" s="120"/>
      <c r="D129" s="120"/>
      <c r="E129" s="120"/>
      <c r="F129" s="120"/>
      <c r="G129" s="608" t="s">
        <v>45</v>
      </c>
      <c r="H129" s="79"/>
      <c r="I129" s="80">
        <v>0.5</v>
      </c>
      <c r="J129" s="81">
        <v>45</v>
      </c>
      <c r="K129" s="81">
        <f t="shared" ref="K129:K130" si="27">I129*J129</f>
        <v>22.5</v>
      </c>
      <c r="L129" s="102"/>
      <c r="M129" s="102"/>
      <c r="N129" s="71"/>
    </row>
    <row r="130" spans="1:14" ht="14.1" customHeight="1">
      <c r="A130" s="120"/>
      <c r="B130" s="85"/>
      <c r="C130" s="85"/>
      <c r="D130" s="85"/>
      <c r="E130" s="172"/>
      <c r="F130" s="110"/>
      <c r="G130" s="608" t="s">
        <v>213</v>
      </c>
      <c r="H130" s="79"/>
      <c r="I130" s="80">
        <v>0.5</v>
      </c>
      <c r="J130" s="81">
        <v>348</v>
      </c>
      <c r="K130" s="81">
        <f t="shared" si="27"/>
        <v>174</v>
      </c>
      <c r="L130" s="102"/>
      <c r="M130" s="102"/>
      <c r="N130" s="71"/>
    </row>
    <row r="131" spans="1:14" ht="14.1" customHeight="1">
      <c r="A131" s="120"/>
      <c r="B131" s="85"/>
      <c r="C131" s="85"/>
      <c r="D131" s="85"/>
      <c r="E131" s="172"/>
      <c r="F131" s="110"/>
      <c r="G131" s="83" t="s">
        <v>214</v>
      </c>
      <c r="H131" s="79"/>
      <c r="I131" s="80">
        <v>10</v>
      </c>
      <c r="J131" s="81">
        <v>360</v>
      </c>
      <c r="K131" s="81">
        <f t="shared" ref="K131:K132" si="28">I131*J131</f>
        <v>3600</v>
      </c>
      <c r="L131" s="111"/>
      <c r="M131" s="102"/>
      <c r="N131" s="71"/>
    </row>
    <row r="132" spans="1:14" ht="14.1" customHeight="1">
      <c r="A132" s="605"/>
      <c r="B132" s="599"/>
      <c r="C132" s="599"/>
      <c r="D132" s="599"/>
      <c r="E132" s="607"/>
      <c r="F132" s="110"/>
      <c r="G132" s="605" t="s">
        <v>28</v>
      </c>
      <c r="H132" s="79"/>
      <c r="I132" s="80">
        <v>1</v>
      </c>
      <c r="J132" s="81">
        <v>17</v>
      </c>
      <c r="K132" s="81">
        <f t="shared" si="28"/>
        <v>17</v>
      </c>
      <c r="L132" s="111"/>
      <c r="M132" s="102"/>
      <c r="N132" s="71"/>
    </row>
    <row r="133" spans="1:14" ht="14.1" customHeight="1">
      <c r="A133" s="120"/>
      <c r="B133" s="85"/>
      <c r="C133" s="85"/>
      <c r="D133" s="85"/>
      <c r="E133" s="172" t="s">
        <v>9</v>
      </c>
      <c r="F133" s="110">
        <f>SUM(F125:F132)</f>
        <v>984.2399999999999</v>
      </c>
      <c r="G133" s="172"/>
      <c r="H133" s="172"/>
      <c r="I133" s="97"/>
      <c r="J133" s="97"/>
      <c r="K133" s="111">
        <f>SUM(K125:K132)</f>
        <v>4061.9</v>
      </c>
      <c r="L133" s="111">
        <f>K133/F133</f>
        <v>4.1269405835974968</v>
      </c>
      <c r="M133" s="153"/>
      <c r="N133" s="71"/>
    </row>
    <row r="134" spans="1:14" ht="14.1" customHeight="1">
      <c r="A134" s="120">
        <v>7787</v>
      </c>
      <c r="B134" s="605" t="s">
        <v>1082</v>
      </c>
      <c r="C134" s="89" t="s">
        <v>1026</v>
      </c>
      <c r="D134" s="89" t="s">
        <v>322</v>
      </c>
      <c r="E134" s="605" t="s">
        <v>93</v>
      </c>
      <c r="F134" s="98">
        <f>875*1.0936</f>
        <v>956.89999999999986</v>
      </c>
      <c r="G134" s="604" t="s">
        <v>209</v>
      </c>
      <c r="H134" s="79"/>
      <c r="I134" s="80">
        <v>0.5</v>
      </c>
      <c r="J134" s="81">
        <v>350</v>
      </c>
      <c r="K134" s="81">
        <f t="shared" ref="K134:K137" si="29">I134*J134</f>
        <v>175</v>
      </c>
      <c r="L134" s="154"/>
      <c r="M134" s="102"/>
      <c r="N134" s="71"/>
    </row>
    <row r="135" spans="1:14" ht="14.1" customHeight="1">
      <c r="A135" s="85"/>
      <c r="B135" s="605"/>
      <c r="C135" s="605"/>
      <c r="D135" s="605"/>
      <c r="E135" s="605"/>
      <c r="F135" s="605"/>
      <c r="G135" s="604" t="s">
        <v>215</v>
      </c>
      <c r="H135" s="109"/>
      <c r="I135" s="80">
        <v>0.25</v>
      </c>
      <c r="J135" s="81">
        <v>750</v>
      </c>
      <c r="K135" s="81">
        <f t="shared" si="29"/>
        <v>187.5</v>
      </c>
      <c r="L135" s="102"/>
      <c r="M135" s="102"/>
      <c r="N135" s="71"/>
    </row>
    <row r="136" spans="1:14" ht="14.1" customHeight="1">
      <c r="A136" s="85"/>
      <c r="B136" s="85"/>
      <c r="C136" s="85"/>
      <c r="D136" s="85"/>
      <c r="E136" s="172"/>
      <c r="F136" s="110"/>
      <c r="G136" s="604" t="s">
        <v>210</v>
      </c>
      <c r="H136" s="109"/>
      <c r="I136" s="80">
        <v>0.12</v>
      </c>
      <c r="J136" s="81">
        <v>690</v>
      </c>
      <c r="K136" s="81">
        <f t="shared" si="29"/>
        <v>82.8</v>
      </c>
      <c r="L136" s="102"/>
      <c r="M136" s="102"/>
      <c r="N136" s="71"/>
    </row>
    <row r="137" spans="1:14" ht="14.1" customHeight="1">
      <c r="A137" s="85"/>
      <c r="B137" s="85"/>
      <c r="C137" s="85"/>
      <c r="D137" s="85"/>
      <c r="E137" s="172"/>
      <c r="F137" s="110"/>
      <c r="G137" s="604" t="s">
        <v>221</v>
      </c>
      <c r="H137" s="112"/>
      <c r="I137" s="113">
        <v>0.7</v>
      </c>
      <c r="J137" s="81">
        <v>980</v>
      </c>
      <c r="K137" s="81">
        <f t="shared" si="29"/>
        <v>686</v>
      </c>
      <c r="L137" s="102"/>
      <c r="M137" s="102"/>
      <c r="N137" s="71"/>
    </row>
    <row r="138" spans="1:14" ht="14.1" customHeight="1">
      <c r="A138" s="85"/>
      <c r="B138" s="85"/>
      <c r="C138" s="85"/>
      <c r="D138" s="85"/>
      <c r="E138" s="172"/>
      <c r="F138" s="110"/>
      <c r="G138" s="604" t="s">
        <v>1021</v>
      </c>
      <c r="H138" s="79"/>
      <c r="I138" s="80">
        <v>0.55000000000000004</v>
      </c>
      <c r="J138" s="81">
        <v>580</v>
      </c>
      <c r="K138" s="81">
        <f t="shared" ref="K138" si="30">I138*J138</f>
        <v>319</v>
      </c>
      <c r="L138" s="111"/>
      <c r="M138" s="102"/>
      <c r="N138" s="71"/>
    </row>
    <row r="139" spans="1:14" ht="14.1" customHeight="1">
      <c r="A139" s="85"/>
      <c r="B139" s="85"/>
      <c r="C139" s="85"/>
      <c r="D139" s="85"/>
      <c r="E139" s="172"/>
      <c r="F139" s="110"/>
      <c r="G139" s="608" t="s">
        <v>211</v>
      </c>
      <c r="H139" s="79"/>
      <c r="I139" s="80">
        <v>5.5</v>
      </c>
      <c r="J139" s="81">
        <v>120</v>
      </c>
      <c r="K139" s="81">
        <f>I139*J139</f>
        <v>660</v>
      </c>
      <c r="L139" s="111"/>
      <c r="M139" s="102"/>
      <c r="N139" s="71"/>
    </row>
    <row r="140" spans="1:14" ht="14.1" customHeight="1">
      <c r="A140" s="85"/>
      <c r="B140" s="85"/>
      <c r="C140" s="85"/>
      <c r="D140" s="85"/>
      <c r="E140" s="172"/>
      <c r="F140" s="110"/>
      <c r="G140" s="608" t="s">
        <v>45</v>
      </c>
      <c r="H140" s="79"/>
      <c r="I140" s="80">
        <v>0.8</v>
      </c>
      <c r="J140" s="81">
        <v>45</v>
      </c>
      <c r="K140" s="81">
        <f t="shared" ref="K140:K142" si="31">I140*J140</f>
        <v>36</v>
      </c>
      <c r="L140" s="111"/>
      <c r="M140" s="102"/>
      <c r="N140" s="71"/>
    </row>
    <row r="141" spans="1:14" ht="14.1" customHeight="1">
      <c r="A141" s="599"/>
      <c r="B141" s="599"/>
      <c r="C141" s="599"/>
      <c r="D141" s="599"/>
      <c r="E141" s="607"/>
      <c r="F141" s="110"/>
      <c r="G141" s="608" t="s">
        <v>213</v>
      </c>
      <c r="H141" s="79"/>
      <c r="I141" s="80">
        <v>0.8</v>
      </c>
      <c r="J141" s="81">
        <v>348</v>
      </c>
      <c r="K141" s="81">
        <f t="shared" si="31"/>
        <v>278.40000000000003</v>
      </c>
      <c r="L141" s="111"/>
      <c r="M141" s="102"/>
      <c r="N141" s="71"/>
    </row>
    <row r="142" spans="1:14" ht="14.1" customHeight="1">
      <c r="A142" s="599"/>
      <c r="B142" s="599"/>
      <c r="C142" s="599"/>
      <c r="D142" s="599"/>
      <c r="E142" s="607"/>
      <c r="F142" s="110"/>
      <c r="G142" s="605" t="s">
        <v>28</v>
      </c>
      <c r="H142" s="79"/>
      <c r="I142" s="80">
        <v>1.6</v>
      </c>
      <c r="J142" s="81">
        <v>17</v>
      </c>
      <c r="K142" s="81">
        <f t="shared" si="31"/>
        <v>27.200000000000003</v>
      </c>
      <c r="L142" s="111"/>
      <c r="M142" s="102"/>
      <c r="N142" s="71"/>
    </row>
    <row r="143" spans="1:14" ht="14.1" customHeight="1">
      <c r="A143" s="85"/>
      <c r="B143" s="85"/>
      <c r="C143" s="85"/>
      <c r="D143" s="85"/>
      <c r="E143" s="172" t="s">
        <v>9</v>
      </c>
      <c r="F143" s="110">
        <f>SUM(F134:F142)</f>
        <v>956.89999999999986</v>
      </c>
      <c r="G143" s="172"/>
      <c r="H143" s="172"/>
      <c r="I143" s="97"/>
      <c r="J143" s="97"/>
      <c r="K143" s="111">
        <f>SUM(K134:K142)</f>
        <v>2451.9</v>
      </c>
      <c r="L143" s="111">
        <f>K143/F143</f>
        <v>2.5623367123001364</v>
      </c>
      <c r="M143" s="153"/>
      <c r="N143" s="71"/>
    </row>
    <row r="144" spans="1:14" ht="14.1" customHeight="1">
      <c r="A144" s="120">
        <v>7788</v>
      </c>
      <c r="B144" s="605" t="s">
        <v>1227</v>
      </c>
      <c r="C144" s="89" t="s">
        <v>1026</v>
      </c>
      <c r="D144" s="89" t="s">
        <v>1229</v>
      </c>
      <c r="E144" s="605" t="s">
        <v>93</v>
      </c>
      <c r="F144" s="98">
        <f>650*1.0936</f>
        <v>710.83999999999992</v>
      </c>
      <c r="G144" s="604" t="s">
        <v>209</v>
      </c>
      <c r="H144" s="79"/>
      <c r="I144" s="80">
        <v>0.1</v>
      </c>
      <c r="J144" s="81">
        <v>350</v>
      </c>
      <c r="K144" s="81">
        <f t="shared" ref="K144:K146" si="32">I144*J144</f>
        <v>35</v>
      </c>
      <c r="L144" s="102"/>
      <c r="M144" s="102"/>
      <c r="N144" s="71"/>
    </row>
    <row r="145" spans="1:14" ht="14.1" customHeight="1">
      <c r="A145" s="120"/>
      <c r="B145" s="605"/>
      <c r="C145" s="605"/>
      <c r="D145" s="605"/>
      <c r="E145" s="605"/>
      <c r="F145" s="605"/>
      <c r="G145" s="604" t="s">
        <v>888</v>
      </c>
      <c r="H145" s="109"/>
      <c r="I145" s="80">
        <v>0.05</v>
      </c>
      <c r="J145" s="81">
        <v>690</v>
      </c>
      <c r="K145" s="81">
        <f t="shared" si="32"/>
        <v>34.5</v>
      </c>
      <c r="L145" s="102"/>
      <c r="M145" s="102"/>
      <c r="N145" s="71"/>
    </row>
    <row r="146" spans="1:14" ht="14.1" customHeight="1">
      <c r="A146" s="85"/>
      <c r="B146" s="605"/>
      <c r="C146" s="605"/>
      <c r="D146" s="605"/>
      <c r="E146" s="605"/>
      <c r="F146" s="605"/>
      <c r="G146" s="604" t="s">
        <v>123</v>
      </c>
      <c r="H146" s="605"/>
      <c r="I146" s="96">
        <v>0.03</v>
      </c>
      <c r="J146" s="81">
        <v>750</v>
      </c>
      <c r="K146" s="94">
        <f t="shared" si="32"/>
        <v>22.5</v>
      </c>
      <c r="L146" s="79"/>
      <c r="M146" s="102"/>
      <c r="N146" s="71"/>
    </row>
    <row r="147" spans="1:14" ht="14.1" customHeight="1">
      <c r="A147" s="85"/>
      <c r="B147" s="605"/>
      <c r="C147" s="605"/>
      <c r="D147" s="605"/>
      <c r="E147" s="605"/>
      <c r="F147" s="605"/>
      <c r="G147" s="608" t="s">
        <v>211</v>
      </c>
      <c r="H147" s="79"/>
      <c r="I147" s="80">
        <v>3.5</v>
      </c>
      <c r="J147" s="81">
        <v>120</v>
      </c>
      <c r="K147" s="81">
        <f>I147*J147</f>
        <v>420</v>
      </c>
      <c r="L147" s="102"/>
      <c r="M147" s="102"/>
      <c r="N147" s="71"/>
    </row>
    <row r="148" spans="1:14" ht="14.1" customHeight="1">
      <c r="A148" s="85"/>
      <c r="B148" s="605"/>
      <c r="C148" s="605"/>
      <c r="D148" s="605"/>
      <c r="E148" s="605"/>
      <c r="F148" s="605"/>
      <c r="G148" s="608" t="s">
        <v>45</v>
      </c>
      <c r="H148" s="79"/>
      <c r="I148" s="80">
        <v>0.2</v>
      </c>
      <c r="J148" s="81">
        <v>45</v>
      </c>
      <c r="K148" s="81">
        <f t="shared" ref="K148:K150" si="33">I148*J148</f>
        <v>9</v>
      </c>
      <c r="L148" s="102"/>
      <c r="M148" s="102"/>
      <c r="N148" s="71"/>
    </row>
    <row r="149" spans="1:14" ht="14.1" customHeight="1">
      <c r="A149" s="85"/>
      <c r="B149" s="599"/>
      <c r="C149" s="599"/>
      <c r="D149" s="599"/>
      <c r="E149" s="607"/>
      <c r="F149" s="110"/>
      <c r="G149" s="608" t="s">
        <v>213</v>
      </c>
      <c r="H149" s="79"/>
      <c r="I149" s="80">
        <v>0.3</v>
      </c>
      <c r="J149" s="81">
        <v>348</v>
      </c>
      <c r="K149" s="81">
        <f t="shared" si="33"/>
        <v>104.39999999999999</v>
      </c>
      <c r="L149" s="102"/>
      <c r="M149" s="102"/>
      <c r="N149" s="71"/>
    </row>
    <row r="150" spans="1:14" ht="14.1" customHeight="1">
      <c r="A150" s="85"/>
      <c r="B150" s="599"/>
      <c r="C150" s="599"/>
      <c r="D150" s="599"/>
      <c r="E150" s="607"/>
      <c r="F150" s="110"/>
      <c r="G150" s="608" t="s">
        <v>214</v>
      </c>
      <c r="H150" s="79"/>
      <c r="I150" s="80">
        <v>14</v>
      </c>
      <c r="J150" s="81">
        <v>360</v>
      </c>
      <c r="K150" s="81">
        <f t="shared" si="33"/>
        <v>5040</v>
      </c>
      <c r="L150" s="111"/>
      <c r="M150" s="102"/>
      <c r="N150" s="71"/>
    </row>
    <row r="151" spans="1:14" ht="14.1" customHeight="1">
      <c r="A151" s="599"/>
      <c r="B151" s="599"/>
      <c r="C151" s="599"/>
      <c r="D151" s="599"/>
      <c r="E151" s="607" t="s">
        <v>9</v>
      </c>
      <c r="F151" s="110">
        <f>SUM(F144:F150)</f>
        <v>710.83999999999992</v>
      </c>
      <c r="G151" s="607"/>
      <c r="H151" s="607"/>
      <c r="I151" s="97"/>
      <c r="J151" s="97"/>
      <c r="K151" s="111">
        <f>SUM(K144:K150)</f>
        <v>5665.4</v>
      </c>
      <c r="L151" s="111">
        <f>K151/F151</f>
        <v>7.9700073152889539</v>
      </c>
      <c r="M151" s="102"/>
      <c r="N151" s="71"/>
    </row>
    <row r="152" spans="1:14" ht="14.1" customHeight="1">
      <c r="A152" s="605">
        <v>7789</v>
      </c>
      <c r="B152" s="605" t="s">
        <v>1228</v>
      </c>
      <c r="C152" s="89" t="s">
        <v>1026</v>
      </c>
      <c r="D152" s="89" t="s">
        <v>1229</v>
      </c>
      <c r="E152" s="605" t="s">
        <v>93</v>
      </c>
      <c r="F152" s="98">
        <f>1450*1.0936</f>
        <v>1585.7199999999998</v>
      </c>
      <c r="G152" s="604" t="s">
        <v>209</v>
      </c>
      <c r="H152" s="79"/>
      <c r="I152" s="80">
        <v>0.21</v>
      </c>
      <c r="J152" s="81">
        <v>350</v>
      </c>
      <c r="K152" s="81">
        <f t="shared" ref="K152:K154" si="34">I152*J152</f>
        <v>73.5</v>
      </c>
      <c r="L152" s="102"/>
      <c r="M152" s="102"/>
      <c r="N152" s="71"/>
    </row>
    <row r="153" spans="1:14" ht="14.1" customHeight="1">
      <c r="A153" s="605"/>
      <c r="B153" s="605"/>
      <c r="C153" s="605"/>
      <c r="D153" s="605"/>
      <c r="E153" s="605"/>
      <c r="F153" s="605"/>
      <c r="G153" s="604" t="s">
        <v>888</v>
      </c>
      <c r="H153" s="109"/>
      <c r="I153" s="80">
        <v>0.12</v>
      </c>
      <c r="J153" s="81">
        <v>690</v>
      </c>
      <c r="K153" s="81">
        <f t="shared" si="34"/>
        <v>82.8</v>
      </c>
      <c r="L153" s="102"/>
      <c r="M153" s="102"/>
      <c r="N153" s="71"/>
    </row>
    <row r="154" spans="1:14" ht="14.1" customHeight="1">
      <c r="A154" s="599"/>
      <c r="B154" s="605"/>
      <c r="C154" s="605"/>
      <c r="D154" s="605"/>
      <c r="E154" s="605"/>
      <c r="F154" s="605"/>
      <c r="G154" s="604" t="s">
        <v>123</v>
      </c>
      <c r="H154" s="605"/>
      <c r="I154" s="96">
        <v>0.06</v>
      </c>
      <c r="J154" s="81">
        <v>750</v>
      </c>
      <c r="K154" s="94">
        <f t="shared" si="34"/>
        <v>45</v>
      </c>
      <c r="L154" s="79"/>
      <c r="M154" s="102"/>
      <c r="N154" s="71"/>
    </row>
    <row r="155" spans="1:14" ht="14.1" customHeight="1">
      <c r="A155" s="599"/>
      <c r="B155" s="605"/>
      <c r="C155" s="605"/>
      <c r="D155" s="605"/>
      <c r="E155" s="605"/>
      <c r="F155" s="605"/>
      <c r="G155" s="608" t="s">
        <v>211</v>
      </c>
      <c r="H155" s="79"/>
      <c r="I155" s="80">
        <v>8</v>
      </c>
      <c r="J155" s="81">
        <v>120</v>
      </c>
      <c r="K155" s="81">
        <f>I155*J155</f>
        <v>960</v>
      </c>
      <c r="L155" s="102"/>
      <c r="M155" s="102"/>
      <c r="N155" s="71"/>
    </row>
    <row r="156" spans="1:14" ht="14.1" customHeight="1">
      <c r="A156" s="599"/>
      <c r="B156" s="605"/>
      <c r="C156" s="605"/>
      <c r="D156" s="605"/>
      <c r="E156" s="605"/>
      <c r="F156" s="605"/>
      <c r="G156" s="608" t="s">
        <v>45</v>
      </c>
      <c r="H156" s="79"/>
      <c r="I156" s="80">
        <v>0.5</v>
      </c>
      <c r="J156" s="81">
        <v>45</v>
      </c>
      <c r="K156" s="81">
        <f t="shared" ref="K156:K158" si="35">I156*J156</f>
        <v>22.5</v>
      </c>
      <c r="L156" s="102"/>
      <c r="M156" s="102"/>
      <c r="N156" s="71"/>
    </row>
    <row r="157" spans="1:14" ht="14.1" customHeight="1">
      <c r="A157" s="599"/>
      <c r="B157" s="599"/>
      <c r="C157" s="599"/>
      <c r="D157" s="599"/>
      <c r="E157" s="607"/>
      <c r="F157" s="110"/>
      <c r="G157" s="608" t="s">
        <v>213</v>
      </c>
      <c r="H157" s="79"/>
      <c r="I157" s="80">
        <v>0.5</v>
      </c>
      <c r="J157" s="81">
        <v>348</v>
      </c>
      <c r="K157" s="81">
        <f t="shared" si="35"/>
        <v>174</v>
      </c>
      <c r="L157" s="102"/>
      <c r="M157" s="102"/>
      <c r="N157" s="71"/>
    </row>
    <row r="158" spans="1:14" ht="14.1" customHeight="1">
      <c r="A158" s="599"/>
      <c r="B158" s="599"/>
      <c r="C158" s="599"/>
      <c r="D158" s="599"/>
      <c r="E158" s="607"/>
      <c r="F158" s="110"/>
      <c r="G158" s="608" t="s">
        <v>214</v>
      </c>
      <c r="H158" s="79"/>
      <c r="I158" s="80">
        <v>3.5</v>
      </c>
      <c r="J158" s="81">
        <v>360</v>
      </c>
      <c r="K158" s="81">
        <f t="shared" si="35"/>
        <v>1260</v>
      </c>
      <c r="L158" s="111"/>
      <c r="M158" s="102"/>
      <c r="N158" s="71"/>
    </row>
    <row r="159" spans="1:14" ht="14.1" customHeight="1">
      <c r="A159" s="599"/>
      <c r="B159" s="599"/>
      <c r="C159" s="599"/>
      <c r="D159" s="599"/>
      <c r="E159" s="607" t="s">
        <v>9</v>
      </c>
      <c r="F159" s="110">
        <f>SUM(F152:F158)</f>
        <v>1585.7199999999998</v>
      </c>
      <c r="G159" s="607"/>
      <c r="H159" s="607"/>
      <c r="I159" s="97"/>
      <c r="J159" s="97"/>
      <c r="K159" s="111">
        <f>SUM(K152:K158)</f>
        <v>2617.8000000000002</v>
      </c>
      <c r="L159" s="111">
        <f>K159/F159</f>
        <v>1.650858915823727</v>
      </c>
      <c r="M159" s="102"/>
      <c r="N159" s="71"/>
    </row>
    <row r="160" spans="1:14" ht="14.1" customHeight="1">
      <c r="A160" s="71"/>
      <c r="B160" s="71"/>
      <c r="C160" s="71"/>
      <c r="D160" s="126" t="s">
        <v>30</v>
      </c>
      <c r="E160" s="126"/>
      <c r="F160" s="127">
        <f>F133+F143+F151+F159</f>
        <v>4237.6999999999989</v>
      </c>
      <c r="G160" s="128"/>
      <c r="H160" s="128"/>
      <c r="I160" s="128"/>
      <c r="J160" s="128"/>
      <c r="K160" s="127">
        <f>K133+K143+K151+K159</f>
        <v>14797</v>
      </c>
      <c r="L160" s="129">
        <f>K160/F160</f>
        <v>3.491752601647121</v>
      </c>
      <c r="M160" s="71"/>
      <c r="N160" s="71"/>
    </row>
    <row r="161" spans="2:13" s="71" customFormat="1" ht="14.1" customHeight="1"/>
    <row r="162" spans="2:13" ht="14.1" customHeight="1"/>
    <row r="163" spans="2:13" ht="14.1" customHeight="1">
      <c r="B163" s="28"/>
      <c r="C163" s="28"/>
      <c r="D163" s="133" t="s">
        <v>1009</v>
      </c>
      <c r="E163" s="405">
        <f>F85+F160</f>
        <v>26782.263999999996</v>
      </c>
      <c r="F163" s="133"/>
      <c r="G163" s="134">
        <f>K14+K23+K35+K85+K100+K122+K160</f>
        <v>340974.40900000004</v>
      </c>
      <c r="H163" s="135"/>
      <c r="I163" s="135"/>
      <c r="J163" s="135"/>
      <c r="K163" s="135"/>
      <c r="L163" s="134">
        <f>G163/E163</f>
        <v>12.731351203169385</v>
      </c>
    </row>
    <row r="164" spans="2:13" ht="14.1" customHeight="1">
      <c r="B164" s="28"/>
      <c r="C164" s="28"/>
      <c r="D164" s="109" t="s">
        <v>855</v>
      </c>
      <c r="E164" s="406"/>
      <c r="F164" s="109"/>
      <c r="G164" s="359">
        <f>K43+K44+K45+K49+K50+K51+K55+K56+K57+K61+K63+K62+K67+K68+K69+K73+K74+K75+K79+K80+K81+K125+K126+K127+K134+K135+K136+K137+K138+K144+K145+K146+K152+K153+K154</f>
        <v>170277.709</v>
      </c>
      <c r="H164" s="370"/>
      <c r="I164" s="359">
        <f>'20'!I170+'27'!G164</f>
        <v>1884986.7390000001</v>
      </c>
      <c r="J164" s="359">
        <f>G164+M177</f>
        <v>175774.951</v>
      </c>
      <c r="K164" s="370"/>
      <c r="L164" s="809"/>
    </row>
    <row r="165" spans="2:13" ht="14.1" customHeight="1">
      <c r="B165" s="28"/>
      <c r="C165" s="28"/>
      <c r="D165" s="323" t="s">
        <v>854</v>
      </c>
      <c r="E165" s="361"/>
      <c r="F165" s="323"/>
      <c r="G165" s="397">
        <f>G163-G164</f>
        <v>170696.70000000004</v>
      </c>
      <c r="H165" s="398"/>
      <c r="I165" s="359">
        <f>'20'!I171+'27'!G165</f>
        <v>4025589.3810000005</v>
      </c>
      <c r="J165" s="398"/>
      <c r="K165" s="398"/>
      <c r="L165" s="810"/>
    </row>
    <row r="166" spans="2:13" ht="14.1" customHeight="1">
      <c r="B166" s="28"/>
      <c r="C166" s="28"/>
      <c r="D166" s="109" t="s">
        <v>853</v>
      </c>
      <c r="E166" s="407"/>
      <c r="F166" s="109"/>
      <c r="G166" s="410">
        <f>SUM(G164:G165)</f>
        <v>340974.40900000004</v>
      </c>
      <c r="H166" s="402"/>
      <c r="I166" s="403">
        <f>'01'!G310+'02'!G357+'03'!G450+'04'!G360</f>
        <v>0</v>
      </c>
      <c r="J166" s="402"/>
      <c r="K166" s="402"/>
      <c r="L166" s="404">
        <f>G166/E163</f>
        <v>12.731351203169385</v>
      </c>
    </row>
    <row r="167" spans="2:13" ht="14.1" customHeight="1">
      <c r="B167" s="28"/>
      <c r="C167" s="28"/>
      <c r="D167" s="395" t="s">
        <v>906</v>
      </c>
      <c r="E167" s="408"/>
      <c r="F167" s="109"/>
      <c r="G167" s="409">
        <f>M177</f>
        <v>5497.2420000000002</v>
      </c>
      <c r="H167" s="392"/>
      <c r="I167" s="391"/>
      <c r="J167" s="391"/>
      <c r="K167" s="393"/>
    </row>
    <row r="168" spans="2:13" ht="14.1" customHeight="1">
      <c r="B168" s="28"/>
      <c r="C168" s="28"/>
      <c r="D168" s="29"/>
      <c r="E168" s="29"/>
      <c r="F168" s="29"/>
      <c r="G168" s="29"/>
      <c r="H168" s="30"/>
      <c r="I168" s="29"/>
      <c r="J168" s="29"/>
      <c r="K168" s="29"/>
      <c r="L168" s="29"/>
    </row>
    <row r="169" spans="2:13" ht="14.1" customHeight="1">
      <c r="B169" s="28"/>
      <c r="C169" s="28"/>
      <c r="D169" s="829" t="s">
        <v>852</v>
      </c>
      <c r="E169" s="829"/>
      <c r="F169" s="357">
        <f>G187</f>
        <v>128100</v>
      </c>
      <c r="G169" s="29"/>
      <c r="H169" s="500" t="s">
        <v>908</v>
      </c>
      <c r="I169" s="832" t="s">
        <v>405</v>
      </c>
      <c r="J169" s="833"/>
      <c r="K169" s="80">
        <f>0.11+0.448+0.22+0.24</f>
        <v>1.018</v>
      </c>
      <c r="L169" s="81">
        <v>1708</v>
      </c>
      <c r="M169" s="81">
        <f t="shared" ref="M169:M172" si="36">K169*L169</f>
        <v>1738.7439999999999</v>
      </c>
    </row>
    <row r="170" spans="2:13" ht="14.1" customHeight="1">
      <c r="B170" s="28"/>
      <c r="C170" s="28"/>
      <c r="D170" s="829" t="s">
        <v>835</v>
      </c>
      <c r="E170" s="829"/>
      <c r="F170" s="357">
        <f>G175+G176</f>
        <v>32116</v>
      </c>
      <c r="G170" s="29"/>
      <c r="H170" s="500" t="s">
        <v>909</v>
      </c>
      <c r="I170" s="830" t="s">
        <v>281</v>
      </c>
      <c r="J170" s="831"/>
      <c r="K170" s="80">
        <f>0.2+0.082</f>
        <v>0.28200000000000003</v>
      </c>
      <c r="L170" s="81">
        <v>1035</v>
      </c>
      <c r="M170" s="81">
        <f t="shared" si="36"/>
        <v>291.87</v>
      </c>
    </row>
    <row r="171" spans="2:13" ht="14.1" customHeight="1">
      <c r="B171" s="28"/>
      <c r="C171" s="28"/>
      <c r="D171" s="829" t="s">
        <v>836</v>
      </c>
      <c r="E171" s="829"/>
      <c r="F171" s="357">
        <f>SUM(F169:F170)</f>
        <v>160216</v>
      </c>
      <c r="G171" s="29"/>
      <c r="H171" s="500" t="s">
        <v>910</v>
      </c>
      <c r="I171" s="830" t="s">
        <v>194</v>
      </c>
      <c r="J171" s="831"/>
      <c r="K171" s="80">
        <f>0.86+0.424</f>
        <v>1.284</v>
      </c>
      <c r="L171" s="81">
        <v>879</v>
      </c>
      <c r="M171" s="81">
        <f t="shared" si="36"/>
        <v>1128.636</v>
      </c>
    </row>
    <row r="172" spans="2:13" ht="14.1" customHeight="1">
      <c r="B172" s="28"/>
      <c r="C172" s="28"/>
      <c r="D172" s="574" t="s">
        <v>847</v>
      </c>
      <c r="E172" s="574"/>
      <c r="F172" s="357">
        <f>F169-G165</f>
        <v>-42596.700000000041</v>
      </c>
      <c r="G172" s="29"/>
      <c r="H172" s="500" t="s">
        <v>908</v>
      </c>
      <c r="I172" s="830" t="s">
        <v>192</v>
      </c>
      <c r="J172" s="831"/>
      <c r="K172" s="80">
        <v>0.1</v>
      </c>
      <c r="L172" s="81">
        <v>1126</v>
      </c>
      <c r="M172" s="81">
        <f t="shared" si="36"/>
        <v>112.60000000000001</v>
      </c>
    </row>
    <row r="173" spans="2:13" ht="14.1" customHeight="1">
      <c r="B173" s="28"/>
      <c r="C173" s="28"/>
      <c r="D173" s="29"/>
      <c r="E173" s="29"/>
      <c r="F173" s="29"/>
      <c r="G173" s="29"/>
      <c r="H173" s="500" t="s">
        <v>912</v>
      </c>
      <c r="I173" s="834" t="s">
        <v>315</v>
      </c>
      <c r="J173" s="835"/>
      <c r="K173" s="80">
        <f>0.26+0.54+0.038</f>
        <v>0.83800000000000008</v>
      </c>
      <c r="L173" s="81">
        <v>2184</v>
      </c>
      <c r="M173" s="81">
        <f t="shared" ref="M173:M174" si="37">K173*L173</f>
        <v>1830.1920000000002</v>
      </c>
    </row>
    <row r="174" spans="2:13" ht="14.1" customHeight="1">
      <c r="B174" s="836" t="s">
        <v>833</v>
      </c>
      <c r="C174" s="837"/>
      <c r="D174" s="273" t="s">
        <v>844</v>
      </c>
      <c r="E174" s="273" t="s">
        <v>845</v>
      </c>
      <c r="F174" s="273" t="s">
        <v>846</v>
      </c>
      <c r="G174" s="273" t="s">
        <v>5</v>
      </c>
      <c r="H174" s="500" t="s">
        <v>911</v>
      </c>
      <c r="I174" s="832" t="s">
        <v>183</v>
      </c>
      <c r="J174" s="833"/>
      <c r="K174" s="80">
        <v>0.247</v>
      </c>
      <c r="L174" s="81">
        <v>1600</v>
      </c>
      <c r="M174" s="81">
        <f t="shared" si="37"/>
        <v>395.2</v>
      </c>
    </row>
    <row r="175" spans="2:13" ht="14.1" customHeight="1">
      <c r="B175" s="28"/>
      <c r="C175" s="28"/>
      <c r="D175" s="273" t="s">
        <v>837</v>
      </c>
      <c r="E175" s="109">
        <v>15.5</v>
      </c>
      <c r="F175" s="122">
        <v>2072</v>
      </c>
      <c r="G175" s="357">
        <f>F175*E175</f>
        <v>32116</v>
      </c>
      <c r="H175" s="500" t="s">
        <v>909</v>
      </c>
      <c r="I175" s="838"/>
      <c r="J175" s="839"/>
      <c r="K175" s="2"/>
      <c r="L175" s="2"/>
      <c r="M175" s="388"/>
    </row>
    <row r="176" spans="2:13" ht="14.1" customHeight="1">
      <c r="B176" s="28"/>
      <c r="C176" s="28"/>
      <c r="D176" s="273" t="s">
        <v>1062</v>
      </c>
      <c r="E176" s="109">
        <v>34</v>
      </c>
      <c r="F176" s="122"/>
      <c r="G176" s="329">
        <f t="shared" ref="G176" si="38">F176*E176</f>
        <v>0</v>
      </c>
      <c r="H176" s="500" t="s">
        <v>911</v>
      </c>
      <c r="I176" s="841"/>
      <c r="J176" s="842"/>
      <c r="K176" s="394"/>
      <c r="L176" s="394"/>
      <c r="M176" s="2"/>
    </row>
    <row r="177" spans="1:13" ht="14.1" customHeight="1">
      <c r="A177" s="68"/>
      <c r="B177" s="29"/>
      <c r="C177" s="29"/>
      <c r="D177" s="322" t="s">
        <v>843</v>
      </c>
      <c r="E177" s="317"/>
      <c r="F177" s="492">
        <f>SUM(F175:F176)</f>
        <v>2072</v>
      </c>
      <c r="G177" s="440">
        <f>SUM(G175:G176)</f>
        <v>32116</v>
      </c>
      <c r="H177" s="29"/>
      <c r="I177" s="844" t="s">
        <v>906</v>
      </c>
      <c r="J177" s="845"/>
      <c r="K177" s="490">
        <f>SUM(K169:K176)</f>
        <v>3.7690000000000001</v>
      </c>
      <c r="L177" s="491"/>
      <c r="M177" s="489">
        <f>SUM(M169:M176)</f>
        <v>5497.2420000000002</v>
      </c>
    </row>
    <row r="178" spans="1:13" ht="14.1" customHeight="1">
      <c r="B178" s="28"/>
      <c r="C178" s="28"/>
      <c r="D178" s="805" t="s">
        <v>1070</v>
      </c>
      <c r="E178" s="109">
        <v>227</v>
      </c>
      <c r="F178" s="122"/>
      <c r="G178" s="357">
        <f t="shared" ref="G178:G186" si="39">F178*E178</f>
        <v>0</v>
      </c>
      <c r="H178" s="29"/>
      <c r="I178" s="29"/>
      <c r="J178" s="29"/>
      <c r="K178" s="29"/>
      <c r="L178" s="29"/>
      <c r="M178" s="263">
        <f>G164+M177</f>
        <v>175774.951</v>
      </c>
    </row>
    <row r="179" spans="1:13" ht="14.1" customHeight="1">
      <c r="B179" s="28"/>
      <c r="C179" s="28"/>
      <c r="D179" s="805" t="s">
        <v>1065</v>
      </c>
      <c r="E179" s="389">
        <v>165</v>
      </c>
      <c r="F179" s="122"/>
      <c r="G179" s="357">
        <f t="shared" si="39"/>
        <v>0</v>
      </c>
      <c r="H179" s="29"/>
      <c r="I179" s="29"/>
      <c r="J179" s="29"/>
      <c r="K179" s="29"/>
      <c r="L179" s="29"/>
    </row>
    <row r="180" spans="1:13" ht="14.1" customHeight="1">
      <c r="B180" s="28"/>
      <c r="C180" s="28"/>
      <c r="D180" s="807" t="s">
        <v>1066</v>
      </c>
      <c r="E180" s="389">
        <v>165</v>
      </c>
      <c r="F180" s="122"/>
      <c r="G180" s="357">
        <f t="shared" si="39"/>
        <v>0</v>
      </c>
      <c r="H180" s="29"/>
      <c r="I180" s="29"/>
      <c r="J180" s="29"/>
      <c r="K180" s="29"/>
      <c r="L180" s="29"/>
    </row>
    <row r="181" spans="1:13" ht="14.1" customHeight="1">
      <c r="B181" s="28"/>
      <c r="C181" s="28"/>
      <c r="D181" s="805" t="s">
        <v>1067</v>
      </c>
      <c r="E181" s="389">
        <v>416</v>
      </c>
      <c r="F181" s="122"/>
      <c r="G181" s="357">
        <f t="shared" si="39"/>
        <v>0</v>
      </c>
      <c r="H181" s="29"/>
      <c r="I181" s="29"/>
      <c r="J181" s="29"/>
      <c r="K181" s="29"/>
      <c r="L181" s="29"/>
    </row>
    <row r="182" spans="1:13" ht="14.1" customHeight="1">
      <c r="B182" s="28"/>
      <c r="C182" s="28"/>
      <c r="D182" s="805" t="s">
        <v>1241</v>
      </c>
      <c r="E182" s="389">
        <v>46</v>
      </c>
      <c r="F182" s="122"/>
      <c r="G182" s="357">
        <f t="shared" si="39"/>
        <v>0</v>
      </c>
      <c r="H182" s="28"/>
      <c r="I182" s="28"/>
      <c r="J182" s="28"/>
      <c r="K182" s="28"/>
      <c r="L182" s="28"/>
    </row>
    <row r="183" spans="1:13" ht="14.1" customHeight="1">
      <c r="B183" s="28"/>
      <c r="C183" s="28"/>
      <c r="D183" s="805" t="s">
        <v>1242</v>
      </c>
      <c r="E183" s="109">
        <v>22</v>
      </c>
      <c r="F183" s="122">
        <v>2000</v>
      </c>
      <c r="G183" s="357">
        <f t="shared" si="39"/>
        <v>44000</v>
      </c>
    </row>
    <row r="184" spans="1:13" ht="14.1" customHeight="1">
      <c r="B184" s="28"/>
      <c r="C184" s="28"/>
      <c r="D184" s="805" t="s">
        <v>1062</v>
      </c>
      <c r="E184" s="109">
        <v>34</v>
      </c>
      <c r="F184" s="122">
        <v>100</v>
      </c>
      <c r="G184" s="357">
        <f t="shared" si="39"/>
        <v>3400</v>
      </c>
    </row>
    <row r="185" spans="1:13" ht="14.1" customHeight="1">
      <c r="B185" s="28"/>
      <c r="C185" s="28"/>
      <c r="D185" s="805" t="s">
        <v>24</v>
      </c>
      <c r="E185" s="109">
        <v>74</v>
      </c>
      <c r="F185" s="122">
        <v>750</v>
      </c>
      <c r="G185" s="357">
        <f t="shared" si="39"/>
        <v>55500</v>
      </c>
    </row>
    <row r="186" spans="1:13" ht="14.1" customHeight="1">
      <c r="D186" s="805" t="s">
        <v>839</v>
      </c>
      <c r="E186" s="109">
        <v>120</v>
      </c>
      <c r="F186" s="122">
        <f>180+30</f>
        <v>210</v>
      </c>
      <c r="G186" s="357">
        <f t="shared" si="39"/>
        <v>25200</v>
      </c>
    </row>
    <row r="187" spans="1:13" ht="14.1" customHeight="1">
      <c r="D187" s="331" t="s">
        <v>843</v>
      </c>
      <c r="E187" s="109"/>
      <c r="F187" s="122">
        <f>SUM(F178:F186)</f>
        <v>3060</v>
      </c>
      <c r="G187" s="357">
        <f>SUM(G178:G186)</f>
        <v>128100</v>
      </c>
    </row>
    <row r="188" spans="1:13" ht="14.1" customHeight="1">
      <c r="D188" s="322" t="s">
        <v>969</v>
      </c>
      <c r="E188" s="317"/>
      <c r="F188" s="492">
        <f>F177+F187</f>
        <v>5132</v>
      </c>
      <c r="G188" s="440">
        <f>G177+G187</f>
        <v>160216</v>
      </c>
    </row>
    <row r="189" spans="1:13" ht="14.1" customHeight="1"/>
    <row r="190" spans="1:13" ht="14.1" customHeight="1"/>
    <row r="191" spans="1:13" ht="14.1" customHeight="1"/>
    <row r="192" spans="1:13" s="64" customFormat="1" ht="14.1" customHeight="1">
      <c r="A192" s="840" t="s">
        <v>240</v>
      </c>
      <c r="B192" s="840"/>
      <c r="C192" s="840" t="s">
        <v>765</v>
      </c>
      <c r="D192" s="840"/>
      <c r="E192" s="840" t="s">
        <v>764</v>
      </c>
      <c r="F192" s="840"/>
      <c r="G192" s="380" t="s">
        <v>66</v>
      </c>
      <c r="H192" s="840" t="s">
        <v>411</v>
      </c>
      <c r="I192" s="840"/>
      <c r="J192" s="840"/>
      <c r="K192" s="840" t="s">
        <v>68</v>
      </c>
      <c r="L192" s="840"/>
      <c r="M192" s="840"/>
    </row>
    <row r="193" spans="1:14" ht="14.1" customHeight="1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</row>
    <row r="194" spans="1:14" ht="14.1" customHeight="1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</row>
    <row r="195" spans="1:14" ht="14.1" customHeight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</row>
    <row r="196" spans="1:14" ht="14.1" customHeight="1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</row>
    <row r="197" spans="1:14" ht="14.1" customHeight="1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</row>
    <row r="198" spans="1:14" ht="14.1" customHeight="1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</row>
    <row r="199" spans="1:14" ht="14.1" customHeight="1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</row>
    <row r="200" spans="1:14" ht="14.1" customHeight="1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</row>
    <row r="201" spans="1:14" ht="14.1" customHeight="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</row>
    <row r="202" spans="1:14" ht="14.1" customHeight="1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</row>
    <row r="203" spans="1:14" ht="14.1" customHeight="1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</row>
    <row r="204" spans="1:14" ht="14.1" customHeight="1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</row>
    <row r="205" spans="1:14" ht="14.1" customHeight="1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</row>
    <row r="206" spans="1:14" ht="14.1" customHeight="1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</row>
    <row r="207" spans="1:14" ht="14.1" customHeight="1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</row>
    <row r="208" spans="1:14" ht="14.1" customHeight="1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</row>
    <row r="209" spans="1:14" ht="14.1" customHeight="1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</row>
    <row r="210" spans="1:14" ht="14.1" customHeight="1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</row>
    <row r="211" spans="1:14" ht="14.1" customHeight="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</row>
    <row r="212" spans="1:14" ht="14.1" customHeight="1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</row>
    <row r="213" spans="1:14" ht="14.1" customHeight="1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</row>
    <row r="214" spans="1:14" ht="14.1" customHeight="1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</row>
    <row r="215" spans="1:14" ht="14.1" customHeight="1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</row>
    <row r="216" spans="1:14" ht="14.1" customHeight="1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</row>
    <row r="217" spans="1:14" ht="14.1" customHeight="1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</row>
    <row r="218" spans="1:14" ht="14.1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</row>
    <row r="219" spans="1:14" ht="14.1" customHeight="1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</row>
    <row r="220" spans="1:14" ht="14.1" customHeight="1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</row>
    <row r="221" spans="1:14" ht="14.1" customHeight="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</row>
    <row r="222" spans="1:14" ht="14.1" customHeight="1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</row>
    <row r="223" spans="1:14" ht="14.1" customHeight="1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</row>
    <row r="224" spans="1:14" ht="14.1" customHeight="1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</row>
    <row r="225" spans="1:14" ht="14.1" customHeight="1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</row>
    <row r="226" spans="1:14" ht="14.1" customHeight="1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</row>
    <row r="227" spans="1:14" ht="14.1" customHeight="1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</row>
    <row r="228" spans="1:14" ht="14.1" customHeight="1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</row>
    <row r="229" spans="1:14" ht="14.1" customHeight="1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</row>
    <row r="230" spans="1:14" ht="14.1" customHeight="1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</row>
    <row r="231" spans="1:14" ht="14.1" customHeight="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</row>
    <row r="232" spans="1:14" ht="14.1" customHeight="1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</row>
    <row r="233" spans="1:14" ht="14.1" customHeight="1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</row>
    <row r="234" spans="1:14" ht="14.1" customHeight="1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</row>
    <row r="235" spans="1:14" ht="14.1" customHeight="1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</row>
    <row r="236" spans="1:14" ht="14.1" customHeight="1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</row>
    <row r="237" spans="1:14" ht="14.1" customHeight="1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</row>
    <row r="238" spans="1:14" ht="14.1" customHeight="1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</row>
    <row r="239" spans="1:14" ht="14.1" customHeight="1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</row>
    <row r="240" spans="1:14" ht="14.1" customHeight="1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</row>
    <row r="241" spans="1:14" ht="14.1" customHeight="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</row>
    <row r="242" spans="1:14" ht="14.1" customHeight="1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</row>
    <row r="243" spans="1:14" ht="14.1" customHeight="1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</row>
    <row r="244" spans="1:14" ht="14.1" customHeight="1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</row>
    <row r="245" spans="1:14" ht="14.1" customHeight="1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</row>
    <row r="246" spans="1:14" ht="14.1" customHeight="1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</row>
    <row r="247" spans="1:14" ht="14.1" customHeight="1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</row>
    <row r="248" spans="1:14" ht="14.1" customHeight="1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</row>
    <row r="249" spans="1:14" ht="14.1" customHeight="1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</row>
    <row r="250" spans="1:14" ht="14.1" customHeight="1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</row>
    <row r="251" spans="1:14" ht="14.1" customHeight="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</row>
    <row r="252" spans="1:14" ht="14.1" customHeight="1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</row>
    <row r="253" spans="1:14" ht="14.1" customHeight="1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</row>
    <row r="254" spans="1:14" ht="14.1" customHeight="1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</row>
    <row r="255" spans="1:14" ht="14.1" customHeight="1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</row>
    <row r="256" spans="1:14" ht="14.1" customHeight="1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</row>
    <row r="257" spans="1:14" ht="14.1" customHeight="1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</row>
    <row r="258" spans="1:14" ht="14.1" customHeight="1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</row>
    <row r="259" spans="1:14" ht="14.1" customHeight="1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</row>
    <row r="260" spans="1:14" ht="14.1" customHeight="1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</row>
    <row r="261" spans="1:14" ht="14.1" customHeight="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</row>
    <row r="262" spans="1:14" ht="14.1" customHeight="1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</row>
    <row r="263" spans="1:14" ht="14.1" customHeight="1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</row>
    <row r="264" spans="1:14" ht="14.1" customHeight="1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</row>
    <row r="265" spans="1:14" ht="14.1" customHeight="1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</row>
    <row r="266" spans="1:14" ht="14.1" customHeight="1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</row>
    <row r="267" spans="1:14" ht="14.1" customHeight="1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</row>
    <row r="268" spans="1:14" ht="14.1" customHeight="1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</row>
    <row r="269" spans="1:14" ht="14.1" customHeight="1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</row>
    <row r="270" spans="1:14" ht="14.1" customHeight="1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</row>
    <row r="271" spans="1:14" ht="14.1" customHeight="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</row>
    <row r="272" spans="1:14" ht="14.1" customHeight="1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</row>
    <row r="273" spans="1:14" ht="14.1" customHeight="1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</row>
    <row r="274" spans="1:14" ht="14.1" customHeight="1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</row>
    <row r="275" spans="1:14" ht="14.1" customHeight="1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</row>
    <row r="276" spans="1:14" ht="14.1" customHeight="1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</row>
    <row r="277" spans="1:14" ht="14.1" customHeight="1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</row>
    <row r="278" spans="1:14" ht="14.1" customHeight="1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</row>
    <row r="279" spans="1:14" ht="14.1" customHeight="1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</row>
    <row r="280" spans="1:14" ht="14.1" customHeight="1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</row>
    <row r="281" spans="1:14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</row>
    <row r="282" spans="1:14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</row>
    <row r="283" spans="1:14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</row>
    <row r="284" spans="1:1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</row>
    <row r="285" spans="1:14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</row>
    <row r="286" spans="1:14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</row>
    <row r="287" spans="1:14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</row>
    <row r="288" spans="1:14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</row>
    <row r="289" spans="1:14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</row>
    <row r="290" spans="1:14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</row>
    <row r="291" spans="1:14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</row>
    <row r="292" spans="1:14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</row>
    <row r="293" spans="1:14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</row>
    <row r="294" spans="1:1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</row>
    <row r="295" spans="1:14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</row>
    <row r="296" spans="1:14" hidden="1">
      <c r="A296" s="200">
        <v>1</v>
      </c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</row>
    <row r="297" spans="1:14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</row>
    <row r="298" spans="1:14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</row>
    <row r="299" spans="1:14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</row>
    <row r="300" spans="1:14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</row>
    <row r="301" spans="1:14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</row>
    <row r="302" spans="1:14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</row>
    <row r="303" spans="1:14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</row>
    <row r="304" spans="1:1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</row>
    <row r="305" spans="1:14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</row>
    <row r="306" spans="1:14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</row>
    <row r="307" spans="1:14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</row>
    <row r="308" spans="1:14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</row>
    <row r="309" spans="1:14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</row>
    <row r="310" spans="1:14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</row>
    <row r="311" spans="1:14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</row>
    <row r="312" spans="1:14">
      <c r="A312" s="120">
        <v>5423</v>
      </c>
      <c r="B312" s="120" t="s">
        <v>73</v>
      </c>
      <c r="C312" s="120" t="s">
        <v>136</v>
      </c>
      <c r="D312" s="120" t="s">
        <v>133</v>
      </c>
      <c r="E312" s="120" t="s">
        <v>116</v>
      </c>
      <c r="F312" s="87">
        <f>90*1.0936</f>
        <v>98.423999999999992</v>
      </c>
      <c r="G312" s="120" t="s">
        <v>100</v>
      </c>
      <c r="H312" s="79"/>
      <c r="I312" s="80">
        <v>0.47</v>
      </c>
      <c r="J312" s="81">
        <v>1928</v>
      </c>
      <c r="K312" s="81">
        <f t="shared" ref="K312:K318" si="40">I312*J312</f>
        <v>906.16</v>
      </c>
      <c r="L312" s="102"/>
      <c r="M312" s="71"/>
      <c r="N312" s="71"/>
    </row>
    <row r="313" spans="1:14">
      <c r="A313" s="85"/>
      <c r="B313" s="85"/>
      <c r="C313" s="85"/>
      <c r="D313" s="85"/>
      <c r="E313" s="204"/>
      <c r="F313" s="98"/>
      <c r="G313" s="120" t="s">
        <v>96</v>
      </c>
      <c r="H313" s="79"/>
      <c r="I313" s="80">
        <v>4</v>
      </c>
      <c r="J313" s="81">
        <v>1944</v>
      </c>
      <c r="K313" s="81">
        <f t="shared" si="40"/>
        <v>7776</v>
      </c>
      <c r="L313" s="102"/>
      <c r="M313" s="71"/>
      <c r="N313" s="71"/>
    </row>
    <row r="314" spans="1:14">
      <c r="A314" s="85"/>
      <c r="B314" s="85"/>
      <c r="C314" s="85"/>
      <c r="D314" s="85"/>
      <c r="E314" s="85"/>
      <c r="F314" s="98"/>
      <c r="G314" s="120" t="s">
        <v>134</v>
      </c>
      <c r="H314" s="79"/>
      <c r="I314" s="80">
        <v>0.01</v>
      </c>
      <c r="J314" s="81">
        <v>5724</v>
      </c>
      <c r="K314" s="81">
        <f t="shared" si="40"/>
        <v>57.24</v>
      </c>
      <c r="L314" s="102"/>
      <c r="M314" s="71"/>
      <c r="N314" s="71"/>
    </row>
    <row r="315" spans="1:14">
      <c r="A315" s="85"/>
      <c r="B315" s="85"/>
      <c r="C315" s="85"/>
      <c r="D315" s="85"/>
      <c r="E315" s="85"/>
      <c r="F315" s="98"/>
      <c r="G315" s="120" t="s">
        <v>97</v>
      </c>
      <c r="H315" s="79"/>
      <c r="I315" s="80">
        <v>1</v>
      </c>
      <c r="J315" s="81">
        <v>146</v>
      </c>
      <c r="K315" s="81">
        <f t="shared" si="40"/>
        <v>146</v>
      </c>
      <c r="L315" s="102"/>
      <c r="M315" s="71"/>
      <c r="N315" s="71"/>
    </row>
    <row r="316" spans="1:14">
      <c r="A316" s="85"/>
      <c r="B316" s="85"/>
      <c r="C316" s="85"/>
      <c r="D316" s="85"/>
      <c r="E316" s="85"/>
      <c r="F316" s="98"/>
      <c r="G316" s="120" t="s">
        <v>98</v>
      </c>
      <c r="H316" s="79"/>
      <c r="I316" s="80">
        <v>0.1</v>
      </c>
      <c r="J316" s="81">
        <v>227</v>
      </c>
      <c r="K316" s="81">
        <f t="shared" si="40"/>
        <v>22.700000000000003</v>
      </c>
      <c r="L316" s="102"/>
      <c r="M316" s="71"/>
      <c r="N316" s="71"/>
    </row>
    <row r="317" spans="1:14">
      <c r="A317" s="85"/>
      <c r="B317" s="85"/>
      <c r="C317" s="85"/>
      <c r="D317" s="85"/>
      <c r="E317" s="85"/>
      <c r="F317" s="98"/>
      <c r="G317" s="120" t="s">
        <v>99</v>
      </c>
      <c r="H317" s="79"/>
      <c r="I317" s="80">
        <v>0.1</v>
      </c>
      <c r="J317" s="81">
        <v>378</v>
      </c>
      <c r="K317" s="81">
        <f t="shared" si="40"/>
        <v>37.800000000000004</v>
      </c>
      <c r="L317" s="102"/>
      <c r="M317" s="71"/>
      <c r="N317" s="71"/>
    </row>
    <row r="318" spans="1:14">
      <c r="A318" s="85"/>
      <c r="B318" s="85"/>
      <c r="C318" s="85"/>
      <c r="D318" s="85"/>
      <c r="E318" s="85"/>
      <c r="F318" s="98"/>
      <c r="G318" s="120" t="s">
        <v>19</v>
      </c>
      <c r="H318" s="79"/>
      <c r="I318" s="80">
        <v>0.1</v>
      </c>
      <c r="J318" s="81">
        <v>49</v>
      </c>
      <c r="K318" s="81">
        <f t="shared" si="40"/>
        <v>4.9000000000000004</v>
      </c>
      <c r="L318" s="102"/>
      <c r="M318" s="71"/>
      <c r="N318" s="71"/>
    </row>
    <row r="319" spans="1:14">
      <c r="A319" s="85"/>
      <c r="B319" s="85"/>
      <c r="C319" s="85"/>
      <c r="D319" s="85"/>
      <c r="E319" s="172" t="s">
        <v>9</v>
      </c>
      <c r="F319" s="211">
        <f>SUM(F312:F317)</f>
        <v>98.423999999999992</v>
      </c>
      <c r="G319" s="212"/>
      <c r="H319" s="212"/>
      <c r="I319" s="213"/>
      <c r="J319" s="214"/>
      <c r="K319" s="129">
        <f>SUM(K312:K318)</f>
        <v>8950.7999999999993</v>
      </c>
      <c r="L319" s="129">
        <f>K319/F319</f>
        <v>90.941233845403559</v>
      </c>
      <c r="M319" s="71"/>
      <c r="N319" s="71"/>
    </row>
    <row r="320" spans="1:14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</row>
    <row r="321" spans="1:14">
      <c r="A321" s="85">
        <v>5423</v>
      </c>
      <c r="B321" s="120" t="s">
        <v>73</v>
      </c>
      <c r="C321" s="120" t="s">
        <v>136</v>
      </c>
      <c r="D321" s="120" t="s">
        <v>133</v>
      </c>
      <c r="E321" s="120" t="s">
        <v>116</v>
      </c>
      <c r="F321" s="87">
        <f>90*1.0936</f>
        <v>98.423999999999992</v>
      </c>
      <c r="G321" s="120" t="s">
        <v>76</v>
      </c>
      <c r="H321" s="79"/>
      <c r="I321" s="80">
        <v>5</v>
      </c>
      <c r="J321" s="81">
        <v>15</v>
      </c>
      <c r="K321" s="81">
        <f t="shared" ref="K321:K323" si="41">I321*J321</f>
        <v>75</v>
      </c>
      <c r="L321" s="102"/>
      <c r="M321" s="102"/>
      <c r="N321" s="71"/>
    </row>
    <row r="322" spans="1:14">
      <c r="A322" s="85"/>
      <c r="B322" s="85"/>
      <c r="C322" s="85"/>
      <c r="D322" s="85"/>
      <c r="E322" s="85"/>
      <c r="F322" s="98"/>
      <c r="G322" s="120" t="s">
        <v>18</v>
      </c>
      <c r="H322" s="79"/>
      <c r="I322" s="80">
        <v>4</v>
      </c>
      <c r="J322" s="81">
        <v>45</v>
      </c>
      <c r="K322" s="81">
        <f t="shared" si="41"/>
        <v>180</v>
      </c>
      <c r="L322" s="102"/>
      <c r="M322" s="102"/>
      <c r="N322" s="71"/>
    </row>
    <row r="323" spans="1:14">
      <c r="A323" s="85"/>
      <c r="B323" s="85"/>
      <c r="C323" s="85"/>
      <c r="D323" s="85"/>
      <c r="E323" s="85"/>
      <c r="F323" s="98"/>
      <c r="G323" s="120" t="s">
        <v>19</v>
      </c>
      <c r="H323" s="79"/>
      <c r="I323" s="80">
        <v>7</v>
      </c>
      <c r="J323" s="81">
        <v>56</v>
      </c>
      <c r="K323" s="81">
        <f t="shared" si="41"/>
        <v>392</v>
      </c>
      <c r="L323" s="102"/>
      <c r="M323" s="102"/>
      <c r="N323" s="71"/>
    </row>
    <row r="324" spans="1:14">
      <c r="A324" s="85"/>
      <c r="B324" s="85"/>
      <c r="C324" s="85"/>
      <c r="D324" s="85"/>
      <c r="E324" s="85"/>
      <c r="F324" s="98"/>
      <c r="G324" s="120" t="s">
        <v>10</v>
      </c>
      <c r="H324" s="178"/>
      <c r="I324" s="215">
        <v>2</v>
      </c>
      <c r="J324" s="94">
        <v>75</v>
      </c>
      <c r="K324" s="94">
        <f>I324*J324</f>
        <v>150</v>
      </c>
      <c r="L324" s="102"/>
      <c r="M324" s="102"/>
      <c r="N324" s="71"/>
    </row>
    <row r="325" spans="1:14">
      <c r="A325" s="85"/>
      <c r="B325" s="85"/>
      <c r="C325" s="85"/>
      <c r="D325" s="85"/>
      <c r="E325" s="85"/>
      <c r="F325" s="98"/>
      <c r="G325" s="120" t="s">
        <v>70</v>
      </c>
      <c r="H325" s="79"/>
      <c r="I325" s="80">
        <v>2</v>
      </c>
      <c r="J325" s="81">
        <v>146</v>
      </c>
      <c r="K325" s="81">
        <f t="shared" ref="K325" si="42">I325*J325</f>
        <v>292</v>
      </c>
      <c r="L325" s="102"/>
      <c r="M325" s="102"/>
      <c r="N325" s="71"/>
    </row>
    <row r="326" spans="1:14">
      <c r="A326" s="85"/>
      <c r="B326" s="85"/>
      <c r="C326" s="85"/>
      <c r="D326" s="85"/>
      <c r="E326" s="85"/>
      <c r="F326" s="98"/>
      <c r="G326" s="120" t="s">
        <v>25</v>
      </c>
      <c r="H326" s="120"/>
      <c r="I326" s="96">
        <v>8</v>
      </c>
      <c r="J326" s="94">
        <v>145</v>
      </c>
      <c r="K326" s="94">
        <f>I326*J326</f>
        <v>1160</v>
      </c>
      <c r="L326" s="102"/>
      <c r="M326" s="102"/>
      <c r="N326" s="71"/>
    </row>
    <row r="327" spans="1:14">
      <c r="A327" s="85"/>
      <c r="B327" s="85"/>
      <c r="C327" s="85"/>
      <c r="D327" s="85"/>
      <c r="E327" s="172" t="s">
        <v>9</v>
      </c>
      <c r="F327" s="211">
        <f>SUM(F321:F326)</f>
        <v>98.423999999999992</v>
      </c>
      <c r="G327" s="212"/>
      <c r="H327" s="212"/>
      <c r="I327" s="213"/>
      <c r="J327" s="214"/>
      <c r="K327" s="129">
        <f>SUM(K321:K326)</f>
        <v>2249</v>
      </c>
      <c r="L327" s="129">
        <f>K327/F327</f>
        <v>22.850117857433148</v>
      </c>
      <c r="M327" s="102"/>
      <c r="N327" s="71"/>
    </row>
    <row r="328" spans="1:14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</row>
    <row r="329" spans="1:14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216"/>
      <c r="M329" s="71"/>
      <c r="N329" s="71"/>
    </row>
    <row r="330" spans="1:14">
      <c r="A330" s="71"/>
      <c r="B330" s="71"/>
      <c r="C330" s="71"/>
      <c r="D330" s="71"/>
      <c r="E330" s="133" t="s">
        <v>140</v>
      </c>
      <c r="F330" s="136"/>
      <c r="G330" s="217"/>
      <c r="H330" s="218"/>
      <c r="I330" s="218"/>
      <c r="J330" s="218"/>
      <c r="K330" s="218"/>
      <c r="L330" s="217">
        <f>L319+L327</f>
        <v>113.79135170283671</v>
      </c>
      <c r="M330" s="219"/>
      <c r="N330" s="71"/>
    </row>
  </sheetData>
  <mergeCells count="29">
    <mergeCell ref="K192:M192"/>
    <mergeCell ref="I175:J175"/>
    <mergeCell ref="I176:J176"/>
    <mergeCell ref="I177:J177"/>
    <mergeCell ref="A192:B192"/>
    <mergeCell ref="C192:D192"/>
    <mergeCell ref="E192:F192"/>
    <mergeCell ref="H192:J192"/>
    <mergeCell ref="D171:E171"/>
    <mergeCell ref="I171:J171"/>
    <mergeCell ref="I172:J172"/>
    <mergeCell ref="I173:J173"/>
    <mergeCell ref="B174:C174"/>
    <mergeCell ref="I174:J174"/>
    <mergeCell ref="K24:M24"/>
    <mergeCell ref="K36:M36"/>
    <mergeCell ref="K41:M41"/>
    <mergeCell ref="K86:M86"/>
    <mergeCell ref="K101:M101"/>
    <mergeCell ref="K4:M4"/>
    <mergeCell ref="K15:M15"/>
    <mergeCell ref="A1:M1"/>
    <mergeCell ref="A2:M2"/>
    <mergeCell ref="A3:M3"/>
    <mergeCell ref="K123:M123"/>
    <mergeCell ref="D169:E169"/>
    <mergeCell ref="D170:E170"/>
    <mergeCell ref="I169:J169"/>
    <mergeCell ref="I170:J170"/>
  </mergeCells>
  <pageMargins left="0.7" right="0.7" top="0.75" bottom="0.75" header="0.3" footer="0.3"/>
  <pageSetup scale="7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63"/>
  <sheetViews>
    <sheetView topLeftCell="A226" workbookViewId="0">
      <selection activeCell="G228" sqref="G228"/>
    </sheetView>
  </sheetViews>
  <sheetFormatPr defaultRowHeight="15"/>
  <cols>
    <col min="2" max="2" width="13.42578125" bestFit="1" customWidth="1"/>
    <col min="3" max="3" width="12.5703125" bestFit="1" customWidth="1"/>
    <col min="4" max="4" width="19.85546875" customWidth="1"/>
    <col min="5" max="5" width="12.7109375" bestFit="1" customWidth="1"/>
    <col min="6" max="6" width="10.5703125" bestFit="1" customWidth="1"/>
    <col min="7" max="7" width="24.42578125" bestFit="1" customWidth="1"/>
    <col min="8" max="8" width="6.42578125" bestFit="1" customWidth="1"/>
    <col min="9" max="9" width="10.5703125" bestFit="1" customWidth="1"/>
    <col min="10" max="10" width="9.5703125" bestFit="1" customWidth="1"/>
    <col min="11" max="11" width="11.5703125" bestFit="1" customWidth="1"/>
    <col min="12" max="12" width="9.42578125" customWidth="1"/>
    <col min="13" max="13" width="13.28515625" bestFit="1" customWidth="1"/>
    <col min="14" max="14" width="11.28515625" customWidth="1"/>
  </cols>
  <sheetData>
    <row r="1" spans="1:14" ht="23.25" customHeight="1">
      <c r="A1" s="851" t="s">
        <v>146</v>
      </c>
      <c r="B1" s="851"/>
      <c r="C1" s="851"/>
      <c r="D1" s="851"/>
      <c r="E1" s="851"/>
      <c r="F1" s="851"/>
      <c r="G1" s="851"/>
      <c r="H1" s="851"/>
      <c r="I1" s="851"/>
      <c r="J1" s="851"/>
      <c r="K1" s="851"/>
      <c r="L1" s="851"/>
      <c r="M1" s="851"/>
      <c r="N1" s="851"/>
    </row>
    <row r="2" spans="1:14">
      <c r="A2" s="852" t="s">
        <v>147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</row>
    <row r="3" spans="1:14" s="9" customFormat="1">
      <c r="A3" s="853" t="s">
        <v>148</v>
      </c>
      <c r="B3" s="853"/>
      <c r="C3" s="853"/>
      <c r="D3" s="853"/>
      <c r="E3" s="853"/>
      <c r="F3" s="853"/>
      <c r="G3" s="853"/>
      <c r="H3" s="853"/>
      <c r="I3" s="853"/>
      <c r="J3" s="853"/>
      <c r="K3" s="853"/>
      <c r="L3" s="853"/>
      <c r="M3" s="853"/>
      <c r="N3" s="853"/>
    </row>
    <row r="4" spans="1:14">
      <c r="A4" s="628" t="s">
        <v>21</v>
      </c>
      <c r="B4" s="628"/>
      <c r="C4" s="628"/>
      <c r="D4" s="628"/>
      <c r="E4" s="628"/>
      <c r="F4" s="623"/>
      <c r="G4" s="623"/>
      <c r="H4" s="623"/>
      <c r="I4" s="623"/>
      <c r="J4" s="623"/>
      <c r="K4" s="850" t="s">
        <v>1210</v>
      </c>
      <c r="L4" s="850"/>
      <c r="M4" s="850"/>
      <c r="N4" s="618"/>
    </row>
    <row r="5" spans="1:14">
      <c r="A5" s="180" t="s">
        <v>0</v>
      </c>
      <c r="B5" s="180" t="s">
        <v>7</v>
      </c>
      <c r="C5" s="180" t="s">
        <v>13</v>
      </c>
      <c r="D5" s="180" t="s">
        <v>14</v>
      </c>
      <c r="E5" s="180" t="s">
        <v>8</v>
      </c>
      <c r="F5" s="180" t="s">
        <v>1</v>
      </c>
      <c r="G5" s="180" t="s">
        <v>2</v>
      </c>
      <c r="H5" s="180" t="s">
        <v>15</v>
      </c>
      <c r="I5" s="180" t="s">
        <v>3</v>
      </c>
      <c r="J5" s="180" t="s">
        <v>4</v>
      </c>
      <c r="K5" s="180" t="s">
        <v>5</v>
      </c>
      <c r="L5" s="180" t="s">
        <v>12</v>
      </c>
      <c r="M5" s="180" t="s">
        <v>6</v>
      </c>
      <c r="N5" s="657"/>
    </row>
    <row r="6" spans="1:14">
      <c r="A6" s="178">
        <v>1</v>
      </c>
      <c r="B6" s="178" t="s">
        <v>691</v>
      </c>
      <c r="C6" s="629" t="s">
        <v>553</v>
      </c>
      <c r="D6" s="629" t="s">
        <v>554</v>
      </c>
      <c r="E6" s="178"/>
      <c r="F6" s="621"/>
      <c r="G6" s="178" t="s">
        <v>170</v>
      </c>
      <c r="H6" s="192"/>
      <c r="I6" s="554"/>
      <c r="J6" s="614">
        <v>227</v>
      </c>
      <c r="K6" s="614">
        <f t="shared" ref="K6:K7" si="0">I6*J6</f>
        <v>0</v>
      </c>
      <c r="L6" s="192"/>
      <c r="M6" s="620">
        <f>I6+I10+I14</f>
        <v>0</v>
      </c>
      <c r="N6" s="178" t="s">
        <v>173</v>
      </c>
    </row>
    <row r="7" spans="1:14">
      <c r="A7" s="178"/>
      <c r="B7" s="178"/>
      <c r="C7" s="178"/>
      <c r="D7" s="178"/>
      <c r="E7" s="178"/>
      <c r="F7" s="621"/>
      <c r="G7" s="178" t="s">
        <v>171</v>
      </c>
      <c r="H7" s="192"/>
      <c r="I7" s="554"/>
      <c r="J7" s="614">
        <v>416</v>
      </c>
      <c r="K7" s="614">
        <f t="shared" si="0"/>
        <v>0</v>
      </c>
      <c r="L7" s="192"/>
      <c r="M7" s="620">
        <f>I7+I11+I15+I23+I29+I35</f>
        <v>0</v>
      </c>
      <c r="N7" s="178" t="s">
        <v>174</v>
      </c>
    </row>
    <row r="8" spans="1:14">
      <c r="A8" s="178"/>
      <c r="B8" s="178"/>
      <c r="C8" s="178"/>
      <c r="D8" s="178"/>
      <c r="E8" s="178"/>
      <c r="F8" s="621"/>
      <c r="G8" s="178" t="s">
        <v>172</v>
      </c>
      <c r="H8" s="192"/>
      <c r="I8" s="554"/>
      <c r="J8" s="614">
        <v>165</v>
      </c>
      <c r="K8" s="614">
        <f>I8*J8</f>
        <v>0</v>
      </c>
      <c r="L8" s="192"/>
      <c r="M8" s="620">
        <f>I8+I12+I16+I24+I30+I36</f>
        <v>0</v>
      </c>
      <c r="N8" s="178" t="s">
        <v>172</v>
      </c>
    </row>
    <row r="9" spans="1:14">
      <c r="A9" s="178"/>
      <c r="B9" s="178"/>
      <c r="C9" s="178"/>
      <c r="D9" s="178"/>
      <c r="E9" s="180" t="s">
        <v>9</v>
      </c>
      <c r="F9" s="622">
        <f>SUM(F6:F8)</f>
        <v>0</v>
      </c>
      <c r="G9" s="180"/>
      <c r="H9" s="180"/>
      <c r="I9" s="554"/>
      <c r="J9" s="614"/>
      <c r="K9" s="152">
        <f>SUM(K6:K8)</f>
        <v>0</v>
      </c>
      <c r="L9" s="152" t="e">
        <f>K9/F9</f>
        <v>#DIV/0!</v>
      </c>
      <c r="M9" s="620">
        <f>I21+I27+I33+I42+I45+I48+I51</f>
        <v>0</v>
      </c>
      <c r="N9" s="178" t="s">
        <v>24</v>
      </c>
    </row>
    <row r="10" spans="1:14">
      <c r="A10" s="178">
        <v>2</v>
      </c>
      <c r="B10" s="178" t="s">
        <v>683</v>
      </c>
      <c r="C10" s="178" t="s">
        <v>420</v>
      </c>
      <c r="D10" s="178" t="s">
        <v>692</v>
      </c>
      <c r="E10" s="178"/>
      <c r="F10" s="621"/>
      <c r="G10" s="178" t="s">
        <v>170</v>
      </c>
      <c r="H10" s="192"/>
      <c r="I10" s="554"/>
      <c r="J10" s="614">
        <v>227</v>
      </c>
      <c r="K10" s="614">
        <f t="shared" ref="K10:K11" si="1">I10*J10</f>
        <v>0</v>
      </c>
      <c r="L10" s="192"/>
      <c r="M10" s="620">
        <f>I22+I28+I34</f>
        <v>0</v>
      </c>
      <c r="N10" s="178" t="s">
        <v>175</v>
      </c>
    </row>
    <row r="11" spans="1:14">
      <c r="A11" s="178"/>
      <c r="B11" s="178"/>
      <c r="C11" s="178"/>
      <c r="D11" s="178"/>
      <c r="E11" s="178"/>
      <c r="F11" s="621"/>
      <c r="G11" s="178" t="s">
        <v>171</v>
      </c>
      <c r="H11" s="192"/>
      <c r="I11" s="554"/>
      <c r="J11" s="614">
        <v>416</v>
      </c>
      <c r="K11" s="614">
        <f t="shared" si="1"/>
        <v>0</v>
      </c>
      <c r="L11" s="192"/>
      <c r="M11" s="620">
        <f>I25+I31+I37</f>
        <v>0</v>
      </c>
      <c r="N11" s="179" t="s">
        <v>176</v>
      </c>
    </row>
    <row r="12" spans="1:14">
      <c r="A12" s="178"/>
      <c r="B12" s="178"/>
      <c r="C12" s="178"/>
      <c r="D12" s="178"/>
      <c r="E12" s="178"/>
      <c r="F12" s="621"/>
      <c r="G12" s="178" t="s">
        <v>172</v>
      </c>
      <c r="H12" s="192"/>
      <c r="I12" s="554"/>
      <c r="J12" s="614">
        <v>165</v>
      </c>
      <c r="K12" s="614">
        <f>I12*J12</f>
        <v>0</v>
      </c>
      <c r="L12" s="192"/>
      <c r="M12" s="620">
        <f>I43+I46+I49+I52</f>
        <v>0</v>
      </c>
      <c r="N12" s="613" t="s">
        <v>10</v>
      </c>
    </row>
    <row r="13" spans="1:14">
      <c r="A13" s="178"/>
      <c r="B13" s="178"/>
      <c r="C13" s="178"/>
      <c r="D13" s="178"/>
      <c r="E13" s="180" t="s">
        <v>9</v>
      </c>
      <c r="F13" s="622">
        <f>SUM(F10:F12)</f>
        <v>0</v>
      </c>
      <c r="G13" s="180"/>
      <c r="H13" s="180"/>
      <c r="I13" s="554"/>
      <c r="J13" s="614"/>
      <c r="K13" s="152">
        <f>SUM(K10:K12)</f>
        <v>0</v>
      </c>
      <c r="L13" s="152" t="e">
        <f>K13/F13</f>
        <v>#DIV/0!</v>
      </c>
      <c r="M13" s="192"/>
      <c r="N13" s="613" t="s">
        <v>1201</v>
      </c>
    </row>
    <row r="14" spans="1:14">
      <c r="A14" s="178">
        <v>3</v>
      </c>
      <c r="B14" s="178" t="s">
        <v>693</v>
      </c>
      <c r="C14" s="178" t="s">
        <v>470</v>
      </c>
      <c r="D14" s="178" t="s">
        <v>491</v>
      </c>
      <c r="E14" s="178"/>
      <c r="F14" s="621"/>
      <c r="G14" s="178" t="s">
        <v>170</v>
      </c>
      <c r="H14" s="192"/>
      <c r="I14" s="554"/>
      <c r="J14" s="614">
        <v>227</v>
      </c>
      <c r="K14" s="614">
        <f t="shared" ref="K14:K15" si="2">I14*J14</f>
        <v>0</v>
      </c>
      <c r="L14" s="192"/>
      <c r="M14" s="192"/>
      <c r="N14" s="613" t="s">
        <v>1202</v>
      </c>
    </row>
    <row r="15" spans="1:14">
      <c r="A15" s="178"/>
      <c r="B15" s="178"/>
      <c r="C15" s="178"/>
      <c r="D15" s="178"/>
      <c r="E15" s="178"/>
      <c r="F15" s="621"/>
      <c r="G15" s="178" t="s">
        <v>171</v>
      </c>
      <c r="H15" s="192"/>
      <c r="I15" s="554"/>
      <c r="J15" s="614">
        <v>416</v>
      </c>
      <c r="K15" s="614">
        <f t="shared" si="2"/>
        <v>0</v>
      </c>
      <c r="L15" s="192"/>
      <c r="M15" s="192"/>
      <c r="N15" s="613" t="s">
        <v>1203</v>
      </c>
    </row>
    <row r="16" spans="1:14">
      <c r="A16" s="178"/>
      <c r="B16" s="178"/>
      <c r="C16" s="178"/>
      <c r="D16" s="178"/>
      <c r="E16" s="178"/>
      <c r="F16" s="621"/>
      <c r="G16" s="178" t="s">
        <v>172</v>
      </c>
      <c r="H16" s="192"/>
      <c r="I16" s="554"/>
      <c r="J16" s="614">
        <v>165</v>
      </c>
      <c r="K16" s="614">
        <f>I16*J16</f>
        <v>0</v>
      </c>
      <c r="L16" s="192"/>
      <c r="M16" s="192"/>
      <c r="N16" s="613" t="s">
        <v>1204</v>
      </c>
    </row>
    <row r="17" spans="1:14">
      <c r="A17" s="178"/>
      <c r="B17" s="178"/>
      <c r="C17" s="178"/>
      <c r="D17" s="178"/>
      <c r="E17" s="180" t="s">
        <v>9</v>
      </c>
      <c r="F17" s="622">
        <f>SUM(F14:F16)</f>
        <v>0</v>
      </c>
      <c r="G17" s="180"/>
      <c r="H17" s="180"/>
      <c r="I17" s="554"/>
      <c r="J17" s="614"/>
      <c r="K17" s="152">
        <f>SUM(K14:K16)</f>
        <v>0</v>
      </c>
      <c r="L17" s="152" t="e">
        <f>K17/F17</f>
        <v>#DIV/0!</v>
      </c>
      <c r="M17" s="192"/>
      <c r="N17" s="153" t="s">
        <v>1205</v>
      </c>
    </row>
    <row r="18" spans="1:14">
      <c r="A18" s="623"/>
      <c r="B18" s="623"/>
      <c r="C18" s="623"/>
      <c r="D18" s="624" t="s">
        <v>30</v>
      </c>
      <c r="E18" s="624"/>
      <c r="F18" s="625">
        <f>F9+F13+F17</f>
        <v>0</v>
      </c>
      <c r="G18" s="626"/>
      <c r="H18" s="626"/>
      <c r="I18" s="626"/>
      <c r="J18" s="626"/>
      <c r="K18" s="625">
        <f>K9+K13+K17</f>
        <v>0</v>
      </c>
      <c r="L18" s="627" t="e">
        <f>K18/F18</f>
        <v>#DIV/0!</v>
      </c>
      <c r="M18" s="623"/>
      <c r="N18" s="153" t="s">
        <v>1206</v>
      </c>
    </row>
    <row r="19" spans="1:14">
      <c r="A19" s="702" t="s">
        <v>23</v>
      </c>
      <c r="B19" s="702"/>
      <c r="C19" s="702"/>
      <c r="D19" s="702"/>
      <c r="E19" s="702"/>
      <c r="F19" s="657"/>
      <c r="G19" s="657"/>
      <c r="H19" s="657"/>
      <c r="I19" s="657"/>
      <c r="J19" s="657"/>
      <c r="K19" s="850" t="s">
        <v>1210</v>
      </c>
      <c r="L19" s="850"/>
      <c r="M19" s="850"/>
      <c r="N19" s="153" t="s">
        <v>1207</v>
      </c>
    </row>
    <row r="20" spans="1:14">
      <c r="A20" s="647" t="s">
        <v>0</v>
      </c>
      <c r="B20" s="647" t="s">
        <v>7</v>
      </c>
      <c r="C20" s="647" t="s">
        <v>13</v>
      </c>
      <c r="D20" s="647" t="s">
        <v>14</v>
      </c>
      <c r="E20" s="647" t="s">
        <v>8</v>
      </c>
      <c r="F20" s="647" t="s">
        <v>1</v>
      </c>
      <c r="G20" s="647" t="s">
        <v>2</v>
      </c>
      <c r="H20" s="647" t="s">
        <v>15</v>
      </c>
      <c r="I20" s="647" t="s">
        <v>3</v>
      </c>
      <c r="J20" s="647" t="s">
        <v>4</v>
      </c>
      <c r="K20" s="647" t="s">
        <v>5</v>
      </c>
      <c r="L20" s="647" t="s">
        <v>12</v>
      </c>
      <c r="M20" s="647" t="s">
        <v>6</v>
      </c>
      <c r="N20" s="153" t="s">
        <v>1208</v>
      </c>
    </row>
    <row r="21" spans="1:14">
      <c r="A21" s="121">
        <v>1</v>
      </c>
      <c r="B21" s="178" t="s">
        <v>657</v>
      </c>
      <c r="C21" s="629" t="s">
        <v>656</v>
      </c>
      <c r="D21" s="629" t="s">
        <v>658</v>
      </c>
      <c r="E21" s="121"/>
      <c r="F21" s="621"/>
      <c r="G21" s="178" t="s">
        <v>24</v>
      </c>
      <c r="H21" s="192"/>
      <c r="I21" s="554"/>
      <c r="J21" s="614">
        <v>74</v>
      </c>
      <c r="K21" s="614">
        <f t="shared" ref="K21:K23" si="3">I21*J21</f>
        <v>0</v>
      </c>
      <c r="L21" s="491"/>
      <c r="M21" s="21"/>
      <c r="N21" s="153" t="s">
        <v>912</v>
      </c>
    </row>
    <row r="22" spans="1:14">
      <c r="A22" s="121"/>
      <c r="B22" s="248"/>
      <c r="C22" s="248"/>
      <c r="D22" s="248"/>
      <c r="E22" s="121"/>
      <c r="F22" s="703"/>
      <c r="G22" s="178" t="s">
        <v>18</v>
      </c>
      <c r="H22" s="192"/>
      <c r="I22" s="554"/>
      <c r="J22" s="614">
        <v>46</v>
      </c>
      <c r="K22" s="614">
        <f t="shared" si="3"/>
        <v>0</v>
      </c>
      <c r="L22" s="491"/>
      <c r="M22" s="491"/>
      <c r="N22" s="153" t="s">
        <v>1209</v>
      </c>
    </row>
    <row r="23" spans="1:14">
      <c r="A23" s="121"/>
      <c r="B23" s="248"/>
      <c r="C23" s="248"/>
      <c r="D23" s="248"/>
      <c r="E23" s="121"/>
      <c r="F23" s="703"/>
      <c r="G23" s="178" t="s">
        <v>171</v>
      </c>
      <c r="H23" s="192"/>
      <c r="I23" s="554"/>
      <c r="J23" s="614">
        <v>416</v>
      </c>
      <c r="K23" s="614">
        <f t="shared" si="3"/>
        <v>0</v>
      </c>
      <c r="L23" s="491"/>
      <c r="M23" s="491"/>
      <c r="N23" s="609"/>
    </row>
    <row r="24" spans="1:14">
      <c r="A24" s="121"/>
      <c r="B24" s="121"/>
      <c r="C24" s="121"/>
      <c r="D24" s="121"/>
      <c r="E24" s="121"/>
      <c r="F24" s="703"/>
      <c r="G24" s="178" t="s">
        <v>172</v>
      </c>
      <c r="H24" s="192"/>
      <c r="I24" s="554"/>
      <c r="J24" s="614">
        <v>165</v>
      </c>
      <c r="K24" s="614">
        <f>I24*J24</f>
        <v>0</v>
      </c>
      <c r="L24" s="491"/>
      <c r="M24" s="491"/>
      <c r="N24" s="610"/>
    </row>
    <row r="25" spans="1:14">
      <c r="A25" s="121"/>
      <c r="B25" s="121"/>
      <c r="C25" s="121"/>
      <c r="D25" s="121"/>
      <c r="E25" s="121"/>
      <c r="F25" s="703"/>
      <c r="G25" s="179" t="s">
        <v>181</v>
      </c>
      <c r="H25" s="192"/>
      <c r="I25" s="554"/>
      <c r="J25" s="614">
        <v>165</v>
      </c>
      <c r="K25" s="614">
        <f t="shared" ref="K25" si="4">I25*J25</f>
        <v>0</v>
      </c>
      <c r="L25" s="491"/>
      <c r="M25" s="491"/>
      <c r="N25" s="610"/>
    </row>
    <row r="26" spans="1:14">
      <c r="A26" s="121"/>
      <c r="B26" s="121"/>
      <c r="C26" s="121"/>
      <c r="D26" s="121"/>
      <c r="E26" s="647" t="s">
        <v>9</v>
      </c>
      <c r="F26" s="706">
        <f>SUM(F21:F25)</f>
        <v>0</v>
      </c>
      <c r="G26" s="647"/>
      <c r="H26" s="647"/>
      <c r="I26" s="707"/>
      <c r="J26" s="708"/>
      <c r="K26" s="60">
        <f>SUM(K21:K25)</f>
        <v>0</v>
      </c>
      <c r="L26" s="60" t="e">
        <f>K26/F26</f>
        <v>#DIV/0!</v>
      </c>
      <c r="M26" s="491"/>
      <c r="N26" s="610"/>
    </row>
    <row r="27" spans="1:14">
      <c r="A27" s="121">
        <v>2</v>
      </c>
      <c r="B27" s="178" t="s">
        <v>655</v>
      </c>
      <c r="C27" s="629" t="s">
        <v>455</v>
      </c>
      <c r="D27" s="629" t="s">
        <v>568</v>
      </c>
      <c r="E27" s="178"/>
      <c r="F27" s="621"/>
      <c r="G27" s="178" t="s">
        <v>24</v>
      </c>
      <c r="H27" s="192"/>
      <c r="I27" s="554"/>
      <c r="J27" s="614">
        <v>74</v>
      </c>
      <c r="K27" s="614">
        <f t="shared" ref="K27:K29" si="5">I27*J27</f>
        <v>0</v>
      </c>
      <c r="L27" s="491"/>
      <c r="M27" s="491"/>
      <c r="N27" s="610"/>
    </row>
    <row r="28" spans="1:14">
      <c r="A28" s="121"/>
      <c r="B28" s="121"/>
      <c r="C28" s="121"/>
      <c r="D28" s="121"/>
      <c r="E28" s="121"/>
      <c r="F28" s="703"/>
      <c r="G28" s="178" t="s">
        <v>18</v>
      </c>
      <c r="H28" s="192"/>
      <c r="I28" s="554"/>
      <c r="J28" s="614">
        <v>46</v>
      </c>
      <c r="K28" s="614">
        <f t="shared" si="5"/>
        <v>0</v>
      </c>
      <c r="L28" s="491"/>
      <c r="M28" s="491"/>
      <c r="N28" s="610"/>
    </row>
    <row r="29" spans="1:14">
      <c r="A29" s="121"/>
      <c r="B29" s="121"/>
      <c r="C29" s="121"/>
      <c r="D29" s="121"/>
      <c r="E29" s="121"/>
      <c r="F29" s="703"/>
      <c r="G29" s="178" t="s">
        <v>171</v>
      </c>
      <c r="H29" s="192"/>
      <c r="I29" s="554"/>
      <c r="J29" s="614">
        <v>416</v>
      </c>
      <c r="K29" s="614">
        <f t="shared" si="5"/>
        <v>0</v>
      </c>
      <c r="L29" s="491"/>
      <c r="M29" s="491"/>
      <c r="N29" s="610"/>
    </row>
    <row r="30" spans="1:14">
      <c r="A30" s="121"/>
      <c r="B30" s="121"/>
      <c r="C30" s="121"/>
      <c r="D30" s="121"/>
      <c r="E30" s="121"/>
      <c r="F30" s="703"/>
      <c r="G30" s="178" t="s">
        <v>172</v>
      </c>
      <c r="H30" s="192"/>
      <c r="I30" s="554"/>
      <c r="J30" s="614">
        <v>165</v>
      </c>
      <c r="K30" s="614">
        <f>I30*J30</f>
        <v>0</v>
      </c>
      <c r="L30" s="491"/>
      <c r="M30" s="491"/>
      <c r="N30" s="657"/>
    </row>
    <row r="31" spans="1:14">
      <c r="A31" s="121"/>
      <c r="B31" s="121"/>
      <c r="C31" s="121"/>
      <c r="D31" s="121"/>
      <c r="E31" s="121"/>
      <c r="F31" s="703"/>
      <c r="G31" s="179" t="s">
        <v>181</v>
      </c>
      <c r="H31" s="192"/>
      <c r="I31" s="554"/>
      <c r="J31" s="614">
        <v>165</v>
      </c>
      <c r="K31" s="614">
        <f t="shared" ref="K31" si="6">I31*J31</f>
        <v>0</v>
      </c>
      <c r="L31" s="491"/>
      <c r="M31" s="491"/>
      <c r="N31" s="657"/>
    </row>
    <row r="32" spans="1:14">
      <c r="A32" s="121"/>
      <c r="B32" s="121"/>
      <c r="C32" s="121"/>
      <c r="D32" s="121"/>
      <c r="E32" s="647" t="s">
        <v>9</v>
      </c>
      <c r="F32" s="706">
        <f>SUM(F27:F31)</f>
        <v>0</v>
      </c>
      <c r="G32" s="647"/>
      <c r="H32" s="647"/>
      <c r="I32" s="707"/>
      <c r="J32" s="708"/>
      <c r="K32" s="60">
        <f>SUM(K27:K31)</f>
        <v>0</v>
      </c>
      <c r="L32" s="60" t="e">
        <f>K32/F32</f>
        <v>#DIV/0!</v>
      </c>
      <c r="M32" s="491"/>
      <c r="N32" s="657"/>
    </row>
    <row r="33" spans="1:14">
      <c r="A33" s="121"/>
      <c r="B33" s="178" t="s">
        <v>291</v>
      </c>
      <c r="C33" s="178" t="s">
        <v>497</v>
      </c>
      <c r="D33" s="178" t="s">
        <v>659</v>
      </c>
      <c r="E33" s="178"/>
      <c r="F33" s="621"/>
      <c r="G33" s="178" t="s">
        <v>24</v>
      </c>
      <c r="H33" s="192"/>
      <c r="I33" s="554"/>
      <c r="J33" s="614">
        <v>74</v>
      </c>
      <c r="K33" s="614">
        <f t="shared" ref="K33:K35" si="7">I33*J33</f>
        <v>0</v>
      </c>
      <c r="L33" s="491"/>
      <c r="M33" s="491"/>
      <c r="N33" s="657"/>
    </row>
    <row r="34" spans="1:14">
      <c r="A34" s="121"/>
      <c r="B34" s="178" t="s">
        <v>291</v>
      </c>
      <c r="C34" s="248" t="s">
        <v>233</v>
      </c>
      <c r="D34" s="248" t="s">
        <v>660</v>
      </c>
      <c r="E34" s="121"/>
      <c r="F34" s="621"/>
      <c r="G34" s="178" t="s">
        <v>18</v>
      </c>
      <c r="H34" s="192"/>
      <c r="I34" s="554"/>
      <c r="J34" s="614">
        <v>46</v>
      </c>
      <c r="K34" s="614">
        <f t="shared" si="7"/>
        <v>0</v>
      </c>
      <c r="L34" s="491"/>
      <c r="M34" s="491"/>
      <c r="N34" s="657"/>
    </row>
    <row r="35" spans="1:14">
      <c r="A35" s="121"/>
      <c r="B35" s="178" t="s">
        <v>291</v>
      </c>
      <c r="C35" s="248" t="s">
        <v>280</v>
      </c>
      <c r="D35" s="248" t="s">
        <v>661</v>
      </c>
      <c r="E35" s="121"/>
      <c r="F35" s="621"/>
      <c r="G35" s="178" t="s">
        <v>171</v>
      </c>
      <c r="H35" s="192"/>
      <c r="I35" s="554"/>
      <c r="J35" s="614">
        <v>416</v>
      </c>
      <c r="K35" s="614">
        <f t="shared" si="7"/>
        <v>0</v>
      </c>
      <c r="L35" s="491"/>
      <c r="M35" s="491"/>
      <c r="N35" s="657"/>
    </row>
    <row r="36" spans="1:14">
      <c r="A36" s="121"/>
      <c r="B36" s="178" t="s">
        <v>600</v>
      </c>
      <c r="C36" s="178" t="s">
        <v>601</v>
      </c>
      <c r="D36" s="178" t="s">
        <v>602</v>
      </c>
      <c r="E36" s="178"/>
      <c r="F36" s="621"/>
      <c r="G36" s="178" t="s">
        <v>172</v>
      </c>
      <c r="H36" s="192"/>
      <c r="I36" s="554"/>
      <c r="J36" s="614">
        <v>165</v>
      </c>
      <c r="K36" s="614">
        <f>I36*J36</f>
        <v>0</v>
      </c>
      <c r="L36" s="491"/>
      <c r="M36" s="491"/>
      <c r="N36" s="657"/>
    </row>
    <row r="37" spans="1:14">
      <c r="A37" s="121"/>
      <c r="B37" s="178" t="s">
        <v>603</v>
      </c>
      <c r="C37" s="178" t="s">
        <v>606</v>
      </c>
      <c r="D37" s="178" t="s">
        <v>607</v>
      </c>
      <c r="E37" s="178"/>
      <c r="F37" s="621"/>
      <c r="G37" s="179" t="s">
        <v>181</v>
      </c>
      <c r="H37" s="192"/>
      <c r="I37" s="554"/>
      <c r="J37" s="614">
        <v>165</v>
      </c>
      <c r="K37" s="614">
        <f t="shared" ref="K37" si="8">I37*J37</f>
        <v>0</v>
      </c>
      <c r="L37" s="491"/>
      <c r="M37" s="491"/>
      <c r="N37" s="657"/>
    </row>
    <row r="38" spans="1:14" s="71" customFormat="1">
      <c r="A38" s="153"/>
      <c r="B38" s="153"/>
      <c r="C38" s="153"/>
      <c r="D38" s="153"/>
      <c r="E38" s="593" t="s">
        <v>9</v>
      </c>
      <c r="F38" s="726">
        <f>SUM(F33:F37)</f>
        <v>0</v>
      </c>
      <c r="G38" s="593"/>
      <c r="H38" s="593"/>
      <c r="I38" s="725"/>
      <c r="J38" s="660"/>
      <c r="K38" s="175">
        <f>SUM(K33:K37)</f>
        <v>0</v>
      </c>
      <c r="L38" s="175" t="e">
        <f>K38/F38</f>
        <v>#DIV/0!</v>
      </c>
      <c r="M38" s="104"/>
      <c r="N38" s="618"/>
    </row>
    <row r="39" spans="1:14" s="71" customFormat="1">
      <c r="A39" s="732"/>
      <c r="B39" s="732"/>
      <c r="C39" s="732"/>
      <c r="D39" s="593" t="s">
        <v>30</v>
      </c>
      <c r="E39" s="593"/>
      <c r="F39" s="729">
        <f>F26+F32+F38</f>
        <v>0</v>
      </c>
      <c r="G39" s="738"/>
      <c r="H39" s="738"/>
      <c r="I39" s="738"/>
      <c r="J39" s="738"/>
      <c r="K39" s="729">
        <f>K26+K32+K38</f>
        <v>0</v>
      </c>
      <c r="L39" s="731" t="e">
        <f>K39/F39</f>
        <v>#DIV/0!</v>
      </c>
      <c r="M39" s="104"/>
      <c r="N39" s="618"/>
    </row>
    <row r="40" spans="1:14">
      <c r="A40" s="702" t="s">
        <v>22</v>
      </c>
      <c r="B40" s="702"/>
      <c r="C40" s="702"/>
      <c r="D40" s="702"/>
      <c r="E40" s="702"/>
      <c r="F40" s="657"/>
      <c r="G40" s="657"/>
      <c r="H40" s="657"/>
      <c r="I40" s="657"/>
      <c r="J40" s="657"/>
      <c r="K40" s="850" t="s">
        <v>1210</v>
      </c>
      <c r="L40" s="850"/>
      <c r="M40" s="850"/>
      <c r="N40" s="657"/>
    </row>
    <row r="41" spans="1:14">
      <c r="A41" s="647" t="s">
        <v>0</v>
      </c>
      <c r="B41" s="647" t="s">
        <v>7</v>
      </c>
      <c r="C41" s="647" t="s">
        <v>13</v>
      </c>
      <c r="D41" s="647" t="s">
        <v>14</v>
      </c>
      <c r="E41" s="647" t="s">
        <v>8</v>
      </c>
      <c r="F41" s="647" t="s">
        <v>1</v>
      </c>
      <c r="G41" s="647" t="s">
        <v>2</v>
      </c>
      <c r="H41" s="647" t="s">
        <v>15</v>
      </c>
      <c r="I41" s="647" t="s">
        <v>3</v>
      </c>
      <c r="J41" s="647" t="s">
        <v>4</v>
      </c>
      <c r="K41" s="647" t="s">
        <v>5</v>
      </c>
      <c r="L41" s="647" t="s">
        <v>12</v>
      </c>
      <c r="M41" s="647" t="s">
        <v>6</v>
      </c>
      <c r="N41" s="657"/>
    </row>
    <row r="42" spans="1:14" s="10" customFormat="1">
      <c r="A42" s="121">
        <v>1</v>
      </c>
      <c r="B42" s="178" t="s">
        <v>588</v>
      </c>
      <c r="C42" s="178" t="s">
        <v>121</v>
      </c>
      <c r="D42" s="178" t="s">
        <v>324</v>
      </c>
      <c r="E42" s="178"/>
      <c r="F42" s="621"/>
      <c r="G42" s="178" t="s">
        <v>24</v>
      </c>
      <c r="H42" s="192"/>
      <c r="I42" s="554"/>
      <c r="J42" s="614">
        <v>74</v>
      </c>
      <c r="K42" s="614">
        <f t="shared" ref="K42:K43" si="9">I42*J42</f>
        <v>0</v>
      </c>
      <c r="L42" s="491"/>
      <c r="M42" s="21"/>
      <c r="N42" s="657"/>
    </row>
    <row r="43" spans="1:14">
      <c r="A43" s="121"/>
      <c r="B43" s="248"/>
      <c r="C43" s="248"/>
      <c r="D43" s="248"/>
      <c r="E43" s="121"/>
      <c r="F43" s="703"/>
      <c r="G43" s="613" t="s">
        <v>10</v>
      </c>
      <c r="H43" s="192"/>
      <c r="I43" s="554"/>
      <c r="J43" s="614">
        <v>120</v>
      </c>
      <c r="K43" s="614">
        <f t="shared" si="9"/>
        <v>0</v>
      </c>
      <c r="L43" s="491"/>
      <c r="M43" s="491"/>
      <c r="N43" s="657"/>
    </row>
    <row r="44" spans="1:14">
      <c r="A44" s="121"/>
      <c r="B44" s="248"/>
      <c r="C44" s="248"/>
      <c r="D44" s="248"/>
      <c r="E44" s="647" t="s">
        <v>9</v>
      </c>
      <c r="F44" s="706">
        <f>SUM(F42:F43)</f>
        <v>0</v>
      </c>
      <c r="G44" s="647"/>
      <c r="H44" s="647"/>
      <c r="I44" s="707"/>
      <c r="J44" s="708"/>
      <c r="K44" s="60">
        <f>SUM(K42:K43)</f>
        <v>0</v>
      </c>
      <c r="L44" s="60" t="e">
        <f>K44/F44</f>
        <v>#DIV/0!</v>
      </c>
      <c r="M44" s="491"/>
      <c r="N44" s="657"/>
    </row>
    <row r="45" spans="1:14">
      <c r="A45" s="121">
        <v>2</v>
      </c>
      <c r="B45" s="178" t="s">
        <v>611</v>
      </c>
      <c r="C45" s="178" t="s">
        <v>366</v>
      </c>
      <c r="D45" s="178" t="s">
        <v>613</v>
      </c>
      <c r="E45" s="178"/>
      <c r="F45" s="621"/>
      <c r="G45" s="178" t="s">
        <v>24</v>
      </c>
      <c r="H45" s="192"/>
      <c r="I45" s="554"/>
      <c r="J45" s="614">
        <v>74</v>
      </c>
      <c r="K45" s="614">
        <f t="shared" ref="K45:K46" si="10">I45*J45</f>
        <v>0</v>
      </c>
      <c r="L45" s="491"/>
      <c r="M45" s="491"/>
      <c r="N45" s="657"/>
    </row>
    <row r="46" spans="1:14">
      <c r="A46" s="121"/>
      <c r="B46" s="248"/>
      <c r="C46" s="248"/>
      <c r="D46" s="248"/>
      <c r="E46" s="121"/>
      <c r="F46" s="703"/>
      <c r="G46" s="613" t="s">
        <v>10</v>
      </c>
      <c r="H46" s="192"/>
      <c r="I46" s="554"/>
      <c r="J46" s="614">
        <v>120</v>
      </c>
      <c r="K46" s="614">
        <f t="shared" si="10"/>
        <v>0</v>
      </c>
      <c r="L46" s="491"/>
      <c r="M46" s="491"/>
      <c r="N46" s="657"/>
    </row>
    <row r="47" spans="1:14">
      <c r="A47" s="121"/>
      <c r="B47" s="248"/>
      <c r="C47" s="248"/>
      <c r="D47" s="248"/>
      <c r="E47" s="647" t="s">
        <v>9</v>
      </c>
      <c r="F47" s="706">
        <f>SUM(F45:F46)</f>
        <v>0</v>
      </c>
      <c r="G47" s="647"/>
      <c r="H47" s="647"/>
      <c r="I47" s="707"/>
      <c r="J47" s="708"/>
      <c r="K47" s="60">
        <f>SUM(K45:K46)</f>
        <v>0</v>
      </c>
      <c r="L47" s="60" t="e">
        <f>K47/F47</f>
        <v>#DIV/0!</v>
      </c>
      <c r="M47" s="491"/>
      <c r="N47" s="657"/>
    </row>
    <row r="48" spans="1:14">
      <c r="A48" s="121">
        <v>3</v>
      </c>
      <c r="B48" s="178" t="s">
        <v>511</v>
      </c>
      <c r="C48" s="178" t="s">
        <v>121</v>
      </c>
      <c r="D48" s="178" t="s">
        <v>180</v>
      </c>
      <c r="E48" s="178"/>
      <c r="F48" s="621"/>
      <c r="G48" s="178" t="s">
        <v>24</v>
      </c>
      <c r="H48" s="192"/>
      <c r="I48" s="554"/>
      <c r="J48" s="614">
        <v>74</v>
      </c>
      <c r="K48" s="614">
        <f t="shared" ref="K48:K49" si="11">I48*J48</f>
        <v>0</v>
      </c>
      <c r="L48" s="491"/>
      <c r="M48" s="491"/>
      <c r="N48" s="657"/>
    </row>
    <row r="49" spans="1:14">
      <c r="A49" s="121"/>
      <c r="B49" s="248"/>
      <c r="C49" s="248"/>
      <c r="D49" s="248"/>
      <c r="E49" s="121"/>
      <c r="F49" s="703"/>
      <c r="G49" s="613" t="s">
        <v>10</v>
      </c>
      <c r="H49" s="192"/>
      <c r="I49" s="554"/>
      <c r="J49" s="614">
        <v>120</v>
      </c>
      <c r="K49" s="614">
        <f t="shared" si="11"/>
        <v>0</v>
      </c>
      <c r="L49" s="491"/>
      <c r="M49" s="491"/>
      <c r="N49" s="657"/>
    </row>
    <row r="50" spans="1:14">
      <c r="A50" s="121"/>
      <c r="B50" s="248"/>
      <c r="C50" s="248"/>
      <c r="D50" s="248"/>
      <c r="E50" s="647" t="s">
        <v>9</v>
      </c>
      <c r="F50" s="706">
        <f>SUM(F48:F49)</f>
        <v>0</v>
      </c>
      <c r="G50" s="647"/>
      <c r="H50" s="647"/>
      <c r="I50" s="707"/>
      <c r="J50" s="708"/>
      <c r="K50" s="60">
        <f>SUM(K48:K49)</f>
        <v>0</v>
      </c>
      <c r="L50" s="60" t="e">
        <f>K50/F50</f>
        <v>#DIV/0!</v>
      </c>
      <c r="M50" s="491"/>
      <c r="N50" s="657"/>
    </row>
    <row r="51" spans="1:14">
      <c r="A51" s="121">
        <v>4</v>
      </c>
      <c r="B51" s="178" t="s">
        <v>693</v>
      </c>
      <c r="C51" s="178" t="s">
        <v>470</v>
      </c>
      <c r="D51" s="178" t="s">
        <v>491</v>
      </c>
      <c r="E51" s="178"/>
      <c r="F51" s="621"/>
      <c r="G51" s="178" t="s">
        <v>24</v>
      </c>
      <c r="H51" s="192"/>
      <c r="I51" s="554"/>
      <c r="J51" s="614">
        <v>74</v>
      </c>
      <c r="K51" s="614">
        <f t="shared" ref="K51:K52" si="12">I51*J51</f>
        <v>0</v>
      </c>
      <c r="L51" s="491"/>
      <c r="M51" s="491"/>
      <c r="N51" s="657"/>
    </row>
    <row r="52" spans="1:14">
      <c r="A52" s="121"/>
      <c r="B52" s="178"/>
      <c r="C52" s="178"/>
      <c r="D52" s="178"/>
      <c r="E52" s="178"/>
      <c r="F52" s="621"/>
      <c r="G52" s="613" t="s">
        <v>10</v>
      </c>
      <c r="H52" s="192"/>
      <c r="I52" s="554"/>
      <c r="J52" s="614">
        <v>120</v>
      </c>
      <c r="K52" s="614">
        <f t="shared" si="12"/>
        <v>0</v>
      </c>
      <c r="L52" s="491"/>
      <c r="M52" s="491"/>
      <c r="N52" s="657"/>
    </row>
    <row r="53" spans="1:14">
      <c r="A53" s="121"/>
      <c r="B53" s="121"/>
      <c r="C53" s="121"/>
      <c r="D53" s="121"/>
      <c r="E53" s="647" t="s">
        <v>9</v>
      </c>
      <c r="F53" s="706">
        <f>SUM(F51:F52)</f>
        <v>0</v>
      </c>
      <c r="G53" s="647"/>
      <c r="H53" s="647"/>
      <c r="I53" s="707"/>
      <c r="J53" s="708"/>
      <c r="K53" s="60">
        <f>SUM(K51:K52)</f>
        <v>0</v>
      </c>
      <c r="L53" s="60" t="e">
        <f>K53/F53</f>
        <v>#DIV/0!</v>
      </c>
      <c r="M53" s="491"/>
      <c r="N53" s="657"/>
    </row>
    <row r="54" spans="1:14">
      <c r="A54" s="657"/>
      <c r="B54" s="657"/>
      <c r="C54" s="657"/>
      <c r="D54" s="611" t="s">
        <v>30</v>
      </c>
      <c r="E54" s="611"/>
      <c r="F54" s="710">
        <f>F44+F47+F50+F53</f>
        <v>0</v>
      </c>
      <c r="G54" s="711"/>
      <c r="H54" s="711"/>
      <c r="I54" s="711"/>
      <c r="J54" s="711"/>
      <c r="K54" s="710">
        <f>K44+K47+K50+K53</f>
        <v>0</v>
      </c>
      <c r="L54" s="712" t="e">
        <f>K54/F54</f>
        <v>#DIV/0!</v>
      </c>
      <c r="M54" s="657"/>
      <c r="N54" s="657"/>
    </row>
    <row r="55" spans="1:14">
      <c r="A55" s="702" t="s">
        <v>16</v>
      </c>
      <c r="B55" s="702"/>
      <c r="C55" s="702"/>
      <c r="D55" s="702"/>
      <c r="E55" s="702"/>
      <c r="F55" s="657"/>
      <c r="G55" s="657"/>
      <c r="H55" s="657"/>
      <c r="I55" s="657"/>
      <c r="J55" s="657"/>
      <c r="K55" s="850" t="s">
        <v>1210</v>
      </c>
      <c r="L55" s="850"/>
      <c r="M55" s="850"/>
      <c r="N55" s="657"/>
    </row>
    <row r="56" spans="1:14">
      <c r="A56" s="647" t="s">
        <v>0</v>
      </c>
      <c r="B56" s="647" t="s">
        <v>7</v>
      </c>
      <c r="C56" s="647" t="s">
        <v>13</v>
      </c>
      <c r="D56" s="647" t="s">
        <v>14</v>
      </c>
      <c r="E56" s="647" t="s">
        <v>8</v>
      </c>
      <c r="F56" s="647" t="s">
        <v>1</v>
      </c>
      <c r="G56" s="647" t="s">
        <v>2</v>
      </c>
      <c r="H56" s="647" t="s">
        <v>15</v>
      </c>
      <c r="I56" s="647" t="s">
        <v>3</v>
      </c>
      <c r="J56" s="647" t="s">
        <v>4</v>
      </c>
      <c r="K56" s="647" t="s">
        <v>5</v>
      </c>
      <c r="L56" s="647" t="s">
        <v>12</v>
      </c>
      <c r="M56" s="647" t="s">
        <v>6</v>
      </c>
      <c r="N56" s="657"/>
    </row>
    <row r="57" spans="1:14">
      <c r="A57" s="121"/>
      <c r="B57" s="248"/>
      <c r="C57" s="248"/>
      <c r="D57" s="248"/>
      <c r="E57" s="121"/>
      <c r="F57" s="703"/>
      <c r="G57" s="248" t="s">
        <v>75</v>
      </c>
      <c r="H57" s="248"/>
      <c r="I57" s="704"/>
      <c r="J57" s="705">
        <v>367</v>
      </c>
      <c r="K57" s="705">
        <f t="shared" ref="K57" si="13">I57*J57</f>
        <v>0</v>
      </c>
      <c r="L57" s="491"/>
      <c r="M57" s="34"/>
      <c r="N57" s="657"/>
    </row>
    <row r="58" spans="1:14">
      <c r="A58" s="121"/>
      <c r="B58" s="121"/>
      <c r="C58" s="121"/>
      <c r="D58" s="121"/>
      <c r="E58" s="121"/>
      <c r="F58" s="703"/>
      <c r="G58" s="248" t="s">
        <v>20</v>
      </c>
      <c r="H58" s="641"/>
      <c r="I58" s="642"/>
      <c r="J58" s="643">
        <v>315</v>
      </c>
      <c r="K58" s="643">
        <f t="shared" ref="K58" si="14">I58*J58</f>
        <v>0</v>
      </c>
      <c r="L58" s="491"/>
      <c r="M58" s="491"/>
      <c r="N58" s="657"/>
    </row>
    <row r="59" spans="1:14">
      <c r="A59" s="121"/>
      <c r="B59" s="121"/>
      <c r="C59" s="121"/>
      <c r="D59" s="121"/>
      <c r="E59" s="647" t="s">
        <v>9</v>
      </c>
      <c r="F59" s="706">
        <f>SUM(F58:F58)</f>
        <v>0</v>
      </c>
      <c r="G59" s="647"/>
      <c r="H59" s="647"/>
      <c r="I59" s="707"/>
      <c r="J59" s="708"/>
      <c r="K59" s="60">
        <f>SUM(K58:K58)</f>
        <v>0</v>
      </c>
      <c r="L59" s="60" t="e">
        <f>K59/F59</f>
        <v>#DIV/0!</v>
      </c>
      <c r="M59" s="491"/>
      <c r="N59" s="657"/>
    </row>
    <row r="60" spans="1:14">
      <c r="A60" s="709"/>
      <c r="B60" s="709"/>
      <c r="C60" s="709"/>
      <c r="D60" s="611" t="s">
        <v>30</v>
      </c>
      <c r="E60" s="611"/>
      <c r="F60" s="710">
        <f>F59</f>
        <v>0</v>
      </c>
      <c r="G60" s="711"/>
      <c r="H60" s="711"/>
      <c r="I60" s="711"/>
      <c r="J60" s="711"/>
      <c r="K60" s="710">
        <f>K59</f>
        <v>0</v>
      </c>
      <c r="L60" s="712" t="e">
        <f>K60/F60</f>
        <v>#DIV/0!</v>
      </c>
      <c r="M60" s="713"/>
      <c r="N60" s="657"/>
    </row>
    <row r="61" spans="1:14">
      <c r="A61" s="709"/>
      <c r="B61" s="709"/>
      <c r="C61" s="709"/>
      <c r="D61" s="709"/>
      <c r="E61" s="739"/>
      <c r="F61" s="740"/>
      <c r="G61" s="739"/>
      <c r="H61" s="739"/>
      <c r="I61" s="741"/>
      <c r="J61" s="742"/>
      <c r="K61" s="743"/>
      <c r="L61" s="743"/>
      <c r="M61" s="713"/>
      <c r="N61" s="657"/>
    </row>
    <row r="62" spans="1:14">
      <c r="A62" s="702" t="s">
        <v>72</v>
      </c>
      <c r="B62" s="702"/>
      <c r="C62" s="702"/>
      <c r="D62" s="702"/>
      <c r="E62" s="702"/>
      <c r="F62" s="657"/>
      <c r="G62" s="657"/>
      <c r="H62" s="657"/>
      <c r="I62" s="714"/>
      <c r="J62" s="657"/>
      <c r="K62" s="850" t="s">
        <v>1210</v>
      </c>
      <c r="L62" s="850"/>
      <c r="M62" s="850"/>
      <c r="N62" s="657"/>
    </row>
    <row r="63" spans="1:14">
      <c r="A63" s="647" t="s">
        <v>0</v>
      </c>
      <c r="B63" s="647" t="s">
        <v>7</v>
      </c>
      <c r="C63" s="647" t="s">
        <v>13</v>
      </c>
      <c r="D63" s="647" t="s">
        <v>14</v>
      </c>
      <c r="E63" s="647" t="s">
        <v>8</v>
      </c>
      <c r="F63" s="647" t="s">
        <v>1</v>
      </c>
      <c r="G63" s="647" t="s">
        <v>2</v>
      </c>
      <c r="H63" s="647" t="s">
        <v>15</v>
      </c>
      <c r="I63" s="715" t="s">
        <v>3</v>
      </c>
      <c r="J63" s="647" t="s">
        <v>4</v>
      </c>
      <c r="K63" s="647" t="s">
        <v>5</v>
      </c>
      <c r="L63" s="647" t="s">
        <v>12</v>
      </c>
      <c r="M63" s="647" t="s">
        <v>6</v>
      </c>
      <c r="N63" s="658"/>
    </row>
    <row r="64" spans="1:14">
      <c r="A64" s="178">
        <v>5963</v>
      </c>
      <c r="B64" s="178" t="s">
        <v>179</v>
      </c>
      <c r="C64" s="178" t="s">
        <v>121</v>
      </c>
      <c r="D64" s="178" t="s">
        <v>180</v>
      </c>
      <c r="E64" s="178" t="s">
        <v>243</v>
      </c>
      <c r="F64" s="619"/>
      <c r="G64" s="639" t="s">
        <v>190</v>
      </c>
      <c r="H64" s="192"/>
      <c r="I64" s="554"/>
      <c r="J64" s="614">
        <v>890</v>
      </c>
      <c r="K64" s="660">
        <f t="shared" ref="K64:K68" si="15">I64*J64</f>
        <v>0</v>
      </c>
      <c r="L64" s="104"/>
      <c r="M64" s="491"/>
      <c r="N64" s="657"/>
    </row>
    <row r="65" spans="1:14">
      <c r="A65" s="121"/>
      <c r="B65" s="121"/>
      <c r="C65" s="121"/>
      <c r="D65" s="121"/>
      <c r="E65" s="178"/>
      <c r="F65" s="178"/>
      <c r="G65" s="179" t="s">
        <v>183</v>
      </c>
      <c r="H65" s="192"/>
      <c r="I65" s="554"/>
      <c r="J65" s="614">
        <v>1950</v>
      </c>
      <c r="K65" s="614">
        <f t="shared" si="15"/>
        <v>0</v>
      </c>
      <c r="L65" s="104"/>
      <c r="M65" s="491"/>
      <c r="N65" s="657"/>
    </row>
    <row r="66" spans="1:14">
      <c r="A66" s="121"/>
      <c r="B66" s="121"/>
      <c r="C66" s="121"/>
      <c r="D66" s="121"/>
      <c r="E66" s="180"/>
      <c r="F66" s="178"/>
      <c r="G66" s="179" t="s">
        <v>186</v>
      </c>
      <c r="H66" s="192"/>
      <c r="I66" s="554"/>
      <c r="J66" s="614">
        <v>2382</v>
      </c>
      <c r="K66" s="614">
        <f t="shared" si="15"/>
        <v>0</v>
      </c>
      <c r="L66" s="104"/>
      <c r="M66" s="491"/>
      <c r="N66" s="657"/>
    </row>
    <row r="67" spans="1:14">
      <c r="A67" s="121"/>
      <c r="B67" s="121"/>
      <c r="C67" s="121"/>
      <c r="D67" s="121"/>
      <c r="E67" s="180"/>
      <c r="F67" s="645"/>
      <c r="G67" s="178" t="s">
        <v>184</v>
      </c>
      <c r="H67" s="192"/>
      <c r="I67" s="554"/>
      <c r="J67" s="614">
        <v>396</v>
      </c>
      <c r="K67" s="614">
        <f t="shared" si="15"/>
        <v>0</v>
      </c>
      <c r="L67" s="104"/>
      <c r="M67" s="491"/>
      <c r="N67" s="657"/>
    </row>
    <row r="68" spans="1:14">
      <c r="A68" s="121"/>
      <c r="B68" s="121"/>
      <c r="C68" s="121"/>
      <c r="D68" s="121"/>
      <c r="E68" s="180"/>
      <c r="F68" s="645"/>
      <c r="G68" s="640" t="s">
        <v>185</v>
      </c>
      <c r="H68" s="192"/>
      <c r="I68" s="554"/>
      <c r="J68" s="614">
        <v>623</v>
      </c>
      <c r="K68" s="614">
        <f t="shared" si="15"/>
        <v>0</v>
      </c>
      <c r="L68" s="104"/>
      <c r="M68" s="491"/>
      <c r="N68" s="657"/>
    </row>
    <row r="69" spans="1:14">
      <c r="A69" s="121"/>
      <c r="B69" s="121"/>
      <c r="C69" s="121"/>
      <c r="D69" s="121"/>
      <c r="E69" s="647" t="s">
        <v>9</v>
      </c>
      <c r="F69" s="706">
        <f>SUM(F64:F68)</f>
        <v>0</v>
      </c>
      <c r="G69" s="647"/>
      <c r="H69" s="647"/>
      <c r="I69" s="707"/>
      <c r="J69" s="708"/>
      <c r="K69" s="60">
        <f>SUM(K64:K68)</f>
        <v>0</v>
      </c>
      <c r="L69" s="60" t="e">
        <f>K69/F69</f>
        <v>#DIV/0!</v>
      </c>
      <c r="M69" s="491"/>
      <c r="N69" s="657"/>
    </row>
    <row r="70" spans="1:14">
      <c r="A70" s="178">
        <v>5218</v>
      </c>
      <c r="B70" s="178" t="s">
        <v>179</v>
      </c>
      <c r="C70" s="178" t="s">
        <v>121</v>
      </c>
      <c r="D70" s="178" t="s">
        <v>180</v>
      </c>
      <c r="E70" s="178" t="s">
        <v>197</v>
      </c>
      <c r="F70" s="619"/>
      <c r="G70" s="640" t="s">
        <v>196</v>
      </c>
      <c r="H70" s="192"/>
      <c r="I70" s="554"/>
      <c r="J70" s="614">
        <v>1380</v>
      </c>
      <c r="K70" s="614">
        <f t="shared" ref="K70:K74" si="16">I70*J70</f>
        <v>0</v>
      </c>
      <c r="L70" s="491"/>
      <c r="M70" s="491"/>
      <c r="N70" s="657"/>
    </row>
    <row r="71" spans="1:14">
      <c r="A71" s="121"/>
      <c r="B71" s="121"/>
      <c r="C71" s="121"/>
      <c r="D71" s="121"/>
      <c r="E71" s="178" t="s">
        <v>402</v>
      </c>
      <c r="F71" s="703"/>
      <c r="G71" s="640" t="s">
        <v>192</v>
      </c>
      <c r="H71" s="192"/>
      <c r="I71" s="554"/>
      <c r="J71" s="614">
        <v>1742</v>
      </c>
      <c r="K71" s="614">
        <f t="shared" si="16"/>
        <v>0</v>
      </c>
      <c r="L71" s="491"/>
      <c r="M71" s="491"/>
      <c r="N71" s="657"/>
    </row>
    <row r="72" spans="1:14">
      <c r="A72" s="121"/>
      <c r="B72" s="121"/>
      <c r="C72" s="121"/>
      <c r="D72" s="121"/>
      <c r="E72" s="121"/>
      <c r="F72" s="703"/>
      <c r="G72" s="640" t="s">
        <v>193</v>
      </c>
      <c r="H72" s="192"/>
      <c r="I72" s="554"/>
      <c r="J72" s="614">
        <v>1545</v>
      </c>
      <c r="K72" s="614">
        <f t="shared" si="16"/>
        <v>0</v>
      </c>
      <c r="L72" s="491"/>
      <c r="M72" s="491"/>
      <c r="N72" s="657"/>
    </row>
    <row r="73" spans="1:14">
      <c r="A73" s="121"/>
      <c r="B73" s="121"/>
      <c r="C73" s="121"/>
      <c r="D73" s="121"/>
      <c r="E73" s="121"/>
      <c r="F73" s="703"/>
      <c r="G73" s="178" t="s">
        <v>184</v>
      </c>
      <c r="H73" s="192"/>
      <c r="I73" s="554"/>
      <c r="J73" s="614">
        <v>396</v>
      </c>
      <c r="K73" s="614">
        <f t="shared" si="16"/>
        <v>0</v>
      </c>
      <c r="L73" s="491"/>
      <c r="M73" s="491"/>
      <c r="N73" s="657"/>
    </row>
    <row r="74" spans="1:14">
      <c r="A74" s="121"/>
      <c r="B74" s="121"/>
      <c r="C74" s="121"/>
      <c r="D74" s="121"/>
      <c r="E74" s="121"/>
      <c r="F74" s="703"/>
      <c r="G74" s="640" t="s">
        <v>185</v>
      </c>
      <c r="H74" s="192"/>
      <c r="I74" s="632"/>
      <c r="J74" s="614">
        <v>623</v>
      </c>
      <c r="K74" s="614">
        <f t="shared" si="16"/>
        <v>0</v>
      </c>
      <c r="L74" s="491"/>
      <c r="M74" s="491"/>
      <c r="N74" s="657"/>
    </row>
    <row r="75" spans="1:14">
      <c r="A75" s="121"/>
      <c r="B75" s="121"/>
      <c r="C75" s="121"/>
      <c r="D75" s="121"/>
      <c r="E75" s="647" t="s">
        <v>9</v>
      </c>
      <c r="F75" s="706">
        <f>SUM(F70:F74)</f>
        <v>0</v>
      </c>
      <c r="G75" s="647"/>
      <c r="H75" s="647"/>
      <c r="I75" s="707"/>
      <c r="J75" s="708"/>
      <c r="K75" s="60">
        <f>SUM(K70:K74)</f>
        <v>0</v>
      </c>
      <c r="L75" s="60" t="e">
        <f>K75/F75</f>
        <v>#DIV/0!</v>
      </c>
      <c r="M75" s="491"/>
      <c r="N75" s="657"/>
    </row>
    <row r="76" spans="1:14">
      <c r="A76" s="178">
        <v>5966</v>
      </c>
      <c r="B76" s="178" t="s">
        <v>535</v>
      </c>
      <c r="C76" s="629" t="s">
        <v>665</v>
      </c>
      <c r="D76" s="629" t="s">
        <v>536</v>
      </c>
      <c r="E76" s="248" t="s">
        <v>130</v>
      </c>
      <c r="F76" s="703"/>
      <c r="G76" s="179" t="s">
        <v>405</v>
      </c>
      <c r="H76" s="192"/>
      <c r="I76" s="554"/>
      <c r="J76" s="614">
        <v>2125</v>
      </c>
      <c r="K76" s="614">
        <f t="shared" ref="K76:K80" si="17">I76*J76</f>
        <v>0</v>
      </c>
      <c r="L76" s="192"/>
      <c r="M76" s="491"/>
      <c r="N76" s="657"/>
    </row>
    <row r="77" spans="1:14">
      <c r="A77" s="121"/>
      <c r="B77" s="121"/>
      <c r="C77" s="121"/>
      <c r="D77" s="121"/>
      <c r="E77" s="121"/>
      <c r="F77" s="703"/>
      <c r="G77" s="179" t="s">
        <v>183</v>
      </c>
      <c r="H77" s="192"/>
      <c r="I77" s="554"/>
      <c r="J77" s="614">
        <v>1950</v>
      </c>
      <c r="K77" s="614">
        <f t="shared" si="17"/>
        <v>0</v>
      </c>
      <c r="L77" s="647"/>
      <c r="M77" s="491"/>
      <c r="N77" s="657"/>
    </row>
    <row r="78" spans="1:14">
      <c r="A78" s="121"/>
      <c r="B78" s="121"/>
      <c r="C78" s="121"/>
      <c r="D78" s="121"/>
      <c r="E78" s="121"/>
      <c r="F78" s="703"/>
      <c r="G78" s="179" t="s">
        <v>198</v>
      </c>
      <c r="H78" s="178"/>
      <c r="I78" s="632"/>
      <c r="J78" s="614">
        <v>2852</v>
      </c>
      <c r="K78" s="633">
        <f t="shared" si="17"/>
        <v>0</v>
      </c>
      <c r="L78" s="491"/>
      <c r="M78" s="491"/>
      <c r="N78" s="657"/>
    </row>
    <row r="79" spans="1:14">
      <c r="A79" s="121"/>
      <c r="B79" s="121"/>
      <c r="C79" s="121"/>
      <c r="D79" s="121"/>
      <c r="E79" s="121"/>
      <c r="F79" s="703"/>
      <c r="G79" s="178" t="s">
        <v>184</v>
      </c>
      <c r="H79" s="192"/>
      <c r="I79" s="554"/>
      <c r="J79" s="614">
        <v>396</v>
      </c>
      <c r="K79" s="614">
        <f t="shared" si="17"/>
        <v>0</v>
      </c>
      <c r="L79" s="104"/>
      <c r="M79" s="491"/>
      <c r="N79" s="657"/>
    </row>
    <row r="80" spans="1:14">
      <c r="A80" s="121"/>
      <c r="B80" s="121"/>
      <c r="C80" s="121"/>
      <c r="D80" s="121"/>
      <c r="E80" s="121"/>
      <c r="F80" s="703"/>
      <c r="G80" s="640" t="s">
        <v>185</v>
      </c>
      <c r="H80" s="192"/>
      <c r="I80" s="554"/>
      <c r="J80" s="614">
        <v>623</v>
      </c>
      <c r="K80" s="614">
        <f t="shared" si="17"/>
        <v>0</v>
      </c>
      <c r="L80" s="641"/>
      <c r="M80" s="491"/>
      <c r="N80" s="657"/>
    </row>
    <row r="81" spans="1:14">
      <c r="A81" s="121"/>
      <c r="B81" s="121"/>
      <c r="C81" s="121"/>
      <c r="D81" s="121"/>
      <c r="E81" s="647" t="s">
        <v>9</v>
      </c>
      <c r="F81" s="706">
        <f>SUM(F76:F80)</f>
        <v>0</v>
      </c>
      <c r="G81" s="647"/>
      <c r="H81" s="647"/>
      <c r="I81" s="707"/>
      <c r="J81" s="708"/>
      <c r="K81" s="60">
        <f>SUM(K76:K80)</f>
        <v>0</v>
      </c>
      <c r="L81" s="60" t="e">
        <f>K81/F81</f>
        <v>#DIV/0!</v>
      </c>
      <c r="M81" s="491"/>
      <c r="N81" s="657"/>
    </row>
    <row r="82" spans="1:14">
      <c r="A82" s="178">
        <v>5966</v>
      </c>
      <c r="B82" s="178" t="s">
        <v>666</v>
      </c>
      <c r="C82" s="629" t="s">
        <v>665</v>
      </c>
      <c r="D82" s="629" t="s">
        <v>536</v>
      </c>
      <c r="E82" s="248" t="s">
        <v>130</v>
      </c>
      <c r="F82" s="703"/>
      <c r="G82" s="179" t="s">
        <v>405</v>
      </c>
      <c r="H82" s="192"/>
      <c r="I82" s="554"/>
      <c r="J82" s="614">
        <v>2125</v>
      </c>
      <c r="K82" s="614">
        <f t="shared" ref="K82:K86" si="18">I82*J82</f>
        <v>0</v>
      </c>
      <c r="L82" s="192"/>
      <c r="M82" s="491"/>
      <c r="N82" s="657"/>
    </row>
    <row r="83" spans="1:14">
      <c r="A83" s="121"/>
      <c r="B83" s="121"/>
      <c r="C83" s="121"/>
      <c r="D83" s="121"/>
      <c r="E83" s="121"/>
      <c r="F83" s="703"/>
      <c r="G83" s="179" t="s">
        <v>183</v>
      </c>
      <c r="H83" s="192"/>
      <c r="I83" s="554"/>
      <c r="J83" s="614">
        <v>1950</v>
      </c>
      <c r="K83" s="614">
        <f t="shared" si="18"/>
        <v>0</v>
      </c>
      <c r="L83" s="647"/>
      <c r="M83" s="491"/>
      <c r="N83" s="657"/>
    </row>
    <row r="84" spans="1:14">
      <c r="A84" s="121"/>
      <c r="B84" s="121"/>
      <c r="C84" s="121"/>
      <c r="D84" s="121"/>
      <c r="E84" s="121"/>
      <c r="F84" s="703"/>
      <c r="G84" s="179" t="s">
        <v>198</v>
      </c>
      <c r="H84" s="178"/>
      <c r="I84" s="632"/>
      <c r="J84" s="614">
        <v>2852</v>
      </c>
      <c r="K84" s="633">
        <f t="shared" si="18"/>
        <v>0</v>
      </c>
      <c r="L84" s="491"/>
      <c r="M84" s="491"/>
      <c r="N84" s="657"/>
    </row>
    <row r="85" spans="1:14">
      <c r="A85" s="121"/>
      <c r="B85" s="248"/>
      <c r="C85" s="248"/>
      <c r="D85" s="248"/>
      <c r="E85" s="121"/>
      <c r="F85" s="703"/>
      <c r="G85" s="178" t="s">
        <v>184</v>
      </c>
      <c r="H85" s="192"/>
      <c r="I85" s="554"/>
      <c r="J85" s="614">
        <v>396</v>
      </c>
      <c r="K85" s="614">
        <f t="shared" si="18"/>
        <v>0</v>
      </c>
      <c r="L85" s="104"/>
      <c r="M85" s="491"/>
      <c r="N85" s="657"/>
    </row>
    <row r="86" spans="1:14">
      <c r="A86" s="121"/>
      <c r="B86" s="121"/>
      <c r="C86" s="121"/>
      <c r="D86" s="121"/>
      <c r="E86" s="121"/>
      <c r="F86" s="703"/>
      <c r="G86" s="640" t="s">
        <v>185</v>
      </c>
      <c r="H86" s="192"/>
      <c r="I86" s="554"/>
      <c r="J86" s="614">
        <v>623</v>
      </c>
      <c r="K86" s="614">
        <f t="shared" si="18"/>
        <v>0</v>
      </c>
      <c r="L86" s="641"/>
      <c r="M86" s="491"/>
      <c r="N86" s="657"/>
    </row>
    <row r="87" spans="1:14">
      <c r="A87" s="121"/>
      <c r="B87" s="121"/>
      <c r="C87" s="121"/>
      <c r="D87" s="121"/>
      <c r="E87" s="647" t="s">
        <v>9</v>
      </c>
      <c r="F87" s="706">
        <f>SUM(F82:F86)</f>
        <v>0</v>
      </c>
      <c r="G87" s="647"/>
      <c r="H87" s="647"/>
      <c r="I87" s="707"/>
      <c r="J87" s="708"/>
      <c r="K87" s="60">
        <f>SUM(K82:K86)</f>
        <v>0</v>
      </c>
      <c r="L87" s="60" t="e">
        <f>K87/F87</f>
        <v>#DIV/0!</v>
      </c>
      <c r="M87" s="491"/>
      <c r="N87" s="657"/>
    </row>
    <row r="88" spans="1:14">
      <c r="A88" s="178">
        <v>5967</v>
      </c>
      <c r="B88" s="178" t="s">
        <v>565</v>
      </c>
      <c r="C88" s="178" t="s">
        <v>667</v>
      </c>
      <c r="D88" s="178" t="s">
        <v>668</v>
      </c>
      <c r="E88" s="744" t="s">
        <v>205</v>
      </c>
      <c r="F88" s="621"/>
      <c r="G88" s="639" t="s">
        <v>190</v>
      </c>
      <c r="H88" s="192"/>
      <c r="I88" s="554"/>
      <c r="J88" s="614">
        <v>890</v>
      </c>
      <c r="K88" s="614">
        <f t="shared" ref="K88:K93" si="19">I88*J88</f>
        <v>0</v>
      </c>
      <c r="L88" s="192"/>
      <c r="M88" s="491"/>
      <c r="N88" s="657"/>
    </row>
    <row r="89" spans="1:14">
      <c r="A89" s="121"/>
      <c r="B89" s="121"/>
      <c r="C89" s="121"/>
      <c r="D89" s="121"/>
      <c r="E89" s="121"/>
      <c r="F89" s="703"/>
      <c r="G89" s="640" t="s">
        <v>194</v>
      </c>
      <c r="H89" s="192"/>
      <c r="I89" s="554"/>
      <c r="J89" s="614">
        <v>1267</v>
      </c>
      <c r="K89" s="614">
        <f t="shared" si="19"/>
        <v>0</v>
      </c>
      <c r="L89" s="192"/>
      <c r="M89" s="491"/>
      <c r="N89" s="657"/>
    </row>
    <row r="90" spans="1:14">
      <c r="A90" s="121"/>
      <c r="B90" s="121"/>
      <c r="C90" s="121"/>
      <c r="D90" s="121"/>
      <c r="E90" s="121"/>
      <c r="F90" s="703"/>
      <c r="G90" s="640" t="s">
        <v>195</v>
      </c>
      <c r="H90" s="192"/>
      <c r="I90" s="554"/>
      <c r="J90" s="614">
        <v>932</v>
      </c>
      <c r="K90" s="614">
        <f t="shared" si="19"/>
        <v>0</v>
      </c>
      <c r="L90" s="192"/>
      <c r="M90" s="491"/>
      <c r="N90" s="657"/>
    </row>
    <row r="91" spans="1:14">
      <c r="A91" s="121"/>
      <c r="B91" s="121"/>
      <c r="C91" s="121"/>
      <c r="D91" s="121"/>
      <c r="E91" s="121"/>
      <c r="F91" s="703"/>
      <c r="G91" s="640" t="s">
        <v>281</v>
      </c>
      <c r="H91" s="192"/>
      <c r="I91" s="554"/>
      <c r="J91" s="614">
        <v>1484</v>
      </c>
      <c r="K91" s="614">
        <f t="shared" si="19"/>
        <v>0</v>
      </c>
      <c r="L91" s="192"/>
      <c r="M91" s="491"/>
      <c r="N91" s="657"/>
    </row>
    <row r="92" spans="1:14">
      <c r="A92" s="121"/>
      <c r="B92" s="121"/>
      <c r="C92" s="121"/>
      <c r="D92" s="121"/>
      <c r="E92" s="121"/>
      <c r="F92" s="703"/>
      <c r="G92" s="178" t="s">
        <v>184</v>
      </c>
      <c r="H92" s="178"/>
      <c r="I92" s="554"/>
      <c r="J92" s="614">
        <v>369</v>
      </c>
      <c r="K92" s="633">
        <f t="shared" si="19"/>
        <v>0</v>
      </c>
      <c r="L92" s="491"/>
      <c r="M92" s="491"/>
      <c r="N92" s="657"/>
    </row>
    <row r="93" spans="1:14">
      <c r="A93" s="121"/>
      <c r="B93" s="121"/>
      <c r="C93" s="121"/>
      <c r="D93" s="121"/>
      <c r="E93" s="121"/>
      <c r="F93" s="703"/>
      <c r="G93" s="640" t="s">
        <v>185</v>
      </c>
      <c r="H93" s="192"/>
      <c r="I93" s="632"/>
      <c r="J93" s="614">
        <v>623</v>
      </c>
      <c r="K93" s="614">
        <f t="shared" si="19"/>
        <v>0</v>
      </c>
      <c r="L93" s="491"/>
      <c r="M93" s="491"/>
      <c r="N93" s="657"/>
    </row>
    <row r="94" spans="1:14">
      <c r="A94" s="121"/>
      <c r="B94" s="121"/>
      <c r="C94" s="121"/>
      <c r="D94" s="121"/>
      <c r="E94" s="647" t="s">
        <v>9</v>
      </c>
      <c r="F94" s="706">
        <f>SUM(F88:F93)</f>
        <v>0</v>
      </c>
      <c r="G94" s="647"/>
      <c r="H94" s="647"/>
      <c r="I94" s="707"/>
      <c r="J94" s="708"/>
      <c r="K94" s="60">
        <f>SUM(K88:K93)</f>
        <v>0</v>
      </c>
      <c r="L94" s="60" t="e">
        <f>K94/F94</f>
        <v>#DIV/0!</v>
      </c>
      <c r="M94" s="491"/>
      <c r="N94" s="657"/>
    </row>
    <row r="95" spans="1:14">
      <c r="A95" s="178">
        <v>5964</v>
      </c>
      <c r="B95" s="178" t="s">
        <v>449</v>
      </c>
      <c r="C95" s="178" t="s">
        <v>121</v>
      </c>
      <c r="D95" s="178" t="s">
        <v>334</v>
      </c>
      <c r="E95" s="178" t="s">
        <v>132</v>
      </c>
      <c r="F95" s="638"/>
      <c r="G95" s="639" t="s">
        <v>190</v>
      </c>
      <c r="H95" s="192"/>
      <c r="I95" s="554"/>
      <c r="J95" s="614">
        <v>890</v>
      </c>
      <c r="K95" s="614">
        <f t="shared" ref="K95:K99" si="20">I95*J95</f>
        <v>0</v>
      </c>
      <c r="L95" s="192"/>
      <c r="M95" s="192"/>
      <c r="N95" s="657"/>
    </row>
    <row r="96" spans="1:14">
      <c r="A96" s="178"/>
      <c r="B96" s="178"/>
      <c r="C96" s="178"/>
      <c r="D96" s="178"/>
      <c r="E96" s="178" t="s">
        <v>506</v>
      </c>
      <c r="F96" s="621"/>
      <c r="G96" s="640" t="s">
        <v>281</v>
      </c>
      <c r="H96" s="192"/>
      <c r="I96" s="554"/>
      <c r="J96" s="614">
        <v>1484</v>
      </c>
      <c r="K96" s="614">
        <f t="shared" si="20"/>
        <v>0</v>
      </c>
      <c r="L96" s="192"/>
      <c r="M96" s="192"/>
      <c r="N96" s="657"/>
    </row>
    <row r="97" spans="1:14">
      <c r="A97" s="178"/>
      <c r="B97" s="178"/>
      <c r="C97" s="178"/>
      <c r="D97" s="178"/>
      <c r="E97" s="178"/>
      <c r="F97" s="621"/>
      <c r="G97" s="179" t="s">
        <v>472</v>
      </c>
      <c r="H97" s="192"/>
      <c r="I97" s="554"/>
      <c r="J97" s="614">
        <v>905</v>
      </c>
      <c r="K97" s="614">
        <f t="shared" si="20"/>
        <v>0</v>
      </c>
      <c r="L97" s="192"/>
      <c r="M97" s="192"/>
      <c r="N97" s="657"/>
    </row>
    <row r="98" spans="1:14">
      <c r="A98" s="178"/>
      <c r="B98" s="178"/>
      <c r="C98" s="178"/>
      <c r="D98" s="178"/>
      <c r="E98" s="178"/>
      <c r="F98" s="621"/>
      <c r="G98" s="178" t="s">
        <v>184</v>
      </c>
      <c r="H98" s="192"/>
      <c r="I98" s="554"/>
      <c r="J98" s="614">
        <v>396</v>
      </c>
      <c r="K98" s="614">
        <f t="shared" si="20"/>
        <v>0</v>
      </c>
      <c r="L98" s="192"/>
      <c r="M98" s="192"/>
      <c r="N98" s="657"/>
    </row>
    <row r="99" spans="1:14">
      <c r="A99" s="178"/>
      <c r="B99" s="178"/>
      <c r="C99" s="178"/>
      <c r="D99" s="178"/>
      <c r="E99" s="178"/>
      <c r="F99" s="621"/>
      <c r="G99" s="640" t="s">
        <v>185</v>
      </c>
      <c r="H99" s="192"/>
      <c r="I99" s="554"/>
      <c r="J99" s="614">
        <v>623</v>
      </c>
      <c r="K99" s="614">
        <f t="shared" si="20"/>
        <v>0</v>
      </c>
      <c r="L99" s="192"/>
      <c r="M99" s="192"/>
      <c r="N99" s="657"/>
    </row>
    <row r="100" spans="1:14">
      <c r="A100" s="121"/>
      <c r="B100" s="121"/>
      <c r="C100" s="121"/>
      <c r="D100" s="121"/>
      <c r="E100" s="180" t="s">
        <v>9</v>
      </c>
      <c r="F100" s="622">
        <f>SUM(F95:F99)</f>
        <v>0</v>
      </c>
      <c r="G100" s="180"/>
      <c r="H100" s="180"/>
      <c r="I100" s="554"/>
      <c r="J100" s="614"/>
      <c r="K100" s="152">
        <f>SUM(K95:K99)</f>
        <v>0</v>
      </c>
      <c r="L100" s="152" t="e">
        <f>K100/F100</f>
        <v>#DIV/0!</v>
      </c>
      <c r="M100" s="491"/>
      <c r="N100" s="657"/>
    </row>
    <row r="101" spans="1:14">
      <c r="A101" s="178">
        <v>5956</v>
      </c>
      <c r="B101" s="178" t="s">
        <v>669</v>
      </c>
      <c r="C101" s="178" t="s">
        <v>121</v>
      </c>
      <c r="D101" s="178" t="s">
        <v>290</v>
      </c>
      <c r="E101" s="178" t="s">
        <v>670</v>
      </c>
      <c r="F101" s="621"/>
      <c r="G101" s="639" t="s">
        <v>190</v>
      </c>
      <c r="H101" s="192"/>
      <c r="I101" s="554"/>
      <c r="J101" s="614">
        <v>890</v>
      </c>
      <c r="K101" s="614">
        <f t="shared" ref="K101" si="21">I101*J101</f>
        <v>0</v>
      </c>
      <c r="L101" s="192"/>
      <c r="M101" s="491"/>
      <c r="N101" s="657"/>
    </row>
    <row r="102" spans="1:14">
      <c r="A102" s="178"/>
      <c r="B102" s="178"/>
      <c r="C102" s="178"/>
      <c r="D102" s="178"/>
      <c r="E102" s="178"/>
      <c r="F102" s="621"/>
      <c r="G102" s="640" t="s">
        <v>192</v>
      </c>
      <c r="H102" s="192"/>
      <c r="I102" s="554"/>
      <c r="J102" s="614">
        <v>1742</v>
      </c>
      <c r="K102" s="614">
        <f t="shared" ref="K102:K105" si="22">I102*J102</f>
        <v>0</v>
      </c>
      <c r="L102" s="192"/>
      <c r="M102" s="491"/>
      <c r="N102" s="657"/>
    </row>
    <row r="103" spans="1:14">
      <c r="A103" s="178"/>
      <c r="B103" s="178"/>
      <c r="C103" s="178"/>
      <c r="D103" s="178"/>
      <c r="E103" s="178"/>
      <c r="F103" s="621"/>
      <c r="G103" s="640" t="s">
        <v>193</v>
      </c>
      <c r="H103" s="192"/>
      <c r="I103" s="554"/>
      <c r="J103" s="614">
        <v>1545</v>
      </c>
      <c r="K103" s="614">
        <f t="shared" si="22"/>
        <v>0</v>
      </c>
      <c r="L103" s="192"/>
      <c r="M103" s="491"/>
      <c r="N103" s="657"/>
    </row>
    <row r="104" spans="1:14">
      <c r="A104" s="178"/>
      <c r="B104" s="178"/>
      <c r="C104" s="178"/>
      <c r="D104" s="178"/>
      <c r="E104" s="178"/>
      <c r="F104" s="621"/>
      <c r="G104" s="178" t="s">
        <v>184</v>
      </c>
      <c r="H104" s="192"/>
      <c r="I104" s="554"/>
      <c r="J104" s="614">
        <v>396</v>
      </c>
      <c r="K104" s="614">
        <f t="shared" si="22"/>
        <v>0</v>
      </c>
      <c r="L104" s="192"/>
      <c r="M104" s="491"/>
      <c r="N104" s="657"/>
    </row>
    <row r="105" spans="1:14">
      <c r="A105" s="178"/>
      <c r="B105" s="178"/>
      <c r="C105" s="178"/>
      <c r="D105" s="178"/>
      <c r="E105" s="178"/>
      <c r="F105" s="621"/>
      <c r="G105" s="640" t="s">
        <v>185</v>
      </c>
      <c r="H105" s="192"/>
      <c r="I105" s="554"/>
      <c r="J105" s="614">
        <v>623</v>
      </c>
      <c r="K105" s="614">
        <f t="shared" si="22"/>
        <v>0</v>
      </c>
      <c r="L105" s="192"/>
      <c r="M105" s="491"/>
      <c r="N105" s="657"/>
    </row>
    <row r="106" spans="1:14">
      <c r="A106" s="178"/>
      <c r="B106" s="178"/>
      <c r="C106" s="178"/>
      <c r="D106" s="178"/>
      <c r="E106" s="180" t="s">
        <v>9</v>
      </c>
      <c r="F106" s="622">
        <f>SUM(F101:F105)</f>
        <v>0</v>
      </c>
      <c r="G106" s="180"/>
      <c r="H106" s="180"/>
      <c r="I106" s="554"/>
      <c r="J106" s="614"/>
      <c r="K106" s="152">
        <f>SUM(K101:K105)</f>
        <v>0</v>
      </c>
      <c r="L106" s="152" t="e">
        <f>K106/F106</f>
        <v>#DIV/0!</v>
      </c>
      <c r="M106" s="491"/>
      <c r="N106" s="657"/>
    </row>
    <row r="107" spans="1:14">
      <c r="A107" s="178">
        <v>5955</v>
      </c>
      <c r="B107" s="178" t="s">
        <v>651</v>
      </c>
      <c r="C107" s="178" t="s">
        <v>121</v>
      </c>
      <c r="D107" s="178" t="s">
        <v>74</v>
      </c>
      <c r="E107" s="178" t="s">
        <v>507</v>
      </c>
      <c r="F107" s="619"/>
      <c r="G107" s="639" t="s">
        <v>190</v>
      </c>
      <c r="H107" s="192"/>
      <c r="I107" s="554"/>
      <c r="J107" s="614">
        <v>890</v>
      </c>
      <c r="K107" s="614">
        <f t="shared" ref="K107:K111" si="23">I107*J107</f>
        <v>0</v>
      </c>
      <c r="L107" s="192"/>
      <c r="M107" s="491"/>
      <c r="N107" s="657"/>
    </row>
    <row r="108" spans="1:14">
      <c r="A108" s="121"/>
      <c r="B108" s="121"/>
      <c r="C108" s="121"/>
      <c r="D108" s="121"/>
      <c r="E108" s="121"/>
      <c r="F108" s="703"/>
      <c r="G108" s="640" t="s">
        <v>194</v>
      </c>
      <c r="H108" s="192"/>
      <c r="I108" s="554"/>
      <c r="J108" s="614">
        <v>1267</v>
      </c>
      <c r="K108" s="614">
        <f t="shared" si="23"/>
        <v>0</v>
      </c>
      <c r="L108" s="192"/>
      <c r="M108" s="491"/>
      <c r="N108" s="657"/>
    </row>
    <row r="109" spans="1:14">
      <c r="A109" s="121"/>
      <c r="B109" s="121"/>
      <c r="C109" s="121"/>
      <c r="D109" s="121"/>
      <c r="E109" s="121"/>
      <c r="F109" s="703"/>
      <c r="G109" s="640" t="s">
        <v>192</v>
      </c>
      <c r="H109" s="192"/>
      <c r="I109" s="554"/>
      <c r="J109" s="614">
        <v>1742</v>
      </c>
      <c r="K109" s="614">
        <f t="shared" si="23"/>
        <v>0</v>
      </c>
      <c r="L109" s="192"/>
      <c r="M109" s="491"/>
      <c r="N109" s="657"/>
    </row>
    <row r="110" spans="1:14">
      <c r="A110" s="121"/>
      <c r="B110" s="121"/>
      <c r="C110" s="121"/>
      <c r="D110" s="121"/>
      <c r="E110" s="121"/>
      <c r="F110" s="703"/>
      <c r="G110" s="178" t="s">
        <v>184</v>
      </c>
      <c r="H110" s="178"/>
      <c r="I110" s="554"/>
      <c r="J110" s="614">
        <v>369</v>
      </c>
      <c r="K110" s="633">
        <f t="shared" si="23"/>
        <v>0</v>
      </c>
      <c r="L110" s="491"/>
      <c r="M110" s="491"/>
      <c r="N110" s="657"/>
    </row>
    <row r="111" spans="1:14">
      <c r="A111" s="121"/>
      <c r="B111" s="121"/>
      <c r="C111" s="121"/>
      <c r="D111" s="121"/>
      <c r="E111" s="121"/>
      <c r="F111" s="703"/>
      <c r="G111" s="640" t="s">
        <v>185</v>
      </c>
      <c r="H111" s="192"/>
      <c r="I111" s="632"/>
      <c r="J111" s="614">
        <v>623</v>
      </c>
      <c r="K111" s="614">
        <f t="shared" si="23"/>
        <v>0</v>
      </c>
      <c r="L111" s="491"/>
      <c r="M111" s="491"/>
      <c r="N111" s="657"/>
    </row>
    <row r="112" spans="1:14">
      <c r="A112" s="121"/>
      <c r="B112" s="121"/>
      <c r="C112" s="121"/>
      <c r="D112" s="121"/>
      <c r="E112" s="180" t="s">
        <v>9</v>
      </c>
      <c r="F112" s="622">
        <f>SUM(F107:F111)</f>
        <v>0</v>
      </c>
      <c r="G112" s="180"/>
      <c r="H112" s="180"/>
      <c r="I112" s="554"/>
      <c r="J112" s="614"/>
      <c r="K112" s="152">
        <f>SUM(K107:K111)</f>
        <v>0</v>
      </c>
      <c r="L112" s="152" t="e">
        <f>K112/F112</f>
        <v>#DIV/0!</v>
      </c>
      <c r="M112" s="491"/>
      <c r="N112" s="657"/>
    </row>
    <row r="113" spans="1:14">
      <c r="A113" s="178">
        <v>5953</v>
      </c>
      <c r="B113" s="178" t="s">
        <v>652</v>
      </c>
      <c r="C113" s="178" t="s">
        <v>121</v>
      </c>
      <c r="D113" s="178" t="s">
        <v>74</v>
      </c>
      <c r="E113" s="178" t="s">
        <v>671</v>
      </c>
      <c r="F113" s="619"/>
      <c r="G113" s="639" t="s">
        <v>258</v>
      </c>
      <c r="H113" s="192"/>
      <c r="I113" s="554"/>
      <c r="J113" s="614">
        <v>3562</v>
      </c>
      <c r="K113" s="614">
        <f t="shared" ref="K113:K117" si="24">I113*J113</f>
        <v>0</v>
      </c>
      <c r="L113" s="192"/>
      <c r="M113" s="192"/>
      <c r="N113" s="657"/>
    </row>
    <row r="114" spans="1:14">
      <c r="A114" s="178"/>
      <c r="B114" s="178"/>
      <c r="C114" s="178"/>
      <c r="D114" s="178"/>
      <c r="E114" s="178"/>
      <c r="F114" s="621"/>
      <c r="G114" s="639" t="s">
        <v>259</v>
      </c>
      <c r="H114" s="192"/>
      <c r="I114" s="554"/>
      <c r="J114" s="614">
        <v>3520</v>
      </c>
      <c r="K114" s="614">
        <f t="shared" si="24"/>
        <v>0</v>
      </c>
      <c r="L114" s="192"/>
      <c r="M114" s="192"/>
      <c r="N114" s="657"/>
    </row>
    <row r="115" spans="1:14">
      <c r="A115" s="178"/>
      <c r="B115" s="178"/>
      <c r="C115" s="178"/>
      <c r="D115" s="178"/>
      <c r="E115" s="178"/>
      <c r="F115" s="621"/>
      <c r="G115" s="640" t="s">
        <v>260</v>
      </c>
      <c r="H115" s="192"/>
      <c r="I115" s="554"/>
      <c r="J115" s="614">
        <v>4545</v>
      </c>
      <c r="K115" s="614">
        <f t="shared" si="24"/>
        <v>0</v>
      </c>
      <c r="L115" s="192"/>
      <c r="M115" s="192"/>
      <c r="N115" s="657"/>
    </row>
    <row r="116" spans="1:14">
      <c r="A116" s="178"/>
      <c r="B116" s="178"/>
      <c r="C116" s="178"/>
      <c r="D116" s="178"/>
      <c r="E116" s="178"/>
      <c r="F116" s="621"/>
      <c r="G116" s="178" t="s">
        <v>184</v>
      </c>
      <c r="H116" s="192"/>
      <c r="I116" s="554"/>
      <c r="J116" s="614">
        <v>396</v>
      </c>
      <c r="K116" s="614">
        <f t="shared" si="24"/>
        <v>0</v>
      </c>
      <c r="L116" s="192"/>
      <c r="M116" s="192"/>
      <c r="N116" s="657"/>
    </row>
    <row r="117" spans="1:14">
      <c r="A117" s="178"/>
      <c r="B117" s="178"/>
      <c r="C117" s="178"/>
      <c r="D117" s="178"/>
      <c r="E117" s="178"/>
      <c r="F117" s="621"/>
      <c r="G117" s="640" t="s">
        <v>185</v>
      </c>
      <c r="H117" s="192"/>
      <c r="I117" s="632"/>
      <c r="J117" s="614">
        <v>623</v>
      </c>
      <c r="K117" s="614">
        <f t="shared" si="24"/>
        <v>0</v>
      </c>
      <c r="L117" s="192"/>
      <c r="M117" s="192"/>
      <c r="N117" s="657"/>
    </row>
    <row r="118" spans="1:14">
      <c r="A118" s="178"/>
      <c r="B118" s="178"/>
      <c r="C118" s="178"/>
      <c r="D118" s="178"/>
      <c r="E118" s="180" t="s">
        <v>9</v>
      </c>
      <c r="F118" s="622">
        <f>SUM(F113:F117)</f>
        <v>0</v>
      </c>
      <c r="G118" s="180"/>
      <c r="H118" s="180"/>
      <c r="I118" s="554"/>
      <c r="J118" s="614"/>
      <c r="K118" s="152">
        <f>SUM(K113:K117)</f>
        <v>0</v>
      </c>
      <c r="L118" s="152" t="e">
        <f>K118/F118</f>
        <v>#DIV/0!</v>
      </c>
      <c r="M118" s="192"/>
      <c r="N118" s="657"/>
    </row>
    <row r="119" spans="1:14">
      <c r="A119" s="178">
        <v>5960</v>
      </c>
      <c r="B119" s="178" t="s">
        <v>371</v>
      </c>
      <c r="C119" s="178" t="s">
        <v>256</v>
      </c>
      <c r="D119" s="178" t="s">
        <v>330</v>
      </c>
      <c r="E119" s="178" t="s">
        <v>672</v>
      </c>
      <c r="F119" s="619"/>
      <c r="G119" s="179" t="s">
        <v>245</v>
      </c>
      <c r="H119" s="192"/>
      <c r="I119" s="554"/>
      <c r="J119" s="614">
        <v>107</v>
      </c>
      <c r="K119" s="614">
        <f t="shared" ref="K119:K123" si="25">I119*J119</f>
        <v>0</v>
      </c>
      <c r="L119" s="104"/>
      <c r="M119" s="192"/>
      <c r="N119" s="657"/>
    </row>
    <row r="120" spans="1:14">
      <c r="A120" s="178"/>
      <c r="B120" s="178"/>
      <c r="C120" s="178"/>
      <c r="D120" s="178"/>
      <c r="E120" s="178"/>
      <c r="F120" s="621"/>
      <c r="G120" s="640" t="s">
        <v>195</v>
      </c>
      <c r="H120" s="192"/>
      <c r="I120" s="554"/>
      <c r="J120" s="614">
        <v>932</v>
      </c>
      <c r="K120" s="614">
        <f t="shared" si="25"/>
        <v>0</v>
      </c>
      <c r="L120" s="104"/>
      <c r="M120" s="192"/>
      <c r="N120" s="657"/>
    </row>
    <row r="121" spans="1:14">
      <c r="A121" s="178"/>
      <c r="B121" s="178"/>
      <c r="C121" s="178"/>
      <c r="D121" s="178"/>
      <c r="E121" s="178"/>
      <c r="F121" s="621"/>
      <c r="G121" s="640" t="s">
        <v>191</v>
      </c>
      <c r="H121" s="192"/>
      <c r="I121" s="554"/>
      <c r="J121" s="614">
        <v>1638</v>
      </c>
      <c r="K121" s="614">
        <f t="shared" si="25"/>
        <v>0</v>
      </c>
      <c r="L121" s="104"/>
      <c r="M121" s="192"/>
      <c r="N121" s="657"/>
    </row>
    <row r="122" spans="1:14">
      <c r="A122" s="178"/>
      <c r="B122" s="178"/>
      <c r="C122" s="178"/>
      <c r="D122" s="178"/>
      <c r="E122" s="178"/>
      <c r="F122" s="621"/>
      <c r="G122" s="178" t="s">
        <v>184</v>
      </c>
      <c r="H122" s="178"/>
      <c r="I122" s="554"/>
      <c r="J122" s="614">
        <v>369</v>
      </c>
      <c r="K122" s="633">
        <f t="shared" si="25"/>
        <v>0</v>
      </c>
      <c r="L122" s="104"/>
      <c r="M122" s="192"/>
      <c r="N122" s="657"/>
    </row>
    <row r="123" spans="1:14">
      <c r="A123" s="178"/>
      <c r="B123" s="178"/>
      <c r="C123" s="178"/>
      <c r="D123" s="178"/>
      <c r="E123" s="178"/>
      <c r="F123" s="621"/>
      <c r="G123" s="640" t="s">
        <v>185</v>
      </c>
      <c r="H123" s="192"/>
      <c r="I123" s="632"/>
      <c r="J123" s="614">
        <v>623</v>
      </c>
      <c r="K123" s="614">
        <f t="shared" si="25"/>
        <v>0</v>
      </c>
      <c r="L123" s="104"/>
      <c r="M123" s="192"/>
      <c r="N123" s="657"/>
    </row>
    <row r="124" spans="1:14">
      <c r="A124" s="178"/>
      <c r="B124" s="178"/>
      <c r="C124" s="178"/>
      <c r="D124" s="178"/>
      <c r="E124" s="180" t="s">
        <v>9</v>
      </c>
      <c r="F124" s="622">
        <f>SUM(F119:F123)</f>
        <v>0</v>
      </c>
      <c r="G124" s="180"/>
      <c r="H124" s="180"/>
      <c r="I124" s="554"/>
      <c r="J124" s="614"/>
      <c r="K124" s="152">
        <f>SUM(K119:K123)</f>
        <v>0</v>
      </c>
      <c r="L124" s="152" t="e">
        <f>K124/F124</f>
        <v>#DIV/0!</v>
      </c>
      <c r="M124" s="192"/>
      <c r="N124" s="657"/>
    </row>
    <row r="125" spans="1:14">
      <c r="A125" s="178">
        <v>5959</v>
      </c>
      <c r="B125" s="178" t="s">
        <v>444</v>
      </c>
      <c r="C125" s="178" t="s">
        <v>631</v>
      </c>
      <c r="D125" s="178" t="s">
        <v>636</v>
      </c>
      <c r="E125" s="178" t="s">
        <v>673</v>
      </c>
      <c r="F125" s="621"/>
      <c r="G125" s="639" t="s">
        <v>190</v>
      </c>
      <c r="H125" s="192"/>
      <c r="I125" s="554"/>
      <c r="J125" s="614">
        <v>890</v>
      </c>
      <c r="K125" s="614">
        <f t="shared" ref="K125:K129" si="26">I125*J125</f>
        <v>0</v>
      </c>
      <c r="L125" s="192"/>
      <c r="M125" s="192"/>
      <c r="N125" s="657"/>
    </row>
    <row r="126" spans="1:14">
      <c r="A126" s="178"/>
      <c r="B126" s="178"/>
      <c r="C126" s="178"/>
      <c r="D126" s="178"/>
      <c r="E126" s="178"/>
      <c r="F126" s="621"/>
      <c r="G126" s="179" t="s">
        <v>183</v>
      </c>
      <c r="H126" s="192"/>
      <c r="I126" s="554"/>
      <c r="J126" s="614">
        <v>1950</v>
      </c>
      <c r="K126" s="614">
        <f t="shared" si="26"/>
        <v>0</v>
      </c>
      <c r="L126" s="104"/>
      <c r="M126" s="192"/>
      <c r="N126" s="657"/>
    </row>
    <row r="127" spans="1:14">
      <c r="A127" s="121"/>
      <c r="B127" s="178"/>
      <c r="C127" s="178"/>
      <c r="D127" s="178"/>
      <c r="E127" s="178"/>
      <c r="F127" s="621"/>
      <c r="G127" s="639" t="s">
        <v>315</v>
      </c>
      <c r="H127" s="192"/>
      <c r="I127" s="554"/>
      <c r="J127" s="614">
        <v>2151</v>
      </c>
      <c r="K127" s="614">
        <f t="shared" si="26"/>
        <v>0</v>
      </c>
      <c r="L127" s="192"/>
      <c r="M127" s="491"/>
      <c r="N127" s="657"/>
    </row>
    <row r="128" spans="1:14">
      <c r="A128" s="121"/>
      <c r="B128" s="178"/>
      <c r="C128" s="178"/>
      <c r="D128" s="178"/>
      <c r="E128" s="178"/>
      <c r="F128" s="621"/>
      <c r="G128" s="178" t="s">
        <v>356</v>
      </c>
      <c r="H128" s="178"/>
      <c r="I128" s="554"/>
      <c r="J128" s="614">
        <v>178</v>
      </c>
      <c r="K128" s="633">
        <f t="shared" si="26"/>
        <v>0</v>
      </c>
      <c r="L128" s="192"/>
      <c r="M128" s="491"/>
      <c r="N128" s="657"/>
    </row>
    <row r="129" spans="1:14">
      <c r="A129" s="121"/>
      <c r="B129" s="178"/>
      <c r="C129" s="178"/>
      <c r="D129" s="178"/>
      <c r="E129" s="178"/>
      <c r="F129" s="621"/>
      <c r="G129" s="640" t="s">
        <v>185</v>
      </c>
      <c r="H129" s="192"/>
      <c r="I129" s="554"/>
      <c r="J129" s="614">
        <v>623</v>
      </c>
      <c r="K129" s="614">
        <f t="shared" si="26"/>
        <v>0</v>
      </c>
      <c r="L129" s="192"/>
      <c r="M129" s="491"/>
      <c r="N129" s="657"/>
    </row>
    <row r="130" spans="1:14">
      <c r="A130" s="121"/>
      <c r="B130" s="121"/>
      <c r="C130" s="121"/>
      <c r="D130" s="121"/>
      <c r="E130" s="180" t="s">
        <v>9</v>
      </c>
      <c r="F130" s="622">
        <f>SUM(F125:F129)</f>
        <v>0</v>
      </c>
      <c r="G130" s="180"/>
      <c r="H130" s="180"/>
      <c r="I130" s="554"/>
      <c r="J130" s="614"/>
      <c r="K130" s="152">
        <f>SUM(K125:K129)</f>
        <v>0</v>
      </c>
      <c r="L130" s="152" t="e">
        <f>K130/F130</f>
        <v>#DIV/0!</v>
      </c>
      <c r="M130" s="491"/>
      <c r="N130" s="657"/>
    </row>
    <row r="131" spans="1:14">
      <c r="A131" s="178">
        <v>5961</v>
      </c>
      <c r="B131" s="178" t="s">
        <v>541</v>
      </c>
      <c r="C131" s="178" t="s">
        <v>267</v>
      </c>
      <c r="D131" s="178" t="s">
        <v>524</v>
      </c>
      <c r="E131" s="178" t="s">
        <v>126</v>
      </c>
      <c r="F131" s="621"/>
      <c r="G131" s="179" t="s">
        <v>245</v>
      </c>
      <c r="H131" s="192"/>
      <c r="I131" s="554"/>
      <c r="J131" s="614">
        <v>107</v>
      </c>
      <c r="K131" s="614">
        <f t="shared" ref="K131:K135" si="27">I131*J131</f>
        <v>0</v>
      </c>
      <c r="L131" s="104"/>
      <c r="M131" s="491"/>
      <c r="N131" s="657"/>
    </row>
    <row r="132" spans="1:14">
      <c r="A132" s="178"/>
      <c r="B132" s="121"/>
      <c r="C132" s="121"/>
      <c r="D132" s="121"/>
      <c r="E132" s="121"/>
      <c r="F132" s="703"/>
      <c r="G132" s="640" t="s">
        <v>195</v>
      </c>
      <c r="H132" s="192"/>
      <c r="I132" s="554"/>
      <c r="J132" s="614">
        <v>932</v>
      </c>
      <c r="K132" s="614">
        <f t="shared" si="27"/>
        <v>0</v>
      </c>
      <c r="L132" s="104"/>
      <c r="M132" s="491"/>
      <c r="N132" s="657"/>
    </row>
    <row r="133" spans="1:14">
      <c r="A133" s="178"/>
      <c r="B133" s="121"/>
      <c r="C133" s="121"/>
      <c r="D133" s="121"/>
      <c r="E133" s="121"/>
      <c r="F133" s="703"/>
      <c r="G133" s="640" t="s">
        <v>194</v>
      </c>
      <c r="H133" s="192"/>
      <c r="I133" s="554"/>
      <c r="J133" s="614">
        <v>1267</v>
      </c>
      <c r="K133" s="614">
        <f t="shared" si="27"/>
        <v>0</v>
      </c>
      <c r="L133" s="104"/>
      <c r="M133" s="491"/>
      <c r="N133" s="657"/>
    </row>
    <row r="134" spans="1:14">
      <c r="A134" s="178"/>
      <c r="B134" s="121"/>
      <c r="C134" s="121"/>
      <c r="D134" s="121"/>
      <c r="E134" s="121"/>
      <c r="F134" s="703"/>
      <c r="G134" s="178" t="s">
        <v>184</v>
      </c>
      <c r="H134" s="178"/>
      <c r="I134" s="554"/>
      <c r="J134" s="614">
        <v>369</v>
      </c>
      <c r="K134" s="633">
        <f t="shared" si="27"/>
        <v>0</v>
      </c>
      <c r="L134" s="104"/>
      <c r="M134" s="491"/>
      <c r="N134" s="657"/>
    </row>
    <row r="135" spans="1:14">
      <c r="A135" s="178"/>
      <c r="B135" s="121"/>
      <c r="C135" s="121"/>
      <c r="D135" s="121"/>
      <c r="E135" s="121"/>
      <c r="F135" s="703"/>
      <c r="G135" s="640" t="s">
        <v>185</v>
      </c>
      <c r="H135" s="192"/>
      <c r="I135" s="632"/>
      <c r="J135" s="614">
        <v>623</v>
      </c>
      <c r="K135" s="614">
        <f t="shared" si="27"/>
        <v>0</v>
      </c>
      <c r="L135" s="104"/>
      <c r="M135" s="491"/>
      <c r="N135" s="657"/>
    </row>
    <row r="136" spans="1:14">
      <c r="A136" s="178"/>
      <c r="B136" s="121"/>
      <c r="C136" s="121"/>
      <c r="D136" s="121"/>
      <c r="E136" s="180" t="s">
        <v>9</v>
      </c>
      <c r="F136" s="622">
        <f>SUM(F131:F135)</f>
        <v>0</v>
      </c>
      <c r="G136" s="180"/>
      <c r="H136" s="180"/>
      <c r="I136" s="554"/>
      <c r="J136" s="614"/>
      <c r="K136" s="152">
        <f>SUM(K131:K135)</f>
        <v>0</v>
      </c>
      <c r="L136" s="152" t="e">
        <f>K136/F136</f>
        <v>#DIV/0!</v>
      </c>
      <c r="M136" s="491"/>
      <c r="N136" s="657"/>
    </row>
    <row r="137" spans="1:14">
      <c r="A137" s="178">
        <v>5962</v>
      </c>
      <c r="B137" s="178" t="s">
        <v>522</v>
      </c>
      <c r="C137" s="178" t="s">
        <v>267</v>
      </c>
      <c r="D137" s="178" t="s">
        <v>524</v>
      </c>
      <c r="E137" s="178" t="s">
        <v>102</v>
      </c>
      <c r="F137" s="621"/>
      <c r="G137" s="179" t="s">
        <v>245</v>
      </c>
      <c r="H137" s="192"/>
      <c r="I137" s="554"/>
      <c r="J137" s="614">
        <v>107</v>
      </c>
      <c r="K137" s="614">
        <f t="shared" ref="K137:K143" si="28">I137*J137</f>
        <v>0</v>
      </c>
      <c r="L137" s="104"/>
      <c r="M137" s="491"/>
      <c r="N137" s="657"/>
    </row>
    <row r="138" spans="1:14">
      <c r="A138" s="121"/>
      <c r="B138" s="121"/>
      <c r="C138" s="121"/>
      <c r="D138" s="121"/>
      <c r="E138" s="178" t="s">
        <v>284</v>
      </c>
      <c r="F138" s="703"/>
      <c r="G138" s="640" t="s">
        <v>192</v>
      </c>
      <c r="H138" s="192"/>
      <c r="I138" s="554"/>
      <c r="J138" s="614">
        <v>1742</v>
      </c>
      <c r="K138" s="614">
        <f t="shared" si="28"/>
        <v>0</v>
      </c>
      <c r="L138" s="104"/>
      <c r="M138" s="491"/>
      <c r="N138" s="657"/>
    </row>
    <row r="139" spans="1:14">
      <c r="A139" s="121"/>
      <c r="B139" s="121"/>
      <c r="C139" s="121"/>
      <c r="D139" s="121"/>
      <c r="E139" s="121"/>
      <c r="F139" s="703"/>
      <c r="G139" s="640" t="s">
        <v>281</v>
      </c>
      <c r="H139" s="192"/>
      <c r="I139" s="554"/>
      <c r="J139" s="614">
        <v>1484</v>
      </c>
      <c r="K139" s="614">
        <f t="shared" si="28"/>
        <v>0</v>
      </c>
      <c r="L139" s="104"/>
      <c r="M139" s="491"/>
      <c r="N139" s="657"/>
    </row>
    <row r="140" spans="1:14">
      <c r="A140" s="121"/>
      <c r="B140" s="121"/>
      <c r="C140" s="121"/>
      <c r="D140" s="121"/>
      <c r="E140" s="121"/>
      <c r="F140" s="703"/>
      <c r="G140" s="640" t="s">
        <v>282</v>
      </c>
      <c r="H140" s="192"/>
      <c r="I140" s="554"/>
      <c r="J140" s="614">
        <v>1204</v>
      </c>
      <c r="K140" s="614">
        <f t="shared" si="28"/>
        <v>0</v>
      </c>
      <c r="L140" s="104"/>
      <c r="M140" s="491"/>
      <c r="N140" s="657"/>
    </row>
    <row r="141" spans="1:14">
      <c r="A141" s="121"/>
      <c r="B141" s="121"/>
      <c r="C141" s="121"/>
      <c r="D141" s="121"/>
      <c r="E141" s="121"/>
      <c r="F141" s="703"/>
      <c r="G141" s="640" t="s">
        <v>196</v>
      </c>
      <c r="H141" s="192"/>
      <c r="I141" s="554"/>
      <c r="J141" s="614">
        <v>1380</v>
      </c>
      <c r="K141" s="614">
        <f t="shared" si="28"/>
        <v>0</v>
      </c>
      <c r="L141" s="491"/>
      <c r="M141" s="491"/>
      <c r="N141" s="657"/>
    </row>
    <row r="142" spans="1:14">
      <c r="A142" s="121"/>
      <c r="B142" s="121"/>
      <c r="C142" s="121"/>
      <c r="D142" s="121"/>
      <c r="E142" s="121"/>
      <c r="F142" s="703"/>
      <c r="G142" s="178" t="s">
        <v>184</v>
      </c>
      <c r="H142" s="178"/>
      <c r="I142" s="554"/>
      <c r="J142" s="614">
        <v>369</v>
      </c>
      <c r="K142" s="633">
        <f t="shared" si="28"/>
        <v>0</v>
      </c>
      <c r="L142" s="104"/>
      <c r="M142" s="491"/>
      <c r="N142" s="657"/>
    </row>
    <row r="143" spans="1:14">
      <c r="A143" s="121"/>
      <c r="B143" s="121"/>
      <c r="C143" s="121"/>
      <c r="D143" s="121"/>
      <c r="E143" s="121"/>
      <c r="F143" s="703"/>
      <c r="G143" s="640" t="s">
        <v>185</v>
      </c>
      <c r="H143" s="192"/>
      <c r="I143" s="632"/>
      <c r="J143" s="614">
        <v>623</v>
      </c>
      <c r="K143" s="614">
        <f t="shared" si="28"/>
        <v>0</v>
      </c>
      <c r="L143" s="104"/>
      <c r="M143" s="491"/>
      <c r="N143" s="657"/>
    </row>
    <row r="144" spans="1:14">
      <c r="A144" s="121"/>
      <c r="B144" s="121"/>
      <c r="C144" s="121"/>
      <c r="D144" s="121"/>
      <c r="E144" s="180" t="s">
        <v>9</v>
      </c>
      <c r="F144" s="622">
        <f>SUM(F137:F143)</f>
        <v>0</v>
      </c>
      <c r="G144" s="180"/>
      <c r="H144" s="180"/>
      <c r="I144" s="554"/>
      <c r="J144" s="614"/>
      <c r="K144" s="152">
        <f>SUM(K137:K143)</f>
        <v>0</v>
      </c>
      <c r="L144" s="152" t="e">
        <f>K144/F144</f>
        <v>#DIV/0!</v>
      </c>
      <c r="M144" s="491"/>
      <c r="N144" s="657"/>
    </row>
    <row r="145" spans="1:14">
      <c r="A145" s="121">
        <v>5732</v>
      </c>
      <c r="B145" s="178" t="s">
        <v>444</v>
      </c>
      <c r="C145" s="178" t="s">
        <v>267</v>
      </c>
      <c r="D145" s="178" t="s">
        <v>634</v>
      </c>
      <c r="E145" s="178" t="s">
        <v>635</v>
      </c>
      <c r="F145" s="621"/>
      <c r="G145" s="639" t="s">
        <v>190</v>
      </c>
      <c r="H145" s="192"/>
      <c r="I145" s="554"/>
      <c r="J145" s="614">
        <v>890</v>
      </c>
      <c r="K145" s="614">
        <f t="shared" ref="K145:K149" si="29">I145*J145</f>
        <v>0</v>
      </c>
      <c r="L145" s="192"/>
      <c r="M145" s="491"/>
      <c r="N145" s="657"/>
    </row>
    <row r="146" spans="1:14">
      <c r="A146" s="121"/>
      <c r="B146" s="121"/>
      <c r="C146" s="121"/>
      <c r="D146" s="121"/>
      <c r="E146" s="121"/>
      <c r="F146" s="703"/>
      <c r="G146" s="640" t="s">
        <v>195</v>
      </c>
      <c r="H146" s="192"/>
      <c r="I146" s="554"/>
      <c r="J146" s="614">
        <v>932</v>
      </c>
      <c r="K146" s="614">
        <f t="shared" si="29"/>
        <v>0</v>
      </c>
      <c r="L146" s="104"/>
      <c r="M146" s="491"/>
      <c r="N146" s="657"/>
    </row>
    <row r="147" spans="1:14">
      <c r="A147" s="121"/>
      <c r="B147" s="121"/>
      <c r="C147" s="121"/>
      <c r="D147" s="121"/>
      <c r="E147" s="121"/>
      <c r="F147" s="703"/>
      <c r="G147" s="640" t="s">
        <v>191</v>
      </c>
      <c r="H147" s="192"/>
      <c r="I147" s="554"/>
      <c r="J147" s="614">
        <v>1638</v>
      </c>
      <c r="K147" s="614">
        <f t="shared" si="29"/>
        <v>0</v>
      </c>
      <c r="L147" s="192"/>
      <c r="M147" s="491"/>
      <c r="N147" s="657"/>
    </row>
    <row r="148" spans="1:14">
      <c r="A148" s="121"/>
      <c r="B148" s="121"/>
      <c r="C148" s="121"/>
      <c r="D148" s="121"/>
      <c r="E148" s="121"/>
      <c r="F148" s="703"/>
      <c r="G148" s="178" t="s">
        <v>356</v>
      </c>
      <c r="H148" s="178"/>
      <c r="I148" s="554"/>
      <c r="J148" s="614">
        <v>178</v>
      </c>
      <c r="K148" s="633">
        <f t="shared" si="29"/>
        <v>0</v>
      </c>
      <c r="L148" s="192"/>
      <c r="M148" s="491"/>
      <c r="N148" s="657"/>
    </row>
    <row r="149" spans="1:14">
      <c r="A149" s="121"/>
      <c r="B149" s="121"/>
      <c r="C149" s="121"/>
      <c r="D149" s="121"/>
      <c r="E149" s="121"/>
      <c r="F149" s="703"/>
      <c r="G149" s="640" t="s">
        <v>185</v>
      </c>
      <c r="H149" s="192"/>
      <c r="I149" s="554"/>
      <c r="J149" s="614">
        <v>623</v>
      </c>
      <c r="K149" s="614">
        <f t="shared" si="29"/>
        <v>0</v>
      </c>
      <c r="L149" s="192"/>
      <c r="M149" s="491"/>
      <c r="N149" s="657"/>
    </row>
    <row r="150" spans="1:14">
      <c r="A150" s="121"/>
      <c r="B150" s="121"/>
      <c r="C150" s="121"/>
      <c r="D150" s="121"/>
      <c r="E150" s="180" t="s">
        <v>9</v>
      </c>
      <c r="F150" s="622">
        <f>SUM(F145:F149)</f>
        <v>0</v>
      </c>
      <c r="G150" s="180"/>
      <c r="H150" s="180"/>
      <c r="I150" s="554"/>
      <c r="J150" s="614"/>
      <c r="K150" s="152">
        <f>SUM(K145:K149)</f>
        <v>0</v>
      </c>
      <c r="L150" s="152" t="e">
        <f>K150/F150</f>
        <v>#DIV/0!</v>
      </c>
      <c r="M150" s="491"/>
      <c r="N150" s="657"/>
    </row>
    <row r="151" spans="1:14" s="107" customFormat="1" ht="12.75">
      <c r="A151" s="634"/>
      <c r="B151" s="634"/>
      <c r="C151" s="634"/>
      <c r="D151" s="624" t="s">
        <v>30</v>
      </c>
      <c r="E151" s="624"/>
      <c r="F151" s="625">
        <f>F69+F75+F81+F87+F94+F100+F106+F112+F118+F124+F130+F136+F144+F150</f>
        <v>0</v>
      </c>
      <c r="G151" s="626"/>
      <c r="H151" s="626"/>
      <c r="I151" s="626"/>
      <c r="J151" s="626"/>
      <c r="K151" s="625">
        <f>K69+K75+K81+K87+K94+K100+K106+K112+K118+K124+K130+K136+K144+K150</f>
        <v>0</v>
      </c>
      <c r="L151" s="627" t="e">
        <f>K151/F151</f>
        <v>#DIV/0!</v>
      </c>
      <c r="M151" s="630"/>
      <c r="N151" s="623"/>
    </row>
    <row r="152" spans="1:14">
      <c r="A152" s="702" t="s">
        <v>40</v>
      </c>
      <c r="B152" s="702"/>
      <c r="C152" s="702"/>
      <c r="D152" s="702"/>
      <c r="E152" s="702"/>
      <c r="F152" s="657"/>
      <c r="G152" s="657"/>
      <c r="H152" s="657"/>
      <c r="I152" s="714"/>
      <c r="J152" s="657"/>
      <c r="K152" s="850" t="s">
        <v>1210</v>
      </c>
      <c r="L152" s="850"/>
      <c r="M152" s="850"/>
      <c r="N152" s="657"/>
    </row>
    <row r="153" spans="1:14">
      <c r="A153" s="647" t="s">
        <v>0</v>
      </c>
      <c r="B153" s="647" t="s">
        <v>7</v>
      </c>
      <c r="C153" s="647" t="s">
        <v>13</v>
      </c>
      <c r="D153" s="647" t="s">
        <v>14</v>
      </c>
      <c r="E153" s="647" t="s">
        <v>8</v>
      </c>
      <c r="F153" s="647" t="s">
        <v>1</v>
      </c>
      <c r="G153" s="647" t="s">
        <v>2</v>
      </c>
      <c r="H153" s="647" t="s">
        <v>15</v>
      </c>
      <c r="I153" s="715" t="s">
        <v>3</v>
      </c>
      <c r="J153" s="647" t="s">
        <v>4</v>
      </c>
      <c r="K153" s="647" t="s">
        <v>5</v>
      </c>
      <c r="L153" s="647" t="s">
        <v>12</v>
      </c>
      <c r="M153" s="647" t="s">
        <v>6</v>
      </c>
      <c r="N153" s="658"/>
    </row>
    <row r="154" spans="1:14">
      <c r="A154" s="178">
        <v>5495</v>
      </c>
      <c r="B154" s="178" t="s">
        <v>628</v>
      </c>
      <c r="C154" s="178" t="s">
        <v>386</v>
      </c>
      <c r="D154" s="178" t="s">
        <v>681</v>
      </c>
      <c r="E154" s="178" t="s">
        <v>262</v>
      </c>
      <c r="F154" s="619"/>
      <c r="G154" s="178" t="s">
        <v>27</v>
      </c>
      <c r="H154" s="192"/>
      <c r="I154" s="554"/>
      <c r="J154" s="614">
        <v>22</v>
      </c>
      <c r="K154" s="614">
        <f t="shared" ref="K154:K157" si="30">I154*J154</f>
        <v>0</v>
      </c>
      <c r="L154" s="153"/>
      <c r="M154" s="121"/>
      <c r="N154" s="648"/>
    </row>
    <row r="155" spans="1:14">
      <c r="A155" s="121"/>
      <c r="B155" s="121"/>
      <c r="C155" s="121"/>
      <c r="D155" s="121"/>
      <c r="E155" s="121"/>
      <c r="F155" s="121"/>
      <c r="G155" s="179" t="s">
        <v>49</v>
      </c>
      <c r="H155" s="192"/>
      <c r="I155" s="554"/>
      <c r="J155" s="614">
        <v>34</v>
      </c>
      <c r="K155" s="614">
        <f t="shared" si="30"/>
        <v>0</v>
      </c>
      <c r="L155" s="153"/>
      <c r="M155" s="121"/>
      <c r="N155" s="648"/>
    </row>
    <row r="156" spans="1:14">
      <c r="A156" s="121"/>
      <c r="B156" s="121"/>
      <c r="C156" s="121"/>
      <c r="D156" s="121"/>
      <c r="E156" s="121"/>
      <c r="F156" s="121"/>
      <c r="G156" s="178" t="s">
        <v>19</v>
      </c>
      <c r="H156" s="192"/>
      <c r="I156" s="554"/>
      <c r="J156" s="614">
        <v>80</v>
      </c>
      <c r="K156" s="614">
        <f t="shared" si="30"/>
        <v>0</v>
      </c>
      <c r="L156" s="153"/>
      <c r="M156" s="121"/>
      <c r="N156" s="648"/>
    </row>
    <row r="157" spans="1:14">
      <c r="A157" s="121"/>
      <c r="B157" s="121"/>
      <c r="C157" s="121"/>
      <c r="D157" s="121"/>
      <c r="E157" s="121"/>
      <c r="F157" s="121"/>
      <c r="G157" s="178" t="s">
        <v>682</v>
      </c>
      <c r="H157" s="192"/>
      <c r="I157" s="554"/>
      <c r="J157" s="614">
        <v>172</v>
      </c>
      <c r="K157" s="614">
        <f t="shared" si="30"/>
        <v>0</v>
      </c>
      <c r="L157" s="153"/>
      <c r="M157" s="121"/>
      <c r="N157" s="648"/>
    </row>
    <row r="158" spans="1:14">
      <c r="A158" s="178"/>
      <c r="B158" s="121"/>
      <c r="C158" s="121"/>
      <c r="D158" s="121"/>
      <c r="E158" s="647" t="s">
        <v>9</v>
      </c>
      <c r="F158" s="706">
        <f>SUM(F154:F157)</f>
        <v>0</v>
      </c>
      <c r="G158" s="647"/>
      <c r="H158" s="647"/>
      <c r="I158" s="707"/>
      <c r="J158" s="708"/>
      <c r="K158" s="60">
        <f>SUM(K154:K157)</f>
        <v>0</v>
      </c>
      <c r="L158" s="175" t="e">
        <f>K158/F158</f>
        <v>#DIV/0!</v>
      </c>
      <c r="M158" s="491"/>
      <c r="N158" s="657"/>
    </row>
    <row r="159" spans="1:14">
      <c r="A159" s="178">
        <v>5467</v>
      </c>
      <c r="B159" s="178" t="s">
        <v>541</v>
      </c>
      <c r="C159" s="178" t="s">
        <v>267</v>
      </c>
      <c r="D159" s="178" t="s">
        <v>524</v>
      </c>
      <c r="E159" s="178" t="s">
        <v>126</v>
      </c>
      <c r="F159" s="621"/>
      <c r="G159" s="178" t="s">
        <v>27</v>
      </c>
      <c r="H159" s="192"/>
      <c r="I159" s="554"/>
      <c r="J159" s="614">
        <v>22</v>
      </c>
      <c r="K159" s="614">
        <f t="shared" ref="K159:K161" si="31">I159*J159</f>
        <v>0</v>
      </c>
      <c r="L159" s="153"/>
      <c r="M159" s="121"/>
      <c r="N159" s="648"/>
    </row>
    <row r="160" spans="1:14">
      <c r="A160" s="178"/>
      <c r="B160" s="121"/>
      <c r="C160" s="121"/>
      <c r="D160" s="121"/>
      <c r="E160" s="121"/>
      <c r="F160" s="121"/>
      <c r="G160" s="179" t="s">
        <v>49</v>
      </c>
      <c r="H160" s="192"/>
      <c r="I160" s="554"/>
      <c r="J160" s="614">
        <v>34</v>
      </c>
      <c r="K160" s="614">
        <f t="shared" si="31"/>
        <v>0</v>
      </c>
      <c r="L160" s="153"/>
      <c r="M160" s="121"/>
      <c r="N160" s="648"/>
    </row>
    <row r="161" spans="1:14">
      <c r="A161" s="178"/>
      <c r="B161" s="121"/>
      <c r="C161" s="121"/>
      <c r="D161" s="121"/>
      <c r="E161" s="121"/>
      <c r="F161" s="121"/>
      <c r="G161" s="178" t="s">
        <v>19</v>
      </c>
      <c r="H161" s="192"/>
      <c r="I161" s="554"/>
      <c r="J161" s="614">
        <v>80</v>
      </c>
      <c r="K161" s="614">
        <f t="shared" si="31"/>
        <v>0</v>
      </c>
      <c r="L161" s="153"/>
      <c r="M161" s="121"/>
      <c r="N161" s="648"/>
    </row>
    <row r="162" spans="1:14">
      <c r="A162" s="178"/>
      <c r="B162" s="121"/>
      <c r="C162" s="121"/>
      <c r="D162" s="121"/>
      <c r="E162" s="647" t="s">
        <v>9</v>
      </c>
      <c r="F162" s="706">
        <f>SUM(F159:F161)</f>
        <v>0</v>
      </c>
      <c r="G162" s="647"/>
      <c r="H162" s="647"/>
      <c r="I162" s="707"/>
      <c r="J162" s="708"/>
      <c r="K162" s="60">
        <f>SUM(K159:K161)</f>
        <v>0</v>
      </c>
      <c r="L162" s="175" t="e">
        <f>K162/F162</f>
        <v>#DIV/0!</v>
      </c>
      <c r="M162" s="491"/>
      <c r="N162" s="657"/>
    </row>
    <row r="163" spans="1:14">
      <c r="A163" s="178">
        <v>5476</v>
      </c>
      <c r="B163" s="178" t="s">
        <v>543</v>
      </c>
      <c r="C163" s="629" t="s">
        <v>455</v>
      </c>
      <c r="D163" s="629" t="s">
        <v>568</v>
      </c>
      <c r="E163" s="178" t="s">
        <v>102</v>
      </c>
      <c r="F163" s="638"/>
      <c r="G163" s="178" t="s">
        <v>27</v>
      </c>
      <c r="H163" s="192"/>
      <c r="I163" s="554"/>
      <c r="J163" s="614">
        <v>22</v>
      </c>
      <c r="K163" s="614">
        <f t="shared" ref="K163:K165" si="32">I163*J163</f>
        <v>0</v>
      </c>
      <c r="L163" s="153"/>
      <c r="M163" s="121"/>
      <c r="N163" s="648"/>
    </row>
    <row r="164" spans="1:14">
      <c r="A164" s="178"/>
      <c r="B164" s="121"/>
      <c r="C164" s="121"/>
      <c r="D164" s="121"/>
      <c r="E164" s="121"/>
      <c r="F164" s="121"/>
      <c r="G164" s="179" t="s">
        <v>49</v>
      </c>
      <c r="H164" s="192"/>
      <c r="I164" s="554"/>
      <c r="J164" s="614">
        <v>34</v>
      </c>
      <c r="K164" s="614">
        <f t="shared" si="32"/>
        <v>0</v>
      </c>
      <c r="L164" s="153"/>
      <c r="M164" s="121"/>
      <c r="N164" s="648"/>
    </row>
    <row r="165" spans="1:14">
      <c r="A165" s="178"/>
      <c r="B165" s="121"/>
      <c r="C165" s="121"/>
      <c r="D165" s="121"/>
      <c r="E165" s="121"/>
      <c r="F165" s="121"/>
      <c r="G165" s="178" t="s">
        <v>19</v>
      </c>
      <c r="H165" s="192"/>
      <c r="I165" s="554"/>
      <c r="J165" s="614">
        <v>80</v>
      </c>
      <c r="K165" s="614">
        <f t="shared" si="32"/>
        <v>0</v>
      </c>
      <c r="L165" s="153"/>
      <c r="M165" s="121"/>
      <c r="N165" s="648"/>
    </row>
    <row r="166" spans="1:14">
      <c r="A166" s="178"/>
      <c r="B166" s="121"/>
      <c r="C166" s="121"/>
      <c r="D166" s="121"/>
      <c r="E166" s="647" t="s">
        <v>9</v>
      </c>
      <c r="F166" s="706">
        <f>SUM(F163:F165)</f>
        <v>0</v>
      </c>
      <c r="G166" s="647"/>
      <c r="H166" s="647"/>
      <c r="I166" s="707"/>
      <c r="J166" s="708"/>
      <c r="K166" s="60">
        <f>SUM(K163:K165)</f>
        <v>0</v>
      </c>
      <c r="L166" s="175" t="e">
        <f>K166/F166</f>
        <v>#DIV/0!</v>
      </c>
      <c r="M166" s="121"/>
      <c r="N166" s="648"/>
    </row>
    <row r="167" spans="1:14">
      <c r="A167" s="178">
        <v>5475</v>
      </c>
      <c r="B167" s="178" t="s">
        <v>277</v>
      </c>
      <c r="C167" s="248" t="s">
        <v>269</v>
      </c>
      <c r="D167" s="248"/>
      <c r="E167" s="121"/>
      <c r="F167" s="638"/>
      <c r="G167" s="178" t="s">
        <v>27</v>
      </c>
      <c r="H167" s="192"/>
      <c r="I167" s="554"/>
      <c r="J167" s="614">
        <v>22</v>
      </c>
      <c r="K167" s="614">
        <f t="shared" ref="K167:K169" si="33">I167*J167</f>
        <v>0</v>
      </c>
      <c r="L167" s="153"/>
      <c r="M167" s="121"/>
      <c r="N167" s="648"/>
    </row>
    <row r="168" spans="1:14">
      <c r="A168" s="121"/>
      <c r="B168" s="121"/>
      <c r="C168" s="121"/>
      <c r="D168" s="121"/>
      <c r="E168" s="121"/>
      <c r="F168" s="121"/>
      <c r="G168" s="179" t="s">
        <v>49</v>
      </c>
      <c r="H168" s="192"/>
      <c r="I168" s="554"/>
      <c r="J168" s="614">
        <v>34</v>
      </c>
      <c r="K168" s="614">
        <f t="shared" si="33"/>
        <v>0</v>
      </c>
      <c r="L168" s="153"/>
      <c r="M168" s="121"/>
      <c r="N168" s="648"/>
    </row>
    <row r="169" spans="1:14">
      <c r="A169" s="121"/>
      <c r="B169" s="121"/>
      <c r="C169" s="121"/>
      <c r="D169" s="121"/>
      <c r="E169" s="121"/>
      <c r="F169" s="121"/>
      <c r="G169" s="178" t="s">
        <v>19</v>
      </c>
      <c r="H169" s="192"/>
      <c r="I169" s="554"/>
      <c r="J169" s="614">
        <v>80</v>
      </c>
      <c r="K169" s="614">
        <f t="shared" si="33"/>
        <v>0</v>
      </c>
      <c r="L169" s="153"/>
      <c r="M169" s="121"/>
      <c r="N169" s="648"/>
    </row>
    <row r="170" spans="1:14" s="71" customFormat="1">
      <c r="A170" s="153"/>
      <c r="B170" s="153"/>
      <c r="C170" s="153"/>
      <c r="D170" s="153"/>
      <c r="E170" s="593" t="s">
        <v>9</v>
      </c>
      <c r="F170" s="726">
        <f>SUM(F167:F169)</f>
        <v>0</v>
      </c>
      <c r="G170" s="593"/>
      <c r="H170" s="593"/>
      <c r="I170" s="725"/>
      <c r="J170" s="660"/>
      <c r="K170" s="175">
        <f>SUM(K167:K169)</f>
        <v>0</v>
      </c>
      <c r="L170" s="175" t="e">
        <f>K170/F170</f>
        <v>#DIV/0!</v>
      </c>
      <c r="M170" s="153"/>
      <c r="N170" s="610"/>
    </row>
    <row r="171" spans="1:14" s="71" customFormat="1">
      <c r="A171" s="727"/>
      <c r="B171" s="727"/>
      <c r="C171" s="727"/>
      <c r="D171" s="728" t="s">
        <v>30</v>
      </c>
      <c r="E171" s="745"/>
      <c r="F171" s="729">
        <f>F158+F162+F166+F170</f>
        <v>0</v>
      </c>
      <c r="G171" s="730"/>
      <c r="H171" s="730"/>
      <c r="I171" s="730"/>
      <c r="J171" s="730"/>
      <c r="K171" s="729">
        <f>K158+K162+K166+K170</f>
        <v>0</v>
      </c>
      <c r="L171" s="731" t="e">
        <f>K171/F171</f>
        <v>#DIV/0!</v>
      </c>
      <c r="M171" s="732"/>
      <c r="N171" s="618"/>
    </row>
    <row r="172" spans="1:14">
      <c r="A172" s="702" t="s">
        <v>11</v>
      </c>
      <c r="B172" s="702"/>
      <c r="C172" s="702"/>
      <c r="D172" s="702"/>
      <c r="E172" s="702"/>
      <c r="F172" s="657"/>
      <c r="G172" s="657"/>
      <c r="H172" s="657"/>
      <c r="I172" s="657"/>
      <c r="J172" s="657"/>
      <c r="K172" s="850" t="s">
        <v>1210</v>
      </c>
      <c r="L172" s="850"/>
      <c r="M172" s="850"/>
      <c r="N172" s="657"/>
    </row>
    <row r="173" spans="1:14">
      <c r="A173" s="647" t="s">
        <v>0</v>
      </c>
      <c r="B173" s="647" t="s">
        <v>7</v>
      </c>
      <c r="C173" s="647" t="s">
        <v>13</v>
      </c>
      <c r="D173" s="647" t="s">
        <v>14</v>
      </c>
      <c r="E173" s="647" t="s">
        <v>8</v>
      </c>
      <c r="F173" s="647" t="s">
        <v>1</v>
      </c>
      <c r="G173" s="647" t="s">
        <v>2</v>
      </c>
      <c r="H173" s="647" t="s">
        <v>15</v>
      </c>
      <c r="I173" s="647" t="s">
        <v>3</v>
      </c>
      <c r="J173" s="647" t="s">
        <v>4</v>
      </c>
      <c r="K173" s="647" t="s">
        <v>5</v>
      </c>
      <c r="L173" s="647" t="s">
        <v>12</v>
      </c>
      <c r="M173" s="647" t="s">
        <v>6</v>
      </c>
      <c r="N173" s="658"/>
    </row>
    <row r="174" spans="1:14">
      <c r="A174" s="178">
        <v>5757</v>
      </c>
      <c r="B174" s="178" t="s">
        <v>277</v>
      </c>
      <c r="C174" s="248" t="s">
        <v>269</v>
      </c>
      <c r="D174" s="248"/>
      <c r="E174" s="121"/>
      <c r="F174" s="638"/>
      <c r="G174" s="179" t="s">
        <v>298</v>
      </c>
      <c r="H174" s="192"/>
      <c r="I174" s="554"/>
      <c r="J174" s="614">
        <v>435</v>
      </c>
      <c r="K174" s="633">
        <f t="shared" ref="K174:K176" si="34">I174*J174</f>
        <v>0</v>
      </c>
      <c r="L174" s="192"/>
      <c r="M174" s="491"/>
      <c r="N174" s="657"/>
    </row>
    <row r="175" spans="1:14">
      <c r="A175" s="178"/>
      <c r="B175" s="121"/>
      <c r="C175" s="121"/>
      <c r="D175" s="121"/>
      <c r="E175" s="121"/>
      <c r="F175" s="703"/>
      <c r="G175" s="179" t="s">
        <v>206</v>
      </c>
      <c r="H175" s="192"/>
      <c r="I175" s="614"/>
      <c r="J175" s="614">
        <v>375</v>
      </c>
      <c r="K175" s="614">
        <f t="shared" si="34"/>
        <v>0</v>
      </c>
      <c r="L175" s="192"/>
      <c r="M175" s="491"/>
      <c r="N175" s="657"/>
    </row>
    <row r="176" spans="1:14">
      <c r="A176" s="178"/>
      <c r="B176" s="121"/>
      <c r="C176" s="121"/>
      <c r="D176" s="121"/>
      <c r="E176" s="121"/>
      <c r="F176" s="703"/>
      <c r="G176" s="640" t="s">
        <v>204</v>
      </c>
      <c r="H176" s="192"/>
      <c r="I176" s="614"/>
      <c r="J176" s="152">
        <v>375</v>
      </c>
      <c r="K176" s="614">
        <f t="shared" si="34"/>
        <v>0</v>
      </c>
      <c r="L176" s="192"/>
      <c r="M176" s="491"/>
      <c r="N176" s="657"/>
    </row>
    <row r="177" spans="1:14">
      <c r="A177" s="178"/>
      <c r="B177" s="121"/>
      <c r="C177" s="121"/>
      <c r="D177" s="121"/>
      <c r="E177" s="647" t="s">
        <v>9</v>
      </c>
      <c r="F177" s="706">
        <f>SUM(F174:F176)</f>
        <v>0</v>
      </c>
      <c r="G177" s="647"/>
      <c r="H177" s="647"/>
      <c r="I177" s="708"/>
      <c r="J177" s="708"/>
      <c r="K177" s="60">
        <f>SUM(K174:K176)</f>
        <v>0</v>
      </c>
      <c r="L177" s="60" t="e">
        <f>K177/F177</f>
        <v>#DIV/0!</v>
      </c>
      <c r="M177" s="491"/>
      <c r="N177" s="657"/>
    </row>
    <row r="178" spans="1:14">
      <c r="A178" s="178">
        <v>5754</v>
      </c>
      <c r="B178" s="178" t="s">
        <v>543</v>
      </c>
      <c r="C178" s="629" t="s">
        <v>455</v>
      </c>
      <c r="D178" s="629" t="s">
        <v>568</v>
      </c>
      <c r="E178" s="178" t="s">
        <v>102</v>
      </c>
      <c r="F178" s="638"/>
      <c r="G178" s="179" t="s">
        <v>298</v>
      </c>
      <c r="H178" s="192"/>
      <c r="I178" s="554"/>
      <c r="J178" s="614">
        <v>435</v>
      </c>
      <c r="K178" s="633">
        <f t="shared" ref="K178:K180" si="35">I178*J178</f>
        <v>0</v>
      </c>
      <c r="L178" s="192"/>
      <c r="M178" s="491"/>
      <c r="N178" s="657"/>
    </row>
    <row r="179" spans="1:14">
      <c r="A179" s="178"/>
      <c r="B179" s="121"/>
      <c r="C179" s="121"/>
      <c r="D179" s="121"/>
      <c r="E179" s="121"/>
      <c r="F179" s="703"/>
      <c r="G179" s="179" t="s">
        <v>206</v>
      </c>
      <c r="H179" s="192"/>
      <c r="I179" s="614"/>
      <c r="J179" s="614">
        <v>375</v>
      </c>
      <c r="K179" s="614">
        <f t="shared" si="35"/>
        <v>0</v>
      </c>
      <c r="L179" s="192"/>
      <c r="M179" s="491"/>
      <c r="N179" s="657"/>
    </row>
    <row r="180" spans="1:14">
      <c r="A180" s="178"/>
      <c r="B180" s="121"/>
      <c r="C180" s="121"/>
      <c r="D180" s="121"/>
      <c r="E180" s="121"/>
      <c r="F180" s="703"/>
      <c r="G180" s="640" t="s">
        <v>204</v>
      </c>
      <c r="H180" s="192"/>
      <c r="I180" s="614"/>
      <c r="J180" s="152">
        <v>375</v>
      </c>
      <c r="K180" s="614">
        <f t="shared" si="35"/>
        <v>0</v>
      </c>
      <c r="L180" s="192"/>
      <c r="M180" s="491"/>
      <c r="N180" s="657"/>
    </row>
    <row r="181" spans="1:14">
      <c r="A181" s="178"/>
      <c r="B181" s="121"/>
      <c r="C181" s="121"/>
      <c r="D181" s="121"/>
      <c r="E181" s="647" t="s">
        <v>9</v>
      </c>
      <c r="F181" s="706">
        <f>SUM(F178:F178)</f>
        <v>0</v>
      </c>
      <c r="G181" s="647"/>
      <c r="H181" s="647"/>
      <c r="I181" s="708"/>
      <c r="J181" s="708"/>
      <c r="K181" s="60">
        <f>SUM(K178:K180)</f>
        <v>0</v>
      </c>
      <c r="L181" s="60" t="e">
        <f>K181/F181</f>
        <v>#DIV/0!</v>
      </c>
      <c r="M181" s="491"/>
      <c r="N181" s="657"/>
    </row>
    <row r="182" spans="1:14">
      <c r="A182" s="178">
        <v>5756</v>
      </c>
      <c r="B182" s="178" t="s">
        <v>565</v>
      </c>
      <c r="C182" s="178" t="s">
        <v>555</v>
      </c>
      <c r="D182" s="178" t="s">
        <v>556</v>
      </c>
      <c r="E182" s="178" t="s">
        <v>262</v>
      </c>
      <c r="F182" s="638"/>
      <c r="G182" s="179" t="s">
        <v>298</v>
      </c>
      <c r="H182" s="192"/>
      <c r="I182" s="554"/>
      <c r="J182" s="614">
        <v>435</v>
      </c>
      <c r="K182" s="633">
        <f t="shared" ref="K182:K183" si="36">I182*J182</f>
        <v>0</v>
      </c>
      <c r="L182" s="491"/>
      <c r="M182" s="491"/>
      <c r="N182" s="657"/>
    </row>
    <row r="183" spans="1:14">
      <c r="A183" s="178"/>
      <c r="B183" s="121"/>
      <c r="C183" s="121"/>
      <c r="D183" s="121"/>
      <c r="E183" s="121"/>
      <c r="F183" s="703"/>
      <c r="G183" s="179" t="s">
        <v>206</v>
      </c>
      <c r="H183" s="192"/>
      <c r="I183" s="614"/>
      <c r="J183" s="614">
        <v>375</v>
      </c>
      <c r="K183" s="614">
        <f t="shared" si="36"/>
        <v>0</v>
      </c>
      <c r="L183" s="491"/>
      <c r="M183" s="491"/>
      <c r="N183" s="657"/>
    </row>
    <row r="184" spans="1:14">
      <c r="A184" s="178"/>
      <c r="B184" s="121"/>
      <c r="C184" s="121"/>
      <c r="D184" s="121"/>
      <c r="E184" s="647" t="s">
        <v>9</v>
      </c>
      <c r="F184" s="706">
        <f>SUM(F182:F183)</f>
        <v>0</v>
      </c>
      <c r="G184" s="647"/>
      <c r="H184" s="647"/>
      <c r="I184" s="708"/>
      <c r="J184" s="708"/>
      <c r="K184" s="60">
        <f>SUM(K182:K183)</f>
        <v>0</v>
      </c>
      <c r="L184" s="60" t="e">
        <f>K184/F184</f>
        <v>#DIV/0!</v>
      </c>
      <c r="M184" s="491"/>
      <c r="N184" s="657"/>
    </row>
    <row r="185" spans="1:14">
      <c r="A185" s="178">
        <v>5752</v>
      </c>
      <c r="B185" s="178" t="s">
        <v>559</v>
      </c>
      <c r="C185" s="629" t="s">
        <v>455</v>
      </c>
      <c r="D185" s="629" t="s">
        <v>568</v>
      </c>
      <c r="E185" s="178" t="s">
        <v>257</v>
      </c>
      <c r="F185" s="638"/>
      <c r="G185" s="179" t="s">
        <v>298</v>
      </c>
      <c r="H185" s="192"/>
      <c r="I185" s="554"/>
      <c r="J185" s="614">
        <v>435</v>
      </c>
      <c r="K185" s="633">
        <f t="shared" ref="K185" si="37">I185*J185</f>
        <v>0</v>
      </c>
      <c r="L185" s="491"/>
      <c r="M185" s="491"/>
      <c r="N185" s="657"/>
    </row>
    <row r="186" spans="1:14">
      <c r="A186" s="178"/>
      <c r="B186" s="178"/>
      <c r="C186" s="178"/>
      <c r="D186" s="178" t="s">
        <v>230</v>
      </c>
      <c r="E186" s="178"/>
      <c r="F186" s="178"/>
      <c r="G186" s="248"/>
      <c r="H186" s="641"/>
      <c r="I186" s="642"/>
      <c r="J186" s="643"/>
      <c r="K186" s="643"/>
      <c r="L186" s="491"/>
      <c r="M186" s="491"/>
      <c r="N186" s="657"/>
    </row>
    <row r="187" spans="1:14">
      <c r="A187" s="178"/>
      <c r="B187" s="121"/>
      <c r="C187" s="121"/>
      <c r="D187" s="121"/>
      <c r="E187" s="647" t="s">
        <v>9</v>
      </c>
      <c r="F187" s="706">
        <f>SUM(F185:F186)</f>
        <v>0</v>
      </c>
      <c r="G187" s="647"/>
      <c r="H187" s="647"/>
      <c r="I187" s="708"/>
      <c r="J187" s="708"/>
      <c r="K187" s="60">
        <f>SUM(K185:K186)</f>
        <v>0</v>
      </c>
      <c r="L187" s="60" t="e">
        <f>K187/F187</f>
        <v>#DIV/0!</v>
      </c>
      <c r="M187" s="491"/>
      <c r="N187" s="657"/>
    </row>
    <row r="188" spans="1:14">
      <c r="A188" s="178">
        <v>5697</v>
      </c>
      <c r="B188" s="178" t="s">
        <v>627</v>
      </c>
      <c r="C188" s="178" t="s">
        <v>121</v>
      </c>
      <c r="D188" s="178" t="s">
        <v>442</v>
      </c>
      <c r="E188" s="178" t="s">
        <v>443</v>
      </c>
      <c r="F188" s="621"/>
      <c r="G188" s="179" t="s">
        <v>298</v>
      </c>
      <c r="H188" s="192"/>
      <c r="I188" s="554"/>
      <c r="J188" s="614">
        <v>435</v>
      </c>
      <c r="K188" s="633">
        <f t="shared" ref="K188:K189" si="38">I188*J188</f>
        <v>0</v>
      </c>
      <c r="L188" s="491"/>
      <c r="M188" s="491"/>
      <c r="N188" s="657"/>
    </row>
    <row r="189" spans="1:14">
      <c r="A189" s="178"/>
      <c r="B189" s="121"/>
      <c r="C189" s="121"/>
      <c r="D189" s="121"/>
      <c r="E189" s="121"/>
      <c r="F189" s="703"/>
      <c r="G189" s="179" t="s">
        <v>206</v>
      </c>
      <c r="H189" s="192"/>
      <c r="I189" s="614"/>
      <c r="J189" s="614">
        <v>375</v>
      </c>
      <c r="K189" s="614">
        <f t="shared" si="38"/>
        <v>0</v>
      </c>
      <c r="L189" s="491"/>
      <c r="M189" s="491"/>
      <c r="N189" s="657"/>
    </row>
    <row r="190" spans="1:14">
      <c r="A190" s="178"/>
      <c r="B190" s="121"/>
      <c r="C190" s="121"/>
      <c r="D190" s="121"/>
      <c r="E190" s="647" t="s">
        <v>9</v>
      </c>
      <c r="F190" s="706">
        <f>SUM(F188:F189)</f>
        <v>0</v>
      </c>
      <c r="G190" s="647"/>
      <c r="H190" s="647"/>
      <c r="I190" s="708"/>
      <c r="J190" s="708"/>
      <c r="K190" s="60">
        <f>SUM(K188:K189)</f>
        <v>0</v>
      </c>
      <c r="L190" s="60" t="e">
        <f>K190/F190</f>
        <v>#DIV/0!</v>
      </c>
      <c r="M190" s="491"/>
      <c r="N190" s="657"/>
    </row>
    <row r="191" spans="1:14">
      <c r="A191" s="178">
        <v>5698</v>
      </c>
      <c r="B191" s="178" t="s">
        <v>476</v>
      </c>
      <c r="C191" s="178" t="s">
        <v>268</v>
      </c>
      <c r="D191" s="178" t="s">
        <v>124</v>
      </c>
      <c r="E191" s="178" t="s">
        <v>232</v>
      </c>
      <c r="F191" s="619"/>
      <c r="G191" s="179" t="s">
        <v>298</v>
      </c>
      <c r="H191" s="192"/>
      <c r="I191" s="554"/>
      <c r="J191" s="614">
        <v>435</v>
      </c>
      <c r="K191" s="633">
        <f t="shared" ref="K191:K192" si="39">I191*J191</f>
        <v>0</v>
      </c>
      <c r="L191" s="491"/>
      <c r="M191" s="491"/>
      <c r="N191" s="657"/>
    </row>
    <row r="192" spans="1:14">
      <c r="A192" s="178"/>
      <c r="B192" s="121"/>
      <c r="C192" s="121"/>
      <c r="D192" s="121"/>
      <c r="E192" s="121"/>
      <c r="F192" s="703"/>
      <c r="G192" s="178" t="s">
        <v>202</v>
      </c>
      <c r="H192" s="192"/>
      <c r="I192" s="717"/>
      <c r="J192" s="614">
        <v>386</v>
      </c>
      <c r="K192" s="614">
        <f t="shared" si="39"/>
        <v>0</v>
      </c>
      <c r="L192" s="491"/>
      <c r="M192" s="491"/>
      <c r="N192" s="657"/>
    </row>
    <row r="193" spans="1:14">
      <c r="A193" s="121"/>
      <c r="B193" s="121"/>
      <c r="C193" s="121"/>
      <c r="D193" s="121"/>
      <c r="E193" s="647" t="s">
        <v>9</v>
      </c>
      <c r="F193" s="706">
        <f>SUM(F191:F192)</f>
        <v>0</v>
      </c>
      <c r="G193" s="647"/>
      <c r="H193" s="647"/>
      <c r="I193" s="708"/>
      <c r="J193" s="708"/>
      <c r="K193" s="60">
        <f>SUM(K191:K192)</f>
        <v>0</v>
      </c>
      <c r="L193" s="60" t="e">
        <f>K193/F193</f>
        <v>#DIV/0!</v>
      </c>
      <c r="M193" s="491"/>
      <c r="N193" s="657"/>
    </row>
    <row r="194" spans="1:14">
      <c r="A194" s="178">
        <v>5758</v>
      </c>
      <c r="B194" s="178" t="s">
        <v>649</v>
      </c>
      <c r="C194" s="178" t="s">
        <v>564</v>
      </c>
      <c r="D194" s="178" t="s">
        <v>510</v>
      </c>
      <c r="E194" s="178" t="s">
        <v>650</v>
      </c>
      <c r="F194" s="619"/>
      <c r="G194" s="179" t="s">
        <v>298</v>
      </c>
      <c r="H194" s="192"/>
      <c r="I194" s="554"/>
      <c r="J194" s="614">
        <v>435</v>
      </c>
      <c r="K194" s="633">
        <f t="shared" ref="K194:K195" si="40">I194*J194</f>
        <v>0</v>
      </c>
      <c r="L194" s="491"/>
      <c r="M194" s="491"/>
      <c r="N194" s="657"/>
    </row>
    <row r="195" spans="1:14">
      <c r="A195" s="121"/>
      <c r="B195" s="178"/>
      <c r="C195" s="178"/>
      <c r="D195" s="178"/>
      <c r="E195" s="178" t="s">
        <v>247</v>
      </c>
      <c r="F195" s="178"/>
      <c r="G195" s="179" t="s">
        <v>206</v>
      </c>
      <c r="H195" s="192"/>
      <c r="I195" s="614"/>
      <c r="J195" s="614">
        <v>375</v>
      </c>
      <c r="K195" s="614">
        <f t="shared" si="40"/>
        <v>0</v>
      </c>
      <c r="L195" s="491"/>
      <c r="M195" s="491"/>
      <c r="N195" s="657"/>
    </row>
    <row r="196" spans="1:14" s="71" customFormat="1">
      <c r="A196" s="153"/>
      <c r="B196" s="153"/>
      <c r="C196" s="153"/>
      <c r="D196" s="153"/>
      <c r="E196" s="593" t="s">
        <v>9</v>
      </c>
      <c r="F196" s="726">
        <f>SUM(F194:F195)</f>
        <v>0</v>
      </c>
      <c r="G196" s="593"/>
      <c r="H196" s="593"/>
      <c r="I196" s="660"/>
      <c r="J196" s="660"/>
      <c r="K196" s="175">
        <f>SUM(K194:K195)</f>
        <v>0</v>
      </c>
      <c r="L196" s="175" t="e">
        <f>K196/F196</f>
        <v>#DIV/0!</v>
      </c>
      <c r="M196" s="104"/>
      <c r="N196" s="618"/>
    </row>
    <row r="197" spans="1:14" s="71" customFormat="1">
      <c r="A197" s="618"/>
      <c r="B197" s="618"/>
      <c r="C197" s="618"/>
      <c r="D197" s="728" t="s">
        <v>30</v>
      </c>
      <c r="E197" s="728"/>
      <c r="F197" s="729">
        <f>F177+F181+F184+F187+F190+F193+F196</f>
        <v>0</v>
      </c>
      <c r="G197" s="730"/>
      <c r="H197" s="730"/>
      <c r="I197" s="730"/>
      <c r="J197" s="730"/>
      <c r="K197" s="729">
        <f>K177+K181+K184+K187+K190+K193+K196</f>
        <v>0</v>
      </c>
      <c r="L197" s="731" t="e">
        <f>K197/F197</f>
        <v>#DIV/0!</v>
      </c>
      <c r="M197" s="618"/>
      <c r="N197" s="618"/>
    </row>
    <row r="198" spans="1:14">
      <c r="A198" s="849" t="s">
        <v>42</v>
      </c>
      <c r="B198" s="849"/>
      <c r="C198" s="702"/>
      <c r="D198" s="702"/>
      <c r="E198" s="702"/>
      <c r="F198" s="657"/>
      <c r="G198" s="657"/>
      <c r="H198" s="657"/>
      <c r="I198" s="657"/>
      <c r="J198" s="657"/>
      <c r="K198" s="850" t="s">
        <v>1210</v>
      </c>
      <c r="L198" s="850"/>
      <c r="M198" s="850"/>
      <c r="N198" s="657"/>
    </row>
    <row r="199" spans="1:14">
      <c r="A199" s="593" t="s">
        <v>0</v>
      </c>
      <c r="B199" s="593" t="s">
        <v>7</v>
      </c>
      <c r="C199" s="593" t="s">
        <v>13</v>
      </c>
      <c r="D199" s="593" t="s">
        <v>14</v>
      </c>
      <c r="E199" s="593" t="s">
        <v>8</v>
      </c>
      <c r="F199" s="593" t="s">
        <v>1</v>
      </c>
      <c r="G199" s="593" t="s">
        <v>2</v>
      </c>
      <c r="H199" s="593" t="s">
        <v>15</v>
      </c>
      <c r="I199" s="593" t="s">
        <v>3</v>
      </c>
      <c r="J199" s="593" t="s">
        <v>4</v>
      </c>
      <c r="K199" s="593" t="s">
        <v>5</v>
      </c>
      <c r="L199" s="593" t="s">
        <v>12</v>
      </c>
      <c r="M199" s="593" t="s">
        <v>6</v>
      </c>
      <c r="N199" s="658"/>
    </row>
    <row r="200" spans="1:14">
      <c r="A200" s="178">
        <v>4818</v>
      </c>
      <c r="B200" s="178" t="s">
        <v>649</v>
      </c>
      <c r="C200" s="178" t="s">
        <v>564</v>
      </c>
      <c r="D200" s="178" t="s">
        <v>510</v>
      </c>
      <c r="E200" s="178" t="s">
        <v>650</v>
      </c>
      <c r="F200" s="619"/>
      <c r="G200" s="640" t="s">
        <v>209</v>
      </c>
      <c r="H200" s="192"/>
      <c r="I200" s="554"/>
      <c r="J200" s="614">
        <v>350</v>
      </c>
      <c r="K200" s="614">
        <f t="shared" ref="K200:K202" si="41">I200*J200</f>
        <v>0</v>
      </c>
      <c r="L200" s="192"/>
      <c r="M200" s="491"/>
      <c r="N200" s="657"/>
    </row>
    <row r="201" spans="1:14">
      <c r="A201" s="121"/>
      <c r="B201" s="178"/>
      <c r="C201" s="178"/>
      <c r="D201" s="178"/>
      <c r="E201" s="178" t="s">
        <v>247</v>
      </c>
      <c r="F201" s="178"/>
      <c r="G201" s="640" t="s">
        <v>466</v>
      </c>
      <c r="H201" s="162"/>
      <c r="I201" s="554"/>
      <c r="J201" s="614">
        <v>790</v>
      </c>
      <c r="K201" s="614">
        <f t="shared" si="41"/>
        <v>0</v>
      </c>
      <c r="L201" s="192"/>
      <c r="M201" s="491"/>
      <c r="N201" s="657"/>
    </row>
    <row r="202" spans="1:14">
      <c r="A202" s="121"/>
      <c r="B202" s="121"/>
      <c r="C202" s="121"/>
      <c r="D202" s="121"/>
      <c r="E202" s="121"/>
      <c r="F202" s="703"/>
      <c r="G202" s="640" t="s">
        <v>123</v>
      </c>
      <c r="H202" s="192"/>
      <c r="I202" s="554"/>
      <c r="J202" s="614">
        <v>750</v>
      </c>
      <c r="K202" s="614">
        <f t="shared" si="41"/>
        <v>0</v>
      </c>
      <c r="L202" s="491"/>
      <c r="M202" s="491"/>
      <c r="N202" s="657"/>
    </row>
    <row r="203" spans="1:14">
      <c r="A203" s="121"/>
      <c r="B203" s="121"/>
      <c r="C203" s="121"/>
      <c r="D203" s="121"/>
      <c r="E203" s="121"/>
      <c r="F203" s="703"/>
      <c r="G203" s="179" t="s">
        <v>211</v>
      </c>
      <c r="H203" s="192"/>
      <c r="I203" s="554"/>
      <c r="J203" s="614">
        <v>120</v>
      </c>
      <c r="K203" s="614">
        <f>I203*J203</f>
        <v>0</v>
      </c>
      <c r="L203" s="491"/>
      <c r="M203" s="491"/>
      <c r="N203" s="657"/>
    </row>
    <row r="204" spans="1:14">
      <c r="A204" s="121"/>
      <c r="B204" s="121"/>
      <c r="C204" s="121"/>
      <c r="D204" s="121"/>
      <c r="E204" s="121"/>
      <c r="F204" s="703"/>
      <c r="G204" s="179" t="s">
        <v>212</v>
      </c>
      <c r="H204" s="192"/>
      <c r="I204" s="554"/>
      <c r="J204" s="614">
        <v>527</v>
      </c>
      <c r="K204" s="614">
        <f t="shared" ref="K204:K206" si="42">I204*J204</f>
        <v>0</v>
      </c>
      <c r="L204" s="491"/>
      <c r="M204" s="491"/>
      <c r="N204" s="657"/>
    </row>
    <row r="205" spans="1:14">
      <c r="A205" s="121"/>
      <c r="B205" s="121"/>
      <c r="C205" s="121"/>
      <c r="D205" s="121"/>
      <c r="E205" s="121"/>
      <c r="F205" s="703"/>
      <c r="G205" s="179" t="s">
        <v>45</v>
      </c>
      <c r="H205" s="192"/>
      <c r="I205" s="554"/>
      <c r="J205" s="614">
        <v>45</v>
      </c>
      <c r="K205" s="614">
        <f t="shared" si="42"/>
        <v>0</v>
      </c>
      <c r="L205" s="491"/>
      <c r="M205" s="491"/>
      <c r="N205" s="657"/>
    </row>
    <row r="206" spans="1:14">
      <c r="A206" s="121"/>
      <c r="B206" s="121"/>
      <c r="C206" s="121"/>
      <c r="D206" s="121"/>
      <c r="E206" s="121"/>
      <c r="F206" s="703"/>
      <c r="G206" s="179" t="s">
        <v>213</v>
      </c>
      <c r="H206" s="192"/>
      <c r="I206" s="554"/>
      <c r="J206" s="614">
        <v>348</v>
      </c>
      <c r="K206" s="614">
        <f t="shared" si="42"/>
        <v>0</v>
      </c>
      <c r="L206" s="491"/>
      <c r="M206" s="491"/>
      <c r="N206" s="657"/>
    </row>
    <row r="207" spans="1:14" s="71" customFormat="1">
      <c r="A207" s="153"/>
      <c r="B207" s="153"/>
      <c r="C207" s="153"/>
      <c r="D207" s="153"/>
      <c r="E207" s="593" t="s">
        <v>9</v>
      </c>
      <c r="F207" s="726">
        <f>SUM(F200:F206)</f>
        <v>0</v>
      </c>
      <c r="G207" s="593"/>
      <c r="H207" s="593"/>
      <c r="I207" s="660"/>
      <c r="J207" s="660"/>
      <c r="K207" s="175">
        <f>SUM(K200:K206)</f>
        <v>0</v>
      </c>
      <c r="L207" s="175" t="e">
        <f>K207/F207</f>
        <v>#DIV/0!</v>
      </c>
      <c r="M207" s="104"/>
      <c r="N207" s="618"/>
    </row>
    <row r="208" spans="1:14">
      <c r="A208" s="153">
        <v>4819</v>
      </c>
      <c r="B208" s="178" t="s">
        <v>444</v>
      </c>
      <c r="C208" s="178" t="s">
        <v>121</v>
      </c>
      <c r="D208" s="178" t="s">
        <v>674</v>
      </c>
      <c r="E208" s="178" t="s">
        <v>93</v>
      </c>
      <c r="F208" s="621"/>
      <c r="G208" s="640" t="s">
        <v>466</v>
      </c>
      <c r="H208" s="162"/>
      <c r="I208" s="554"/>
      <c r="J208" s="614">
        <v>790</v>
      </c>
      <c r="K208" s="614">
        <f t="shared" ref="K208" si="43">I208*J208</f>
        <v>0</v>
      </c>
      <c r="L208" s="104"/>
      <c r="M208" s="491"/>
      <c r="N208" s="657"/>
    </row>
    <row r="209" spans="1:14">
      <c r="A209" s="121"/>
      <c r="B209" s="121"/>
      <c r="C209" s="121"/>
      <c r="D209" s="121"/>
      <c r="E209" s="121"/>
      <c r="F209" s="703"/>
      <c r="G209" s="640" t="s">
        <v>209</v>
      </c>
      <c r="H209" s="192"/>
      <c r="I209" s="554"/>
      <c r="J209" s="614">
        <v>350</v>
      </c>
      <c r="K209" s="614">
        <f t="shared" ref="K209:K215" si="44">I209*J209</f>
        <v>0</v>
      </c>
      <c r="L209" s="104"/>
      <c r="M209" s="59" t="s">
        <v>95</v>
      </c>
      <c r="N209" s="657"/>
    </row>
    <row r="210" spans="1:14">
      <c r="A210" s="121"/>
      <c r="B210" s="121"/>
      <c r="C210" s="121"/>
      <c r="D210" s="121"/>
      <c r="E210" s="121"/>
      <c r="F210" s="703"/>
      <c r="G210" s="640" t="s">
        <v>216</v>
      </c>
      <c r="H210" s="661"/>
      <c r="I210" s="662"/>
      <c r="J210" s="614">
        <v>352</v>
      </c>
      <c r="K210" s="614">
        <f t="shared" si="44"/>
        <v>0</v>
      </c>
      <c r="L210" s="192"/>
      <c r="M210" s="491"/>
      <c r="N210" s="657"/>
    </row>
    <row r="211" spans="1:14">
      <c r="A211" s="121"/>
      <c r="B211" s="121"/>
      <c r="C211" s="121"/>
      <c r="D211" s="121"/>
      <c r="E211" s="121"/>
      <c r="F211" s="703"/>
      <c r="G211" s="640" t="s">
        <v>680</v>
      </c>
      <c r="H211" s="192"/>
      <c r="I211" s="554"/>
      <c r="J211" s="614">
        <v>347</v>
      </c>
      <c r="K211" s="614">
        <f t="shared" si="44"/>
        <v>0</v>
      </c>
      <c r="L211" s="104"/>
      <c r="M211" s="491"/>
      <c r="N211" s="657"/>
    </row>
    <row r="212" spans="1:14">
      <c r="A212" s="121"/>
      <c r="B212" s="121"/>
      <c r="C212" s="121"/>
      <c r="D212" s="121"/>
      <c r="E212" s="121"/>
      <c r="F212" s="703"/>
      <c r="G212" s="640" t="s">
        <v>294</v>
      </c>
      <c r="H212" s="661"/>
      <c r="I212" s="662"/>
      <c r="J212" s="614">
        <v>753</v>
      </c>
      <c r="K212" s="614">
        <f t="shared" si="44"/>
        <v>0</v>
      </c>
      <c r="L212" s="175"/>
      <c r="M212" s="491"/>
      <c r="N212" s="657"/>
    </row>
    <row r="213" spans="1:14">
      <c r="A213" s="121"/>
      <c r="B213" s="121"/>
      <c r="C213" s="121"/>
      <c r="D213" s="121"/>
      <c r="E213" s="121"/>
      <c r="F213" s="703"/>
      <c r="G213" s="640" t="s">
        <v>215</v>
      </c>
      <c r="H213" s="162"/>
      <c r="I213" s="554"/>
      <c r="J213" s="614">
        <v>750</v>
      </c>
      <c r="K213" s="614">
        <f t="shared" si="44"/>
        <v>0</v>
      </c>
      <c r="L213" s="104"/>
      <c r="M213" s="491"/>
      <c r="N213" s="657"/>
    </row>
    <row r="214" spans="1:14">
      <c r="A214" s="121"/>
      <c r="B214" s="121"/>
      <c r="C214" s="121"/>
      <c r="D214" s="121"/>
      <c r="E214" s="121"/>
      <c r="F214" s="703"/>
      <c r="G214" s="746" t="s">
        <v>373</v>
      </c>
      <c r="H214" s="162"/>
      <c r="I214" s="554"/>
      <c r="J214" s="614">
        <v>1200</v>
      </c>
      <c r="K214" s="614">
        <f t="shared" si="44"/>
        <v>0</v>
      </c>
      <c r="L214" s="175"/>
      <c r="M214" s="491"/>
      <c r="N214" s="657"/>
    </row>
    <row r="215" spans="1:14">
      <c r="A215" s="121"/>
      <c r="B215" s="121"/>
      <c r="C215" s="121"/>
      <c r="D215" s="121"/>
      <c r="E215" s="121"/>
      <c r="F215" s="703"/>
      <c r="G215" s="640" t="s">
        <v>677</v>
      </c>
      <c r="H215" s="162"/>
      <c r="I215" s="554"/>
      <c r="J215" s="614">
        <v>680</v>
      </c>
      <c r="K215" s="614">
        <f t="shared" si="44"/>
        <v>0</v>
      </c>
      <c r="L215" s="175"/>
      <c r="M215" s="491"/>
      <c r="N215" s="657"/>
    </row>
    <row r="216" spans="1:14">
      <c r="A216" s="121"/>
      <c r="B216" s="121"/>
      <c r="C216" s="121"/>
      <c r="D216" s="121"/>
      <c r="E216" s="121"/>
      <c r="F216" s="703"/>
      <c r="G216" s="179" t="s">
        <v>211</v>
      </c>
      <c r="H216" s="192"/>
      <c r="I216" s="554"/>
      <c r="J216" s="614">
        <v>120</v>
      </c>
      <c r="K216" s="614">
        <f>I216*J216</f>
        <v>0</v>
      </c>
      <c r="L216" s="104"/>
      <c r="M216" s="491"/>
      <c r="N216" s="657"/>
    </row>
    <row r="217" spans="1:14">
      <c r="A217" s="121"/>
      <c r="B217" s="121"/>
      <c r="C217" s="121"/>
      <c r="D217" s="121"/>
      <c r="E217" s="121"/>
      <c r="F217" s="703"/>
      <c r="G217" s="179" t="s">
        <v>212</v>
      </c>
      <c r="H217" s="192"/>
      <c r="I217" s="554"/>
      <c r="J217" s="614">
        <v>527</v>
      </c>
      <c r="K217" s="614">
        <f t="shared" ref="K217:K221" si="45">I217*J217</f>
        <v>0</v>
      </c>
      <c r="L217" s="104"/>
      <c r="M217" s="491"/>
      <c r="N217" s="657"/>
    </row>
    <row r="218" spans="1:14">
      <c r="A218" s="121"/>
      <c r="B218" s="121"/>
      <c r="C218" s="121"/>
      <c r="D218" s="121"/>
      <c r="E218" s="121"/>
      <c r="F218" s="703"/>
      <c r="G218" s="179" t="s">
        <v>213</v>
      </c>
      <c r="H218" s="192"/>
      <c r="I218" s="554"/>
      <c r="J218" s="614">
        <v>348</v>
      </c>
      <c r="K218" s="614">
        <f t="shared" si="45"/>
        <v>0</v>
      </c>
      <c r="L218" s="104"/>
      <c r="M218" s="59"/>
      <c r="N218" s="657"/>
    </row>
    <row r="219" spans="1:14">
      <c r="A219" s="121"/>
      <c r="B219" s="121"/>
      <c r="C219" s="121"/>
      <c r="D219" s="121"/>
      <c r="E219" s="121"/>
      <c r="F219" s="703"/>
      <c r="G219" s="179" t="s">
        <v>45</v>
      </c>
      <c r="H219" s="192"/>
      <c r="I219" s="554"/>
      <c r="J219" s="614">
        <v>45</v>
      </c>
      <c r="K219" s="614">
        <f t="shared" si="45"/>
        <v>0</v>
      </c>
      <c r="L219" s="104"/>
      <c r="M219" s="491"/>
      <c r="N219" s="657"/>
    </row>
    <row r="220" spans="1:14">
      <c r="A220" s="121"/>
      <c r="B220" s="121"/>
      <c r="C220" s="121"/>
      <c r="D220" s="121"/>
      <c r="E220" s="121"/>
      <c r="F220" s="703"/>
      <c r="G220" s="179" t="s">
        <v>214</v>
      </c>
      <c r="H220" s="192"/>
      <c r="I220" s="554"/>
      <c r="J220" s="614">
        <v>360</v>
      </c>
      <c r="K220" s="614">
        <f t="shared" si="45"/>
        <v>0</v>
      </c>
      <c r="L220" s="104"/>
      <c r="M220" s="491"/>
      <c r="N220" s="657"/>
    </row>
    <row r="221" spans="1:14">
      <c r="A221" s="121"/>
      <c r="B221" s="121"/>
      <c r="C221" s="121"/>
      <c r="D221" s="121"/>
      <c r="E221" s="121"/>
      <c r="F221" s="703"/>
      <c r="G221" s="179" t="s">
        <v>377</v>
      </c>
      <c r="H221" s="192"/>
      <c r="I221" s="554"/>
      <c r="J221" s="614">
        <v>185</v>
      </c>
      <c r="K221" s="614">
        <f t="shared" si="45"/>
        <v>0</v>
      </c>
      <c r="L221" s="491"/>
      <c r="M221" s="491"/>
      <c r="N221" s="657"/>
    </row>
    <row r="222" spans="1:14">
      <c r="A222" s="121"/>
      <c r="B222" s="121"/>
      <c r="C222" s="121"/>
      <c r="D222" s="121"/>
      <c r="E222" s="647" t="s">
        <v>9</v>
      </c>
      <c r="F222" s="706">
        <f>SUM(F208:F221)</f>
        <v>0</v>
      </c>
      <c r="G222" s="647"/>
      <c r="H222" s="647"/>
      <c r="I222" s="708"/>
      <c r="J222" s="708"/>
      <c r="K222" s="60">
        <f>SUM(K208:K221)</f>
        <v>0</v>
      </c>
      <c r="L222" s="60" t="e">
        <f>K222/F222</f>
        <v>#DIV/0!</v>
      </c>
      <c r="M222" s="59" t="s">
        <v>95</v>
      </c>
      <c r="N222" s="657"/>
    </row>
    <row r="223" spans="1:14">
      <c r="A223" s="657"/>
      <c r="B223" s="657"/>
      <c r="C223" s="657"/>
      <c r="D223" s="611" t="s">
        <v>30</v>
      </c>
      <c r="E223" s="611"/>
      <c r="F223" s="710">
        <f>F207+F222</f>
        <v>0</v>
      </c>
      <c r="G223" s="711"/>
      <c r="H223" s="711"/>
      <c r="I223" s="711"/>
      <c r="J223" s="711"/>
      <c r="K223" s="710">
        <f>K207+K222</f>
        <v>0</v>
      </c>
      <c r="L223" s="712" t="e">
        <f>K223/F223</f>
        <v>#DIV/0!</v>
      </c>
      <c r="M223" s="657"/>
      <c r="N223" s="657"/>
    </row>
    <row r="224" spans="1:14" s="71" customFormat="1" ht="15" customHeight="1">
      <c r="A224" s="618"/>
      <c r="B224" s="618"/>
      <c r="C224" s="618"/>
      <c r="D224" s="618"/>
      <c r="E224" s="618"/>
      <c r="F224" s="618"/>
      <c r="G224" s="618"/>
      <c r="H224" s="618"/>
      <c r="I224" s="618"/>
      <c r="J224" s="618"/>
      <c r="K224" s="618"/>
      <c r="L224" s="618"/>
      <c r="M224" s="618"/>
      <c r="N224" s="618"/>
    </row>
    <row r="225" spans="1:14" ht="15" customHeight="1">
      <c r="A225" s="657"/>
      <c r="B225" s="657"/>
      <c r="C225" s="657"/>
      <c r="D225" s="657"/>
      <c r="E225" s="657"/>
      <c r="F225" s="657"/>
      <c r="G225" s="657"/>
      <c r="H225" s="657"/>
      <c r="I225" s="657"/>
      <c r="J225" s="657"/>
      <c r="K225" s="657"/>
      <c r="L225" s="657"/>
      <c r="M225" s="657"/>
      <c r="N225" s="657"/>
    </row>
    <row r="226" spans="1:14" ht="15" customHeight="1">
      <c r="A226" s="657"/>
      <c r="B226" s="31"/>
      <c r="C226" s="31"/>
      <c r="D226" s="624" t="s">
        <v>1009</v>
      </c>
      <c r="E226" s="665">
        <f>F151+F223</f>
        <v>0</v>
      </c>
      <c r="F226" s="624"/>
      <c r="G226" s="625">
        <f>K18+K39+K54+K60+K151+K171+K197+K223</f>
        <v>0</v>
      </c>
      <c r="H226" s="626"/>
      <c r="I226" s="626"/>
      <c r="J226" s="626"/>
      <c r="K226" s="626"/>
      <c r="L226" s="625" t="e">
        <f>G226/E226</f>
        <v>#DIV/0!</v>
      </c>
      <c r="M226" s="657"/>
      <c r="N226" s="657"/>
    </row>
    <row r="227" spans="1:14" ht="15" customHeight="1">
      <c r="A227" s="657"/>
      <c r="B227" s="31"/>
      <c r="C227" s="31"/>
      <c r="D227" s="162" t="s">
        <v>855</v>
      </c>
      <c r="E227" s="666"/>
      <c r="F227" s="162"/>
      <c r="G227" s="667">
        <f>K208</f>
        <v>0</v>
      </c>
      <c r="H227" s="668"/>
      <c r="I227" s="667">
        <f>'01'!G262+'02'!G309+'03'!G402+'04'!G312</f>
        <v>0</v>
      </c>
      <c r="J227" s="669">
        <f>G227+M240</f>
        <v>0</v>
      </c>
      <c r="K227" s="670"/>
      <c r="L227" s="671"/>
      <c r="M227" s="657"/>
      <c r="N227" s="657"/>
    </row>
    <row r="228" spans="1:14" ht="15" customHeight="1">
      <c r="A228" s="657"/>
      <c r="B228" s="31"/>
      <c r="C228" s="31"/>
      <c r="D228" s="672" t="s">
        <v>854</v>
      </c>
      <c r="E228" s="673"/>
      <c r="F228" s="672"/>
      <c r="G228" s="674">
        <f>G226-G227</f>
        <v>0</v>
      </c>
      <c r="H228" s="675"/>
      <c r="I228" s="676">
        <f>'01'!G263+'02'!G310+'03'!G403+'04'!G313</f>
        <v>0</v>
      </c>
      <c r="J228" s="677"/>
      <c r="K228" s="677"/>
      <c r="L228" s="678"/>
      <c r="M228" s="657"/>
      <c r="N228" s="657"/>
    </row>
    <row r="229" spans="1:14" ht="15" customHeight="1">
      <c r="A229" s="657"/>
      <c r="B229" s="31"/>
      <c r="C229" s="31"/>
      <c r="D229" s="162" t="s">
        <v>853</v>
      </c>
      <c r="E229" s="679"/>
      <c r="F229" s="162"/>
      <c r="G229" s="680">
        <f>SUM(G227:G228)</f>
        <v>0</v>
      </c>
      <c r="H229" s="681"/>
      <c r="I229" s="682">
        <f>'01'!G261+'02'!G308+'03'!G401+'04'!G311</f>
        <v>0</v>
      </c>
      <c r="J229" s="681"/>
      <c r="K229" s="681"/>
      <c r="L229" s="683" t="e">
        <f>G229/E226</f>
        <v>#DIV/0!</v>
      </c>
      <c r="M229" s="657"/>
      <c r="N229" s="657"/>
    </row>
    <row r="230" spans="1:14" ht="15" customHeight="1">
      <c r="A230" s="657"/>
      <c r="B230" s="31"/>
      <c r="C230" s="31"/>
      <c r="D230" s="684" t="s">
        <v>906</v>
      </c>
      <c r="E230" s="685"/>
      <c r="F230" s="162"/>
      <c r="G230" s="409">
        <f>M240</f>
        <v>0</v>
      </c>
      <c r="H230" s="686"/>
      <c r="I230" s="687"/>
      <c r="J230" s="687"/>
      <c r="K230" s="688"/>
      <c r="L230" s="657"/>
      <c r="M230" s="657"/>
      <c r="N230" s="657"/>
    </row>
    <row r="231" spans="1:14" ht="15" customHeight="1">
      <c r="A231" s="657"/>
      <c r="B231" s="31"/>
      <c r="C231" s="31"/>
      <c r="D231" s="616"/>
      <c r="E231" s="616"/>
      <c r="F231" s="616"/>
      <c r="G231" s="616"/>
      <c r="H231" s="689"/>
      <c r="I231" s="616"/>
      <c r="J231" s="616"/>
      <c r="K231" s="616"/>
      <c r="L231" s="616"/>
      <c r="M231" s="657"/>
      <c r="N231" s="657"/>
    </row>
    <row r="232" spans="1:14" ht="15" customHeight="1">
      <c r="A232" s="657"/>
      <c r="B232" s="31"/>
      <c r="C232" s="31"/>
      <c r="D232" s="854" t="s">
        <v>852</v>
      </c>
      <c r="E232" s="854"/>
      <c r="F232" s="690">
        <f>G248</f>
        <v>0</v>
      </c>
      <c r="G232" s="616"/>
      <c r="H232" s="500" t="s">
        <v>908</v>
      </c>
      <c r="I232" s="855" t="s">
        <v>199</v>
      </c>
      <c r="J232" s="856"/>
      <c r="K232" s="554"/>
      <c r="L232" s="614">
        <v>530</v>
      </c>
      <c r="M232" s="614">
        <f t="shared" ref="M232:M237" si="46">K232*L232</f>
        <v>0</v>
      </c>
      <c r="N232" s="657"/>
    </row>
    <row r="233" spans="1:14" ht="15" customHeight="1">
      <c r="A233" s="657"/>
      <c r="B233" s="31"/>
      <c r="C233" s="31"/>
      <c r="D233" s="854" t="s">
        <v>835</v>
      </c>
      <c r="E233" s="854"/>
      <c r="F233" s="690">
        <f>G238+G239</f>
        <v>0</v>
      </c>
      <c r="G233" s="616"/>
      <c r="H233" s="500" t="s">
        <v>909</v>
      </c>
      <c r="I233" s="855" t="s">
        <v>196</v>
      </c>
      <c r="J233" s="856"/>
      <c r="K233" s="554"/>
      <c r="L233" s="614">
        <v>888</v>
      </c>
      <c r="M233" s="614">
        <f t="shared" si="46"/>
        <v>0</v>
      </c>
      <c r="N233" s="657"/>
    </row>
    <row r="234" spans="1:14" ht="15" customHeight="1">
      <c r="A234" s="657"/>
      <c r="B234" s="31"/>
      <c r="C234" s="31"/>
      <c r="D234" s="854" t="s">
        <v>836</v>
      </c>
      <c r="E234" s="854"/>
      <c r="F234" s="690">
        <f>SUM(F232:F233)</f>
        <v>0</v>
      </c>
      <c r="G234" s="616"/>
      <c r="H234" s="500" t="s">
        <v>910</v>
      </c>
      <c r="I234" s="855" t="s">
        <v>192</v>
      </c>
      <c r="J234" s="856"/>
      <c r="K234" s="554"/>
      <c r="L234" s="614">
        <v>1126</v>
      </c>
      <c r="M234" s="614">
        <f t="shared" si="46"/>
        <v>0</v>
      </c>
      <c r="N234" s="657"/>
    </row>
    <row r="235" spans="1:14" ht="15" customHeight="1">
      <c r="A235" s="657"/>
      <c r="B235" s="31"/>
      <c r="C235" s="31"/>
      <c r="D235" s="691" t="s">
        <v>847</v>
      </c>
      <c r="E235" s="691"/>
      <c r="F235" s="690">
        <f>F232-G228</f>
        <v>0</v>
      </c>
      <c r="G235" s="616"/>
      <c r="H235" s="500" t="s">
        <v>908</v>
      </c>
      <c r="I235" s="857" t="s">
        <v>460</v>
      </c>
      <c r="J235" s="858"/>
      <c r="K235" s="554"/>
      <c r="L235" s="614">
        <v>920</v>
      </c>
      <c r="M235" s="614">
        <f t="shared" si="46"/>
        <v>0</v>
      </c>
      <c r="N235" s="657"/>
    </row>
    <row r="236" spans="1:14" ht="15" customHeight="1">
      <c r="A236" s="657"/>
      <c r="B236" s="31"/>
      <c r="C236" s="31"/>
      <c r="D236" s="616"/>
      <c r="E236" s="616"/>
      <c r="F236" s="616"/>
      <c r="G236" s="616"/>
      <c r="H236" s="500" t="s">
        <v>912</v>
      </c>
      <c r="I236" s="859" t="s">
        <v>315</v>
      </c>
      <c r="J236" s="860"/>
      <c r="K236" s="554"/>
      <c r="L236" s="614">
        <v>2184</v>
      </c>
      <c r="M236" s="614">
        <f t="shared" si="46"/>
        <v>0</v>
      </c>
      <c r="N236" s="657"/>
    </row>
    <row r="237" spans="1:14" ht="15" customHeight="1">
      <c r="A237" s="657"/>
      <c r="B237" s="861" t="s">
        <v>833</v>
      </c>
      <c r="C237" s="862"/>
      <c r="D237" s="180" t="s">
        <v>844</v>
      </c>
      <c r="E237" s="180" t="s">
        <v>845</v>
      </c>
      <c r="F237" s="180" t="s">
        <v>846</v>
      </c>
      <c r="G237" s="180" t="s">
        <v>5</v>
      </c>
      <c r="H237" s="500" t="s">
        <v>911</v>
      </c>
      <c r="I237" s="855" t="s">
        <v>286</v>
      </c>
      <c r="J237" s="856"/>
      <c r="K237" s="554"/>
      <c r="L237" s="614">
        <v>2065</v>
      </c>
      <c r="M237" s="614">
        <f t="shared" si="46"/>
        <v>0</v>
      </c>
      <c r="N237" s="657"/>
    </row>
    <row r="238" spans="1:14" ht="15" customHeight="1">
      <c r="A238" s="657"/>
      <c r="B238" s="31"/>
      <c r="C238" s="31"/>
      <c r="D238" s="180" t="s">
        <v>837</v>
      </c>
      <c r="E238" s="162">
        <v>15.5</v>
      </c>
      <c r="F238" s="692"/>
      <c r="G238" s="693">
        <f>F238*E238</f>
        <v>0</v>
      </c>
      <c r="H238" s="500" t="s">
        <v>909</v>
      </c>
      <c r="I238" s="844"/>
      <c r="J238" s="845"/>
      <c r="K238" s="491"/>
      <c r="L238" s="491"/>
      <c r="M238" s="489"/>
      <c r="N238" s="657"/>
    </row>
    <row r="239" spans="1:14" ht="15" customHeight="1">
      <c r="A239" s="657"/>
      <c r="B239" s="31"/>
      <c r="C239" s="31"/>
      <c r="D239" s="180" t="s">
        <v>1062</v>
      </c>
      <c r="E239" s="162">
        <v>34</v>
      </c>
      <c r="F239" s="692"/>
      <c r="G239" s="693">
        <f t="shared" ref="G239:G245" si="47">F239*E239</f>
        <v>0</v>
      </c>
      <c r="H239" s="500" t="s">
        <v>911</v>
      </c>
      <c r="I239" s="864"/>
      <c r="J239" s="865"/>
      <c r="K239" s="352"/>
      <c r="L239" s="352"/>
      <c r="M239" s="491"/>
      <c r="N239" s="657"/>
    </row>
    <row r="240" spans="1:14" ht="15" customHeight="1">
      <c r="A240" s="648"/>
      <c r="B240" s="616"/>
      <c r="C240" s="616"/>
      <c r="D240" s="694" t="s">
        <v>843</v>
      </c>
      <c r="E240" s="124"/>
      <c r="F240" s="488">
        <f>SUM(F238:F239)</f>
        <v>0</v>
      </c>
      <c r="G240" s="695">
        <f>SUM(G238:G239)</f>
        <v>0</v>
      </c>
      <c r="H240" s="616"/>
      <c r="I240" s="844" t="s">
        <v>906</v>
      </c>
      <c r="J240" s="845"/>
      <c r="K240" s="490">
        <f>SUM(K232:K239)</f>
        <v>0</v>
      </c>
      <c r="L240" s="491"/>
      <c r="M240" s="489">
        <f>SUM(M232:M239)</f>
        <v>0</v>
      </c>
      <c r="N240" s="657"/>
    </row>
    <row r="241" spans="1:14" ht="15" customHeight="1">
      <c r="A241" s="657"/>
      <c r="B241" s="31"/>
      <c r="C241" s="31"/>
      <c r="D241" s="180" t="s">
        <v>1070</v>
      </c>
      <c r="E241" s="162">
        <v>227</v>
      </c>
      <c r="F241" s="692"/>
      <c r="G241" s="693">
        <f t="shared" si="47"/>
        <v>0</v>
      </c>
      <c r="H241" s="616"/>
      <c r="I241" s="616"/>
      <c r="J241" s="616"/>
      <c r="K241" s="616"/>
      <c r="L241" s="616"/>
      <c r="M241" s="696">
        <f>G227+M240</f>
        <v>0</v>
      </c>
      <c r="N241" s="657"/>
    </row>
    <row r="242" spans="1:14" ht="15" customHeight="1">
      <c r="A242" s="657"/>
      <c r="B242" s="31"/>
      <c r="C242" s="31"/>
      <c r="D242" s="180" t="s">
        <v>1065</v>
      </c>
      <c r="E242" s="615">
        <v>165</v>
      </c>
      <c r="F242" s="692"/>
      <c r="G242" s="693">
        <f t="shared" si="47"/>
        <v>0</v>
      </c>
      <c r="H242" s="616"/>
      <c r="I242" s="616"/>
      <c r="J242" s="616"/>
      <c r="K242" s="616"/>
      <c r="L242" s="616"/>
      <c r="M242" s="657"/>
      <c r="N242" s="657"/>
    </row>
    <row r="243" spans="1:14" ht="15" customHeight="1">
      <c r="A243" s="657"/>
      <c r="B243" s="31"/>
      <c r="C243" s="31"/>
      <c r="D243" s="697" t="s">
        <v>1066</v>
      </c>
      <c r="E243" s="615">
        <v>165</v>
      </c>
      <c r="F243" s="692"/>
      <c r="G243" s="693">
        <f t="shared" si="47"/>
        <v>0</v>
      </c>
      <c r="H243" s="616"/>
      <c r="I243" s="616"/>
      <c r="J243" s="616"/>
      <c r="K243" s="616"/>
      <c r="L243" s="616"/>
      <c r="M243" s="657"/>
      <c r="N243" s="657"/>
    </row>
    <row r="244" spans="1:14" ht="15" customHeight="1">
      <c r="A244" s="657"/>
      <c r="B244" s="31"/>
      <c r="C244" s="31"/>
      <c r="D244" s="180" t="s">
        <v>1067</v>
      </c>
      <c r="E244" s="615">
        <v>416</v>
      </c>
      <c r="F244" s="698"/>
      <c r="G244" s="693">
        <f t="shared" si="47"/>
        <v>0</v>
      </c>
      <c r="H244" s="616"/>
      <c r="I244" s="616"/>
      <c r="J244" s="616"/>
      <c r="K244" s="616"/>
      <c r="L244" s="616"/>
      <c r="M244" s="657"/>
      <c r="N244" s="657"/>
    </row>
    <row r="245" spans="1:14" ht="15" customHeight="1">
      <c r="A245" s="657"/>
      <c r="B245" s="31"/>
      <c r="C245" s="31"/>
      <c r="D245" s="180" t="s">
        <v>907</v>
      </c>
      <c r="E245" s="615">
        <v>46</v>
      </c>
      <c r="F245" s="692"/>
      <c r="G245" s="693">
        <f t="shared" si="47"/>
        <v>0</v>
      </c>
      <c r="H245" s="31"/>
      <c r="I245" s="31"/>
      <c r="J245" s="31"/>
      <c r="K245" s="31"/>
      <c r="L245" s="31"/>
      <c r="M245" s="657"/>
      <c r="N245" s="657"/>
    </row>
    <row r="246" spans="1:14" ht="15" customHeight="1">
      <c r="A246" s="657"/>
      <c r="B246" s="31"/>
      <c r="C246" s="31"/>
      <c r="D246" s="180" t="s">
        <v>27</v>
      </c>
      <c r="E246" s="162">
        <v>22</v>
      </c>
      <c r="F246" s="692"/>
      <c r="G246" s="693"/>
      <c r="H246" s="657"/>
      <c r="I246" s="657"/>
      <c r="J246" s="657"/>
      <c r="K246" s="657"/>
      <c r="L246" s="657"/>
      <c r="M246" s="657"/>
      <c r="N246" s="657"/>
    </row>
    <row r="247" spans="1:14" ht="15" customHeight="1">
      <c r="A247" s="657"/>
      <c r="B247" s="31"/>
      <c r="C247" s="31"/>
      <c r="D247" s="180" t="s">
        <v>1062</v>
      </c>
      <c r="E247" s="162">
        <v>34</v>
      </c>
      <c r="F247" s="692"/>
      <c r="G247" s="693"/>
      <c r="H247" s="657"/>
      <c r="I247" s="657"/>
      <c r="J247" s="657"/>
      <c r="K247" s="657"/>
      <c r="L247" s="657"/>
      <c r="M247" s="657"/>
      <c r="N247" s="657"/>
    </row>
    <row r="248" spans="1:14" ht="15" customHeight="1">
      <c r="A248" s="657"/>
      <c r="B248" s="31"/>
      <c r="C248" s="31"/>
      <c r="D248" s="180" t="s">
        <v>24</v>
      </c>
      <c r="E248" s="162">
        <v>74</v>
      </c>
      <c r="F248" s="692"/>
      <c r="G248" s="693"/>
      <c r="H248" s="657"/>
      <c r="I248" s="657"/>
      <c r="J248" s="657"/>
      <c r="K248" s="657"/>
      <c r="L248" s="657"/>
      <c r="M248" s="657"/>
      <c r="N248" s="657"/>
    </row>
    <row r="249" spans="1:14" ht="15" customHeight="1">
      <c r="A249" s="657"/>
      <c r="B249" s="31"/>
      <c r="C249" s="31"/>
      <c r="D249" s="699" t="s">
        <v>185</v>
      </c>
      <c r="E249" s="162">
        <v>490</v>
      </c>
      <c r="F249" s="692"/>
      <c r="G249" s="693"/>
      <c r="H249" s="657"/>
      <c r="I249" s="657"/>
      <c r="J249" s="657"/>
      <c r="K249" s="657"/>
      <c r="L249" s="657"/>
      <c r="M249" s="657"/>
      <c r="N249" s="657"/>
    </row>
    <row r="250" spans="1:14" ht="15" customHeight="1">
      <c r="A250" s="657"/>
      <c r="B250" s="657"/>
      <c r="C250" s="657"/>
      <c r="D250" s="180" t="s">
        <v>184</v>
      </c>
      <c r="E250" s="162">
        <v>336</v>
      </c>
      <c r="F250" s="692"/>
      <c r="G250" s="693"/>
      <c r="H250" s="657"/>
      <c r="I250" s="657"/>
      <c r="J250" s="657"/>
      <c r="K250" s="657"/>
      <c r="L250" s="657"/>
      <c r="M250" s="657"/>
      <c r="N250" s="657"/>
    </row>
    <row r="251" spans="1:14" ht="15" customHeight="1">
      <c r="A251" s="657"/>
      <c r="B251" s="657"/>
      <c r="C251" s="657"/>
      <c r="D251" s="697" t="s">
        <v>968</v>
      </c>
      <c r="E251" s="162">
        <v>360</v>
      </c>
      <c r="F251" s="692"/>
      <c r="G251" s="693"/>
      <c r="H251" s="657"/>
      <c r="I251" s="657"/>
      <c r="J251" s="657"/>
      <c r="K251" s="657"/>
      <c r="L251" s="657"/>
      <c r="M251" s="657"/>
      <c r="N251" s="657"/>
    </row>
    <row r="252" spans="1:14" ht="15" customHeight="1">
      <c r="A252" s="657"/>
      <c r="B252" s="657"/>
      <c r="C252" s="657"/>
      <c r="D252" s="700" t="s">
        <v>843</v>
      </c>
      <c r="E252" s="162"/>
      <c r="F252" s="692">
        <f>SUM(F241:F245)</f>
        <v>0</v>
      </c>
      <c r="G252" s="693">
        <f>SUM(G241:G245)</f>
        <v>0</v>
      </c>
      <c r="H252" s="657"/>
      <c r="I252" s="657"/>
      <c r="J252" s="657"/>
      <c r="K252" s="657"/>
      <c r="L252" s="657"/>
      <c r="M252" s="657"/>
      <c r="N252" s="657"/>
    </row>
    <row r="253" spans="1:14" ht="15" customHeight="1">
      <c r="A253" s="657"/>
      <c r="B253" s="657"/>
      <c r="C253" s="657"/>
      <c r="D253" s="694" t="s">
        <v>969</v>
      </c>
      <c r="E253" s="124"/>
      <c r="F253" s="488">
        <f>F240+F252</f>
        <v>0</v>
      </c>
      <c r="G253" s="695">
        <f>G240+G252</f>
        <v>0</v>
      </c>
      <c r="H253" s="657"/>
      <c r="I253" s="657"/>
      <c r="J253" s="657"/>
      <c r="K253" s="657"/>
      <c r="L253" s="657"/>
      <c r="M253" s="657"/>
      <c r="N253" s="657"/>
    </row>
    <row r="254" spans="1:14" ht="15" customHeight="1">
      <c r="A254" s="657"/>
      <c r="B254" s="657"/>
      <c r="C254" s="657"/>
      <c r="D254" s="657"/>
      <c r="E254" s="657"/>
      <c r="F254" s="657"/>
      <c r="G254" s="657"/>
      <c r="H254" s="657"/>
      <c r="I254" s="657"/>
      <c r="J254" s="657"/>
      <c r="K254" s="657"/>
      <c r="L254" s="657"/>
      <c r="M254" s="657"/>
      <c r="N254" s="657"/>
    </row>
    <row r="255" spans="1:14" ht="15" customHeight="1">
      <c r="A255" s="657"/>
      <c r="B255" s="657"/>
      <c r="C255" s="657"/>
      <c r="D255" s="657"/>
      <c r="E255" s="657"/>
      <c r="F255" s="657"/>
      <c r="G255" s="657"/>
      <c r="H255" s="657"/>
      <c r="I255" s="657"/>
      <c r="J255" s="657"/>
      <c r="K255" s="657"/>
      <c r="L255" s="657"/>
      <c r="M255" s="657"/>
      <c r="N255" s="657"/>
    </row>
    <row r="256" spans="1:14" ht="15" customHeight="1">
      <c r="A256" s="657"/>
      <c r="B256" s="657"/>
      <c r="C256" s="657"/>
      <c r="D256" s="657"/>
      <c r="E256" s="657"/>
      <c r="F256" s="657"/>
      <c r="G256" s="657"/>
      <c r="H256" s="657"/>
      <c r="I256" s="657"/>
      <c r="J256" s="657"/>
      <c r="K256" s="657"/>
      <c r="L256" s="657"/>
      <c r="M256" s="657"/>
      <c r="N256" s="657"/>
    </row>
    <row r="257" spans="1:14" ht="15" customHeight="1">
      <c r="A257" s="657"/>
      <c r="B257" s="657"/>
      <c r="C257" s="657"/>
      <c r="D257" s="657"/>
      <c r="E257" s="657"/>
      <c r="F257" s="657"/>
      <c r="G257" s="657"/>
      <c r="H257" s="657"/>
      <c r="I257" s="657"/>
      <c r="J257" s="657"/>
      <c r="K257" s="657"/>
      <c r="L257" s="657"/>
      <c r="M257" s="657"/>
      <c r="N257" s="657"/>
    </row>
    <row r="258" spans="1:14" ht="15" customHeight="1">
      <c r="A258" s="657"/>
      <c r="B258" s="657"/>
      <c r="C258" s="657"/>
      <c r="D258" s="657"/>
      <c r="E258" s="657"/>
      <c r="F258" s="657"/>
      <c r="G258" s="657"/>
      <c r="H258" s="657"/>
      <c r="I258" s="657"/>
      <c r="J258" s="657"/>
      <c r="K258" s="657"/>
      <c r="L258" s="657"/>
      <c r="M258" s="657"/>
      <c r="N258" s="657"/>
    </row>
    <row r="259" spans="1:14" ht="15" customHeight="1">
      <c r="A259" s="657"/>
      <c r="B259" s="657"/>
      <c r="C259" s="657"/>
      <c r="D259" s="657"/>
      <c r="E259" s="657"/>
      <c r="F259" s="657"/>
      <c r="G259" s="657"/>
      <c r="H259" s="657"/>
      <c r="I259" s="657"/>
      <c r="J259" s="657"/>
      <c r="K259" s="657"/>
      <c r="L259" s="657"/>
      <c r="M259" s="657"/>
      <c r="N259" s="657"/>
    </row>
    <row r="260" spans="1:14" ht="15" customHeight="1">
      <c r="A260" s="657"/>
      <c r="B260" s="657"/>
      <c r="C260" s="657"/>
      <c r="D260" s="657"/>
      <c r="E260" s="657"/>
      <c r="F260" s="657"/>
      <c r="G260" s="657"/>
      <c r="H260" s="657"/>
      <c r="I260" s="657"/>
      <c r="J260" s="657"/>
      <c r="K260" s="657"/>
      <c r="L260" s="657"/>
      <c r="M260" s="657"/>
      <c r="N260" s="657"/>
    </row>
    <row r="261" spans="1:14" ht="15" customHeight="1">
      <c r="A261" s="657"/>
      <c r="B261" s="657"/>
      <c r="C261" s="657"/>
      <c r="D261" s="657"/>
      <c r="E261" s="657"/>
      <c r="F261" s="657"/>
      <c r="G261" s="657"/>
      <c r="H261" s="657"/>
      <c r="I261" s="657"/>
      <c r="J261" s="657"/>
      <c r="K261" s="657"/>
      <c r="L261" s="657"/>
      <c r="M261" s="657"/>
      <c r="N261" s="657"/>
    </row>
    <row r="262" spans="1:14" ht="15" customHeight="1">
      <c r="A262" s="657"/>
      <c r="B262" s="657"/>
      <c r="C262" s="657"/>
      <c r="D262" s="657"/>
      <c r="E262" s="657"/>
      <c r="F262" s="657"/>
      <c r="G262" s="657"/>
      <c r="H262" s="657"/>
      <c r="I262" s="657"/>
      <c r="J262" s="657"/>
      <c r="K262" s="657"/>
      <c r="L262" s="657"/>
      <c r="M262" s="657"/>
      <c r="N262" s="657"/>
    </row>
    <row r="263" spans="1:14" s="64" customFormat="1" ht="15" customHeight="1">
      <c r="A263" s="863" t="s">
        <v>240</v>
      </c>
      <c r="B263" s="863"/>
      <c r="C263" s="863" t="s">
        <v>765</v>
      </c>
      <c r="D263" s="863"/>
      <c r="E263" s="863" t="s">
        <v>764</v>
      </c>
      <c r="F263" s="863"/>
      <c r="G263" s="701" t="s">
        <v>66</v>
      </c>
      <c r="H263" s="863" t="s">
        <v>411</v>
      </c>
      <c r="I263" s="863"/>
      <c r="J263" s="863"/>
      <c r="K263" s="863" t="s">
        <v>68</v>
      </c>
      <c r="L263" s="863"/>
      <c r="M263" s="863"/>
      <c r="N263" s="657"/>
    </row>
  </sheetData>
  <mergeCells count="30">
    <mergeCell ref="K263:M263"/>
    <mergeCell ref="I239:J239"/>
    <mergeCell ref="I240:J240"/>
    <mergeCell ref="A263:B263"/>
    <mergeCell ref="C263:D263"/>
    <mergeCell ref="E263:F263"/>
    <mergeCell ref="H263:J263"/>
    <mergeCell ref="I235:J235"/>
    <mergeCell ref="I236:J236"/>
    <mergeCell ref="B237:C237"/>
    <mergeCell ref="I237:J237"/>
    <mergeCell ref="I238:J238"/>
    <mergeCell ref="D232:E232"/>
    <mergeCell ref="I232:J232"/>
    <mergeCell ref="D233:E233"/>
    <mergeCell ref="I233:J233"/>
    <mergeCell ref="D234:E234"/>
    <mergeCell ref="I234:J234"/>
    <mergeCell ref="A1:N1"/>
    <mergeCell ref="A2:N2"/>
    <mergeCell ref="A3:N3"/>
    <mergeCell ref="K4:M4"/>
    <mergeCell ref="K19:M19"/>
    <mergeCell ref="A198:B198"/>
    <mergeCell ref="K40:M40"/>
    <mergeCell ref="K55:M55"/>
    <mergeCell ref="K62:M62"/>
    <mergeCell ref="K152:M152"/>
    <mergeCell ref="K172:M172"/>
    <mergeCell ref="K198:M19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65"/>
  <sheetViews>
    <sheetView topLeftCell="A217" workbookViewId="0">
      <selection activeCell="G230" sqref="G230"/>
    </sheetView>
  </sheetViews>
  <sheetFormatPr defaultRowHeight="15"/>
  <cols>
    <col min="2" max="2" width="13.42578125" bestFit="1" customWidth="1"/>
    <col min="3" max="3" width="12.5703125" bestFit="1" customWidth="1"/>
    <col min="4" max="4" width="20.140625" customWidth="1"/>
    <col min="5" max="5" width="16.140625" customWidth="1"/>
    <col min="6" max="6" width="10.5703125" bestFit="1" customWidth="1"/>
    <col min="7" max="7" width="24.42578125" bestFit="1" customWidth="1"/>
    <col min="8" max="8" width="6.42578125" bestFit="1" customWidth="1"/>
    <col min="9" max="9" width="10.5703125" bestFit="1" customWidth="1"/>
    <col min="10" max="10" width="9.5703125" bestFit="1" customWidth="1"/>
    <col min="11" max="11" width="11.5703125" bestFit="1" customWidth="1"/>
    <col min="12" max="12" width="9.42578125" customWidth="1"/>
    <col min="13" max="13" width="13.28515625" bestFit="1" customWidth="1"/>
    <col min="14" max="14" width="11.7109375" customWidth="1"/>
  </cols>
  <sheetData>
    <row r="1" spans="1:14" s="28" customFormat="1" ht="24" customHeight="1">
      <c r="A1" s="851" t="s">
        <v>146</v>
      </c>
      <c r="B1" s="851"/>
      <c r="C1" s="851"/>
      <c r="D1" s="851"/>
      <c r="E1" s="851"/>
      <c r="F1" s="851"/>
      <c r="G1" s="851"/>
      <c r="H1" s="851"/>
      <c r="I1" s="851"/>
      <c r="J1" s="851"/>
      <c r="K1" s="851"/>
      <c r="L1" s="851"/>
      <c r="M1" s="851"/>
      <c r="N1" s="851"/>
    </row>
    <row r="2" spans="1:14" s="28" customFormat="1" ht="14.1" customHeight="1">
      <c r="A2" s="852" t="s">
        <v>147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</row>
    <row r="3" spans="1:14" s="65" customFormat="1" ht="14.1" customHeight="1">
      <c r="A3" s="853" t="s">
        <v>148</v>
      </c>
      <c r="B3" s="853"/>
      <c r="C3" s="853"/>
      <c r="D3" s="853"/>
      <c r="E3" s="853"/>
      <c r="F3" s="853"/>
      <c r="G3" s="853"/>
      <c r="H3" s="853"/>
      <c r="I3" s="853"/>
      <c r="J3" s="853"/>
      <c r="K3" s="853"/>
      <c r="L3" s="853"/>
      <c r="M3" s="853"/>
      <c r="N3" s="853"/>
    </row>
    <row r="4" spans="1:14" s="28" customFormat="1" ht="15" customHeight="1">
      <c r="A4" s="617" t="s">
        <v>21</v>
      </c>
      <c r="B4" s="617"/>
      <c r="C4" s="617"/>
      <c r="D4" s="617"/>
      <c r="E4" s="617"/>
      <c r="F4" s="618"/>
      <c r="G4" s="618"/>
      <c r="H4" s="618"/>
      <c r="I4" s="618"/>
      <c r="J4" s="618"/>
      <c r="K4" s="849" t="s">
        <v>1214</v>
      </c>
      <c r="L4" s="849"/>
      <c r="M4" s="849"/>
      <c r="N4" s="618"/>
    </row>
    <row r="5" spans="1:14" s="28" customFormat="1" ht="15" customHeight="1">
      <c r="A5" s="647" t="s">
        <v>0</v>
      </c>
      <c r="B5" s="647" t="s">
        <v>7</v>
      </c>
      <c r="C5" s="647" t="s">
        <v>13</v>
      </c>
      <c r="D5" s="647" t="s">
        <v>14</v>
      </c>
      <c r="E5" s="647" t="s">
        <v>8</v>
      </c>
      <c r="F5" s="647" t="s">
        <v>1</v>
      </c>
      <c r="G5" s="647" t="s">
        <v>2</v>
      </c>
      <c r="H5" s="647" t="s">
        <v>15</v>
      </c>
      <c r="I5" s="647" t="s">
        <v>3</v>
      </c>
      <c r="J5" s="647" t="s">
        <v>4</v>
      </c>
      <c r="K5" s="647" t="s">
        <v>5</v>
      </c>
      <c r="L5" s="647" t="s">
        <v>12</v>
      </c>
      <c r="M5" s="647" t="s">
        <v>6</v>
      </c>
      <c r="N5" s="657"/>
    </row>
    <row r="6" spans="1:14" s="28" customFormat="1" ht="15" customHeight="1">
      <c r="A6" s="178">
        <v>1</v>
      </c>
      <c r="B6" s="178" t="s">
        <v>655</v>
      </c>
      <c r="C6" s="629" t="s">
        <v>455</v>
      </c>
      <c r="D6" s="629" t="s">
        <v>568</v>
      </c>
      <c r="E6" s="178"/>
      <c r="F6" s="621"/>
      <c r="G6" s="178" t="s">
        <v>170</v>
      </c>
      <c r="H6" s="192"/>
      <c r="I6" s="554"/>
      <c r="J6" s="614">
        <v>227</v>
      </c>
      <c r="K6" s="614">
        <f t="shared" ref="K6:K7" si="0">I6*J6</f>
        <v>0</v>
      </c>
      <c r="L6" s="491"/>
      <c r="M6" s="620">
        <f>I6+I10</f>
        <v>0</v>
      </c>
      <c r="N6" s="178" t="s">
        <v>173</v>
      </c>
    </row>
    <row r="7" spans="1:14" s="28" customFormat="1" ht="15" customHeight="1">
      <c r="A7" s="121"/>
      <c r="B7" s="178" t="s">
        <v>291</v>
      </c>
      <c r="C7" s="178" t="s">
        <v>497</v>
      </c>
      <c r="D7" s="178" t="s">
        <v>659</v>
      </c>
      <c r="E7" s="178"/>
      <c r="F7" s="621"/>
      <c r="G7" s="178" t="s">
        <v>171</v>
      </c>
      <c r="H7" s="192"/>
      <c r="I7" s="554"/>
      <c r="J7" s="614">
        <v>416</v>
      </c>
      <c r="K7" s="614">
        <f t="shared" si="0"/>
        <v>0</v>
      </c>
      <c r="L7" s="491"/>
      <c r="M7" s="620">
        <f>I7+I11+I19+I25+I31+I37+I43</f>
        <v>0</v>
      </c>
      <c r="N7" s="178" t="s">
        <v>174</v>
      </c>
    </row>
    <row r="8" spans="1:14" s="28" customFormat="1" ht="15" customHeight="1">
      <c r="A8" s="121"/>
      <c r="B8" s="178" t="s">
        <v>291</v>
      </c>
      <c r="C8" s="248" t="s">
        <v>233</v>
      </c>
      <c r="D8" s="248" t="s">
        <v>660</v>
      </c>
      <c r="E8" s="121"/>
      <c r="F8" s="621"/>
      <c r="G8" s="178" t="s">
        <v>172</v>
      </c>
      <c r="H8" s="192"/>
      <c r="I8" s="554"/>
      <c r="J8" s="614">
        <v>165</v>
      </c>
      <c r="K8" s="614">
        <f>I8*J8</f>
        <v>0</v>
      </c>
      <c r="L8" s="491"/>
      <c r="M8" s="620">
        <f>I8+I12+I20+I26+I32+I38+I44</f>
        <v>0</v>
      </c>
      <c r="N8" s="178" t="s">
        <v>172</v>
      </c>
    </row>
    <row r="9" spans="1:14" s="28" customFormat="1" ht="15" customHeight="1">
      <c r="A9" s="121"/>
      <c r="B9" s="178"/>
      <c r="C9" s="248"/>
      <c r="D9" s="248"/>
      <c r="E9" s="647" t="s">
        <v>9</v>
      </c>
      <c r="F9" s="706">
        <f>SUM(F6:F8)</f>
        <v>0</v>
      </c>
      <c r="G9" s="647"/>
      <c r="H9" s="647"/>
      <c r="I9" s="707"/>
      <c r="J9" s="708"/>
      <c r="K9" s="60">
        <f>SUM(K6:K8)</f>
        <v>0</v>
      </c>
      <c r="L9" s="60" t="e">
        <f>K9/F9</f>
        <v>#DIV/0!</v>
      </c>
      <c r="M9" s="620">
        <f>I17+I23+I29+I35+I41+I50+I53+I56+I59+I62+I65+I68+I71+I74</f>
        <v>0</v>
      </c>
      <c r="N9" s="178" t="s">
        <v>24</v>
      </c>
    </row>
    <row r="10" spans="1:14" s="28" customFormat="1" ht="15" customHeight="1">
      <c r="A10" s="121">
        <v>2</v>
      </c>
      <c r="B10" s="178" t="s">
        <v>657</v>
      </c>
      <c r="C10" s="629" t="s">
        <v>656</v>
      </c>
      <c r="D10" s="629" t="s">
        <v>658</v>
      </c>
      <c r="E10" s="121"/>
      <c r="F10" s="621"/>
      <c r="G10" s="178" t="s">
        <v>170</v>
      </c>
      <c r="H10" s="192"/>
      <c r="I10" s="554"/>
      <c r="J10" s="614">
        <v>227</v>
      </c>
      <c r="K10" s="614">
        <f t="shared" ref="K10:K11" si="1">I10*J10</f>
        <v>0</v>
      </c>
      <c r="L10" s="491"/>
      <c r="M10" s="620">
        <f>I18+I24+I30+I36+I42</f>
        <v>0</v>
      </c>
      <c r="N10" s="178" t="s">
        <v>175</v>
      </c>
    </row>
    <row r="11" spans="1:14" s="107" customFormat="1" ht="15" customHeight="1">
      <c r="A11" s="153"/>
      <c r="B11" s="178" t="s">
        <v>291</v>
      </c>
      <c r="C11" s="178" t="s">
        <v>280</v>
      </c>
      <c r="D11" s="178" t="s">
        <v>661</v>
      </c>
      <c r="E11" s="153"/>
      <c r="F11" s="621"/>
      <c r="G11" s="178" t="s">
        <v>171</v>
      </c>
      <c r="H11" s="192"/>
      <c r="I11" s="554"/>
      <c r="J11" s="614">
        <v>416</v>
      </c>
      <c r="K11" s="614">
        <f t="shared" si="1"/>
        <v>0</v>
      </c>
      <c r="L11" s="104"/>
      <c r="M11" s="620">
        <f>I21+I27+I33+I39+I45</f>
        <v>0</v>
      </c>
      <c r="N11" s="179" t="s">
        <v>176</v>
      </c>
    </row>
    <row r="12" spans="1:14" s="28" customFormat="1" ht="15" customHeight="1">
      <c r="A12" s="121"/>
      <c r="B12" s="248"/>
      <c r="C12" s="248"/>
      <c r="D12" s="248"/>
      <c r="E12" s="121"/>
      <c r="F12" s="703"/>
      <c r="G12" s="178" t="s">
        <v>172</v>
      </c>
      <c r="H12" s="192"/>
      <c r="I12" s="554"/>
      <c r="J12" s="614">
        <v>165</v>
      </c>
      <c r="K12" s="614">
        <f>I12*J12</f>
        <v>0</v>
      </c>
      <c r="L12" s="491"/>
      <c r="M12" s="620">
        <f>I51+I54+I57+I60+I63+I66+I69+I72+I75</f>
        <v>0</v>
      </c>
      <c r="N12" s="613" t="s">
        <v>10</v>
      </c>
    </row>
    <row r="13" spans="1:14" s="28" customFormat="1" ht="15" customHeight="1">
      <c r="A13" s="121"/>
      <c r="B13" s="121"/>
      <c r="C13" s="121"/>
      <c r="D13" s="121"/>
      <c r="E13" s="647" t="s">
        <v>9</v>
      </c>
      <c r="F13" s="706">
        <f>SUM(F10:F12)</f>
        <v>0</v>
      </c>
      <c r="G13" s="647"/>
      <c r="H13" s="647"/>
      <c r="I13" s="707"/>
      <c r="J13" s="708"/>
      <c r="K13" s="60">
        <f>SUM(K10:K12)</f>
        <v>0</v>
      </c>
      <c r="L13" s="60" t="e">
        <f>K13/F13</f>
        <v>#DIV/0!</v>
      </c>
      <c r="M13" s="733"/>
      <c r="N13" s="613" t="s">
        <v>1201</v>
      </c>
    </row>
    <row r="14" spans="1:14" s="28" customFormat="1" ht="15" customHeight="1">
      <c r="A14" s="657"/>
      <c r="B14" s="657"/>
      <c r="C14" s="657"/>
      <c r="D14" s="611" t="s">
        <v>30</v>
      </c>
      <c r="E14" s="611"/>
      <c r="F14" s="710">
        <f>F9+F13</f>
        <v>0</v>
      </c>
      <c r="G14" s="711"/>
      <c r="H14" s="711"/>
      <c r="I14" s="711"/>
      <c r="J14" s="711"/>
      <c r="K14" s="710">
        <f>K13</f>
        <v>0</v>
      </c>
      <c r="L14" s="712" t="e">
        <f>K14/F14</f>
        <v>#DIV/0!</v>
      </c>
      <c r="M14" s="734"/>
      <c r="N14" s="613" t="s">
        <v>1202</v>
      </c>
    </row>
    <row r="15" spans="1:14" s="28" customFormat="1" ht="15" customHeight="1">
      <c r="A15" s="702" t="s">
        <v>23</v>
      </c>
      <c r="B15" s="702"/>
      <c r="C15" s="702"/>
      <c r="D15" s="702"/>
      <c r="E15" s="702"/>
      <c r="F15" s="657"/>
      <c r="G15" s="657"/>
      <c r="H15" s="657"/>
      <c r="I15" s="657"/>
      <c r="J15" s="657"/>
      <c r="K15" s="849" t="s">
        <v>1214</v>
      </c>
      <c r="L15" s="849"/>
      <c r="M15" s="849"/>
      <c r="N15" s="613" t="s">
        <v>1203</v>
      </c>
    </row>
    <row r="16" spans="1:14" s="28" customFormat="1" ht="15" customHeight="1">
      <c r="A16" s="647" t="s">
        <v>0</v>
      </c>
      <c r="B16" s="647" t="s">
        <v>7</v>
      </c>
      <c r="C16" s="647" t="s">
        <v>13</v>
      </c>
      <c r="D16" s="647" t="s">
        <v>14</v>
      </c>
      <c r="E16" s="647" t="s">
        <v>8</v>
      </c>
      <c r="F16" s="647" t="s">
        <v>1</v>
      </c>
      <c r="G16" s="647" t="s">
        <v>2</v>
      </c>
      <c r="H16" s="647" t="s">
        <v>15</v>
      </c>
      <c r="I16" s="647" t="s">
        <v>3</v>
      </c>
      <c r="J16" s="647" t="s">
        <v>4</v>
      </c>
      <c r="K16" s="647" t="s">
        <v>5</v>
      </c>
      <c r="L16" s="647" t="s">
        <v>12</v>
      </c>
      <c r="M16" s="735" t="s">
        <v>6</v>
      </c>
      <c r="N16" s="613" t="s">
        <v>1204</v>
      </c>
    </row>
    <row r="17" spans="1:14" s="28" customFormat="1" ht="15" customHeight="1">
      <c r="A17" s="121">
        <v>1</v>
      </c>
      <c r="B17" s="178" t="s">
        <v>511</v>
      </c>
      <c r="C17" s="178" t="s">
        <v>121</v>
      </c>
      <c r="D17" s="178" t="s">
        <v>180</v>
      </c>
      <c r="E17" s="178"/>
      <c r="F17" s="621"/>
      <c r="G17" s="178" t="s">
        <v>24</v>
      </c>
      <c r="H17" s="192"/>
      <c r="I17" s="554"/>
      <c r="J17" s="614">
        <v>74</v>
      </c>
      <c r="K17" s="614">
        <f t="shared" ref="K17:K19" si="2">I17*J17</f>
        <v>0</v>
      </c>
      <c r="L17" s="192"/>
      <c r="M17" s="611"/>
      <c r="N17" s="153" t="s">
        <v>1205</v>
      </c>
    </row>
    <row r="18" spans="1:14" s="28" customFormat="1" ht="15" customHeight="1">
      <c r="A18" s="121"/>
      <c r="B18" s="178"/>
      <c r="C18" s="178"/>
      <c r="D18" s="178"/>
      <c r="E18" s="178"/>
      <c r="F18" s="621"/>
      <c r="G18" s="178" t="s">
        <v>18</v>
      </c>
      <c r="H18" s="192"/>
      <c r="I18" s="554"/>
      <c r="J18" s="614">
        <v>46</v>
      </c>
      <c r="K18" s="614">
        <f t="shared" si="2"/>
        <v>0</v>
      </c>
      <c r="L18" s="192"/>
      <c r="M18" s="736"/>
      <c r="N18" s="153" t="s">
        <v>1206</v>
      </c>
    </row>
    <row r="19" spans="1:14" s="28" customFormat="1" ht="15" customHeight="1">
      <c r="A19" s="121"/>
      <c r="B19" s="178"/>
      <c r="C19" s="178"/>
      <c r="D19" s="178"/>
      <c r="E19" s="178"/>
      <c r="F19" s="621"/>
      <c r="G19" s="178" t="s">
        <v>171</v>
      </c>
      <c r="H19" s="192"/>
      <c r="I19" s="554"/>
      <c r="J19" s="614">
        <v>416</v>
      </c>
      <c r="K19" s="614">
        <f t="shared" si="2"/>
        <v>0</v>
      </c>
      <c r="L19" s="192"/>
      <c r="M19" s="736"/>
      <c r="N19" s="153" t="s">
        <v>1207</v>
      </c>
    </row>
    <row r="20" spans="1:14" s="28" customFormat="1" ht="15" customHeight="1">
      <c r="A20" s="121"/>
      <c r="B20" s="178"/>
      <c r="C20" s="178"/>
      <c r="D20" s="178"/>
      <c r="E20" s="180"/>
      <c r="F20" s="622"/>
      <c r="G20" s="178" t="s">
        <v>172</v>
      </c>
      <c r="H20" s="192"/>
      <c r="I20" s="554"/>
      <c r="J20" s="614">
        <v>165</v>
      </c>
      <c r="K20" s="614">
        <f>I20*J20</f>
        <v>0</v>
      </c>
      <c r="L20" s="192"/>
      <c r="M20" s="736"/>
      <c r="N20" s="153" t="s">
        <v>1208</v>
      </c>
    </row>
    <row r="21" spans="1:14" s="28" customFormat="1" ht="15" customHeight="1">
      <c r="A21" s="121"/>
      <c r="B21" s="178"/>
      <c r="C21" s="178"/>
      <c r="D21" s="178"/>
      <c r="E21" s="180"/>
      <c r="F21" s="621"/>
      <c r="G21" s="179" t="s">
        <v>181</v>
      </c>
      <c r="H21" s="192"/>
      <c r="I21" s="554"/>
      <c r="J21" s="614">
        <v>165</v>
      </c>
      <c r="K21" s="614">
        <f t="shared" ref="K21" si="3">I21*J21</f>
        <v>0</v>
      </c>
      <c r="L21" s="192"/>
      <c r="M21" s="736"/>
      <c r="N21" s="153" t="s">
        <v>912</v>
      </c>
    </row>
    <row r="22" spans="1:14" s="28" customFormat="1" ht="15" customHeight="1">
      <c r="A22" s="121"/>
      <c r="B22" s="121"/>
      <c r="C22" s="121"/>
      <c r="D22" s="121"/>
      <c r="E22" s="647" t="s">
        <v>9</v>
      </c>
      <c r="F22" s="706">
        <f>SUM(F17:F21)</f>
        <v>0</v>
      </c>
      <c r="G22" s="647"/>
      <c r="H22" s="647"/>
      <c r="I22" s="707"/>
      <c r="J22" s="708"/>
      <c r="K22" s="60">
        <f>SUM(K17:K21)</f>
        <v>0</v>
      </c>
      <c r="L22" s="60" t="e">
        <f>K22/F22</f>
        <v>#DIV/0!</v>
      </c>
      <c r="M22" s="612"/>
      <c r="N22" s="153" t="s">
        <v>1209</v>
      </c>
    </row>
    <row r="23" spans="1:14" s="28" customFormat="1" ht="15" customHeight="1">
      <c r="A23" s="121">
        <v>2</v>
      </c>
      <c r="B23" s="178" t="s">
        <v>614</v>
      </c>
      <c r="C23" s="178" t="s">
        <v>662</v>
      </c>
      <c r="D23" s="178" t="s">
        <v>663</v>
      </c>
      <c r="E23" s="180"/>
      <c r="F23" s="621"/>
      <c r="G23" s="178" t="s">
        <v>24</v>
      </c>
      <c r="H23" s="192"/>
      <c r="I23" s="554"/>
      <c r="J23" s="614">
        <v>74</v>
      </c>
      <c r="K23" s="614">
        <f t="shared" ref="K23:K25" si="4">I23*J23</f>
        <v>0</v>
      </c>
      <c r="L23" s="491"/>
      <c r="M23" s="491"/>
      <c r="N23" s="610"/>
    </row>
    <row r="24" spans="1:14" s="28" customFormat="1" ht="15" customHeight="1">
      <c r="A24" s="121"/>
      <c r="B24" s="121"/>
      <c r="C24" s="121"/>
      <c r="D24" s="121"/>
      <c r="E24" s="121"/>
      <c r="F24" s="703"/>
      <c r="G24" s="178" t="s">
        <v>18</v>
      </c>
      <c r="H24" s="192"/>
      <c r="I24" s="554"/>
      <c r="J24" s="614">
        <v>46</v>
      </c>
      <c r="K24" s="614">
        <f t="shared" si="4"/>
        <v>0</v>
      </c>
      <c r="L24" s="491"/>
      <c r="M24" s="491"/>
      <c r="N24" s="610"/>
    </row>
    <row r="25" spans="1:14" s="28" customFormat="1" ht="15" customHeight="1">
      <c r="A25" s="121"/>
      <c r="B25" s="121"/>
      <c r="C25" s="121"/>
      <c r="D25" s="121"/>
      <c r="E25" s="121"/>
      <c r="F25" s="703"/>
      <c r="G25" s="178" t="s">
        <v>171</v>
      </c>
      <c r="H25" s="192"/>
      <c r="I25" s="554"/>
      <c r="J25" s="614">
        <v>416</v>
      </c>
      <c r="K25" s="614">
        <f t="shared" si="4"/>
        <v>0</v>
      </c>
      <c r="L25" s="491"/>
      <c r="M25" s="491"/>
      <c r="N25" s="610"/>
    </row>
    <row r="26" spans="1:14" s="28" customFormat="1" ht="15" customHeight="1">
      <c r="A26" s="121"/>
      <c r="B26" s="121"/>
      <c r="C26" s="121"/>
      <c r="D26" s="121"/>
      <c r="E26" s="121"/>
      <c r="F26" s="703"/>
      <c r="G26" s="178" t="s">
        <v>172</v>
      </c>
      <c r="H26" s="192"/>
      <c r="I26" s="554"/>
      <c r="J26" s="614">
        <v>165</v>
      </c>
      <c r="K26" s="614">
        <f>I26*J26</f>
        <v>0</v>
      </c>
      <c r="L26" s="491"/>
      <c r="M26" s="491"/>
      <c r="N26" s="657"/>
    </row>
    <row r="27" spans="1:14" s="28" customFormat="1" ht="15" customHeight="1">
      <c r="A27" s="121"/>
      <c r="B27" s="121"/>
      <c r="C27" s="121"/>
      <c r="D27" s="121"/>
      <c r="E27" s="121"/>
      <c r="F27" s="703"/>
      <c r="G27" s="179" t="s">
        <v>181</v>
      </c>
      <c r="H27" s="192"/>
      <c r="I27" s="554"/>
      <c r="J27" s="614">
        <v>165</v>
      </c>
      <c r="K27" s="614">
        <f t="shared" ref="K27" si="5">I27*J27</f>
        <v>0</v>
      </c>
      <c r="L27" s="491"/>
      <c r="M27" s="491"/>
      <c r="N27" s="657"/>
    </row>
    <row r="28" spans="1:14" s="28" customFormat="1" ht="15" customHeight="1">
      <c r="A28" s="121"/>
      <c r="B28" s="121"/>
      <c r="C28" s="121"/>
      <c r="D28" s="121"/>
      <c r="E28" s="647" t="s">
        <v>9</v>
      </c>
      <c r="F28" s="706">
        <f>SUM(F23:F27)</f>
        <v>0</v>
      </c>
      <c r="G28" s="647"/>
      <c r="H28" s="647"/>
      <c r="I28" s="707"/>
      <c r="J28" s="708"/>
      <c r="K28" s="60">
        <f>SUM(K23:K27)</f>
        <v>0</v>
      </c>
      <c r="L28" s="60" t="e">
        <f>K28/F28</f>
        <v>#DIV/0!</v>
      </c>
      <c r="M28" s="491"/>
      <c r="N28" s="657"/>
    </row>
    <row r="29" spans="1:14" s="28" customFormat="1" ht="15" customHeight="1">
      <c r="A29" s="121">
        <v>3</v>
      </c>
      <c r="B29" s="178" t="s">
        <v>588</v>
      </c>
      <c r="C29" s="178" t="s">
        <v>121</v>
      </c>
      <c r="D29" s="178" t="s">
        <v>324</v>
      </c>
      <c r="E29" s="178"/>
      <c r="F29" s="621"/>
      <c r="G29" s="178" t="s">
        <v>24</v>
      </c>
      <c r="H29" s="192"/>
      <c r="I29" s="554"/>
      <c r="J29" s="614">
        <v>74</v>
      </c>
      <c r="K29" s="614">
        <f t="shared" ref="K29:K31" si="6">I29*J29</f>
        <v>0</v>
      </c>
      <c r="L29" s="491"/>
      <c r="M29" s="491"/>
      <c r="N29" s="657"/>
    </row>
    <row r="30" spans="1:14" s="28" customFormat="1" ht="15" customHeight="1">
      <c r="A30" s="121"/>
      <c r="B30" s="178"/>
      <c r="C30" s="248"/>
      <c r="D30" s="248"/>
      <c r="E30" s="121"/>
      <c r="F30" s="659"/>
      <c r="G30" s="178" t="s">
        <v>18</v>
      </c>
      <c r="H30" s="192"/>
      <c r="I30" s="554"/>
      <c r="J30" s="614">
        <v>46</v>
      </c>
      <c r="K30" s="614">
        <f t="shared" si="6"/>
        <v>0</v>
      </c>
      <c r="L30" s="491"/>
      <c r="M30" s="491"/>
      <c r="N30" s="657"/>
    </row>
    <row r="31" spans="1:14" s="28" customFormat="1" ht="15" customHeight="1">
      <c r="A31" s="121"/>
      <c r="B31" s="178"/>
      <c r="C31" s="178"/>
      <c r="D31" s="178"/>
      <c r="E31" s="121"/>
      <c r="F31" s="659"/>
      <c r="G31" s="178" t="s">
        <v>171</v>
      </c>
      <c r="H31" s="192"/>
      <c r="I31" s="554"/>
      <c r="J31" s="614">
        <v>416</v>
      </c>
      <c r="K31" s="614">
        <f t="shared" si="6"/>
        <v>0</v>
      </c>
      <c r="L31" s="491"/>
      <c r="M31" s="491"/>
      <c r="N31" s="657"/>
    </row>
    <row r="32" spans="1:14" s="28" customFormat="1" ht="15" customHeight="1">
      <c r="A32" s="121"/>
      <c r="B32" s="248"/>
      <c r="C32" s="248"/>
      <c r="D32" s="248"/>
      <c r="E32" s="121"/>
      <c r="F32" s="703"/>
      <c r="G32" s="178" t="s">
        <v>172</v>
      </c>
      <c r="H32" s="192"/>
      <c r="I32" s="554"/>
      <c r="J32" s="614">
        <v>165</v>
      </c>
      <c r="K32" s="614">
        <f>I32*J32</f>
        <v>0</v>
      </c>
      <c r="L32" s="491"/>
      <c r="M32" s="491"/>
      <c r="N32" s="657"/>
    </row>
    <row r="33" spans="1:14" s="28" customFormat="1" ht="15" customHeight="1">
      <c r="A33" s="121"/>
      <c r="B33" s="121"/>
      <c r="C33" s="121"/>
      <c r="D33" s="121"/>
      <c r="E33" s="121"/>
      <c r="F33" s="703"/>
      <c r="G33" s="179" t="s">
        <v>181</v>
      </c>
      <c r="H33" s="192"/>
      <c r="I33" s="554"/>
      <c r="J33" s="614">
        <v>165</v>
      </c>
      <c r="K33" s="614">
        <f t="shared" ref="K33" si="7">I33*J33</f>
        <v>0</v>
      </c>
      <c r="L33" s="491"/>
      <c r="M33" s="491"/>
      <c r="N33" s="657"/>
    </row>
    <row r="34" spans="1:14" s="28" customFormat="1" ht="15" customHeight="1">
      <c r="A34" s="121"/>
      <c r="B34" s="121"/>
      <c r="C34" s="121"/>
      <c r="D34" s="121"/>
      <c r="E34" s="647" t="s">
        <v>9</v>
      </c>
      <c r="F34" s="706">
        <f>SUM(F29:F33)</f>
        <v>0</v>
      </c>
      <c r="G34" s="647"/>
      <c r="H34" s="647"/>
      <c r="I34" s="707"/>
      <c r="J34" s="708"/>
      <c r="K34" s="60">
        <f>SUM(K29:K33)</f>
        <v>0</v>
      </c>
      <c r="L34" s="60" t="e">
        <f>K34/F34</f>
        <v>#DIV/0!</v>
      </c>
      <c r="M34" s="491"/>
      <c r="N34" s="657"/>
    </row>
    <row r="35" spans="1:14" s="28" customFormat="1" ht="15" customHeight="1">
      <c r="A35" s="121">
        <v>4</v>
      </c>
      <c r="B35" s="178" t="s">
        <v>611</v>
      </c>
      <c r="C35" s="178" t="s">
        <v>612</v>
      </c>
      <c r="D35" s="178" t="s">
        <v>613</v>
      </c>
      <c r="E35" s="178"/>
      <c r="F35" s="621"/>
      <c r="G35" s="178" t="s">
        <v>24</v>
      </c>
      <c r="H35" s="192"/>
      <c r="I35" s="554"/>
      <c r="J35" s="614">
        <v>74</v>
      </c>
      <c r="K35" s="614">
        <f t="shared" ref="K35:K37" si="8">I35*J35</f>
        <v>0</v>
      </c>
      <c r="L35" s="491"/>
      <c r="M35" s="491"/>
      <c r="N35" s="657"/>
    </row>
    <row r="36" spans="1:14" s="28" customFormat="1" ht="15" customHeight="1">
      <c r="A36" s="121"/>
      <c r="B36" s="121"/>
      <c r="C36" s="121"/>
      <c r="D36" s="121"/>
      <c r="E36" s="121"/>
      <c r="F36" s="703"/>
      <c r="G36" s="178" t="s">
        <v>18</v>
      </c>
      <c r="H36" s="192"/>
      <c r="I36" s="554"/>
      <c r="J36" s="614">
        <v>46</v>
      </c>
      <c r="K36" s="614">
        <f t="shared" si="8"/>
        <v>0</v>
      </c>
      <c r="L36" s="491"/>
      <c r="M36" s="491"/>
      <c r="N36" s="657"/>
    </row>
    <row r="37" spans="1:14" s="28" customFormat="1" ht="15" customHeight="1">
      <c r="A37" s="121"/>
      <c r="B37" s="121"/>
      <c r="C37" s="121"/>
      <c r="D37" s="121"/>
      <c r="E37" s="121"/>
      <c r="F37" s="703"/>
      <c r="G37" s="178" t="s">
        <v>171</v>
      </c>
      <c r="H37" s="192"/>
      <c r="I37" s="554"/>
      <c r="J37" s="614">
        <v>416</v>
      </c>
      <c r="K37" s="614">
        <f t="shared" si="8"/>
        <v>0</v>
      </c>
      <c r="L37" s="491"/>
      <c r="M37" s="491"/>
      <c r="N37" s="657"/>
    </row>
    <row r="38" spans="1:14" s="28" customFormat="1" ht="15" customHeight="1">
      <c r="A38" s="121"/>
      <c r="B38" s="121"/>
      <c r="C38" s="121"/>
      <c r="D38" s="121"/>
      <c r="E38" s="121"/>
      <c r="F38" s="703"/>
      <c r="G38" s="178" t="s">
        <v>172</v>
      </c>
      <c r="H38" s="192"/>
      <c r="I38" s="554"/>
      <c r="J38" s="614">
        <v>165</v>
      </c>
      <c r="K38" s="614">
        <f>I38*J38</f>
        <v>0</v>
      </c>
      <c r="L38" s="491"/>
      <c r="M38" s="491"/>
      <c r="N38" s="657"/>
    </row>
    <row r="39" spans="1:14" s="28" customFormat="1" ht="15" customHeight="1">
      <c r="A39" s="121"/>
      <c r="B39" s="121"/>
      <c r="C39" s="121"/>
      <c r="D39" s="121"/>
      <c r="E39" s="121"/>
      <c r="F39" s="703"/>
      <c r="G39" s="179" t="s">
        <v>181</v>
      </c>
      <c r="H39" s="192"/>
      <c r="I39" s="554"/>
      <c r="J39" s="614">
        <v>165</v>
      </c>
      <c r="K39" s="614">
        <f t="shared" ref="K39" si="9">I39*J39</f>
        <v>0</v>
      </c>
      <c r="L39" s="491"/>
      <c r="M39" s="491"/>
      <c r="N39" s="657"/>
    </row>
    <row r="40" spans="1:14" s="28" customFormat="1" ht="15" customHeight="1">
      <c r="A40" s="121"/>
      <c r="B40" s="121"/>
      <c r="C40" s="121"/>
      <c r="D40" s="121"/>
      <c r="E40" s="647" t="s">
        <v>9</v>
      </c>
      <c r="F40" s="706">
        <f>SUM(F35:F39)</f>
        <v>0</v>
      </c>
      <c r="G40" s="647"/>
      <c r="H40" s="647"/>
      <c r="I40" s="707"/>
      <c r="J40" s="708"/>
      <c r="K40" s="60">
        <f>SUM(K35:K39)</f>
        <v>0</v>
      </c>
      <c r="L40" s="60" t="e">
        <f>K40/F40</f>
        <v>#DIV/0!</v>
      </c>
      <c r="M40" s="491"/>
      <c r="N40" s="657"/>
    </row>
    <row r="41" spans="1:14" s="28" customFormat="1" ht="15" customHeight="1">
      <c r="A41" s="121">
        <v>5</v>
      </c>
      <c r="B41" s="178" t="s">
        <v>511</v>
      </c>
      <c r="C41" s="178" t="s">
        <v>121</v>
      </c>
      <c r="D41" s="178" t="s">
        <v>180</v>
      </c>
      <c r="E41" s="178"/>
      <c r="F41" s="621"/>
      <c r="G41" s="178" t="s">
        <v>24</v>
      </c>
      <c r="H41" s="192"/>
      <c r="I41" s="554"/>
      <c r="J41" s="614">
        <v>74</v>
      </c>
      <c r="K41" s="614">
        <f t="shared" ref="K41:K43" si="10">I41*J41</f>
        <v>0</v>
      </c>
      <c r="L41" s="491"/>
      <c r="M41" s="491"/>
      <c r="N41" s="657"/>
    </row>
    <row r="42" spans="1:14" s="28" customFormat="1" ht="15" customHeight="1">
      <c r="A42" s="121"/>
      <c r="B42" s="121"/>
      <c r="C42" s="121"/>
      <c r="D42" s="121"/>
      <c r="E42" s="121"/>
      <c r="F42" s="703"/>
      <c r="G42" s="178" t="s">
        <v>18</v>
      </c>
      <c r="H42" s="192"/>
      <c r="I42" s="554"/>
      <c r="J42" s="614">
        <v>46</v>
      </c>
      <c r="K42" s="614">
        <f t="shared" si="10"/>
        <v>0</v>
      </c>
      <c r="L42" s="491"/>
      <c r="M42" s="491"/>
      <c r="N42" s="657"/>
    </row>
    <row r="43" spans="1:14" s="28" customFormat="1" ht="15" customHeight="1">
      <c r="A43" s="121"/>
      <c r="B43" s="121"/>
      <c r="C43" s="121"/>
      <c r="D43" s="121"/>
      <c r="E43" s="121"/>
      <c r="F43" s="703"/>
      <c r="G43" s="178" t="s">
        <v>171</v>
      </c>
      <c r="H43" s="192"/>
      <c r="I43" s="554"/>
      <c r="J43" s="614">
        <v>416</v>
      </c>
      <c r="K43" s="614">
        <f t="shared" si="10"/>
        <v>0</v>
      </c>
      <c r="L43" s="491"/>
      <c r="M43" s="491"/>
      <c r="N43" s="657"/>
    </row>
    <row r="44" spans="1:14" s="28" customFormat="1" ht="15" customHeight="1">
      <c r="A44" s="121"/>
      <c r="B44" s="121"/>
      <c r="C44" s="121"/>
      <c r="D44" s="121"/>
      <c r="E44" s="121"/>
      <c r="F44" s="703"/>
      <c r="G44" s="178" t="s">
        <v>172</v>
      </c>
      <c r="H44" s="192"/>
      <c r="I44" s="554"/>
      <c r="J44" s="614">
        <v>165</v>
      </c>
      <c r="K44" s="614">
        <f>I44*J44</f>
        <v>0</v>
      </c>
      <c r="L44" s="491"/>
      <c r="M44" s="491"/>
      <c r="N44" s="657"/>
    </row>
    <row r="45" spans="1:14" s="28" customFormat="1" ht="15" customHeight="1">
      <c r="A45" s="121"/>
      <c r="B45" s="121"/>
      <c r="C45" s="121"/>
      <c r="D45" s="121"/>
      <c r="E45" s="121"/>
      <c r="F45" s="703"/>
      <c r="G45" s="179" t="s">
        <v>181</v>
      </c>
      <c r="H45" s="192"/>
      <c r="I45" s="554"/>
      <c r="J45" s="614">
        <v>165</v>
      </c>
      <c r="K45" s="614">
        <f t="shared" ref="K45" si="11">I45*J45</f>
        <v>0</v>
      </c>
      <c r="L45" s="491"/>
      <c r="M45" s="491"/>
      <c r="N45" s="657"/>
    </row>
    <row r="46" spans="1:14" s="28" customFormat="1" ht="15" customHeight="1">
      <c r="A46" s="121"/>
      <c r="B46" s="121"/>
      <c r="C46" s="121"/>
      <c r="D46" s="121"/>
      <c r="E46" s="647" t="s">
        <v>9</v>
      </c>
      <c r="F46" s="706">
        <f>SUM(F41:F45)</f>
        <v>0</v>
      </c>
      <c r="G46" s="647"/>
      <c r="H46" s="647"/>
      <c r="I46" s="707"/>
      <c r="J46" s="708"/>
      <c r="K46" s="60">
        <f>SUM(K41:K45)</f>
        <v>0</v>
      </c>
      <c r="L46" s="60" t="e">
        <f>K46/F46</f>
        <v>#DIV/0!</v>
      </c>
      <c r="M46" s="491"/>
      <c r="N46" s="657"/>
    </row>
    <row r="47" spans="1:14" s="28" customFormat="1" ht="15" customHeight="1">
      <c r="A47" s="713"/>
      <c r="B47" s="713"/>
      <c r="C47" s="713"/>
      <c r="D47" s="647" t="s">
        <v>30</v>
      </c>
      <c r="E47" s="647"/>
      <c r="F47" s="710">
        <f>F22+F28+F34+F40+F46</f>
        <v>0</v>
      </c>
      <c r="G47" s="737"/>
      <c r="H47" s="737"/>
      <c r="I47" s="737"/>
      <c r="J47" s="737"/>
      <c r="K47" s="710">
        <f>K22+K28+K34+K40+K46</f>
        <v>0</v>
      </c>
      <c r="L47" s="712" t="e">
        <f>K47/F47</f>
        <v>#DIV/0!</v>
      </c>
      <c r="M47" s="491"/>
      <c r="N47" s="657"/>
    </row>
    <row r="48" spans="1:14" ht="15" customHeight="1">
      <c r="A48" s="702" t="s">
        <v>22</v>
      </c>
      <c r="B48" s="702"/>
      <c r="C48" s="702"/>
      <c r="D48" s="702"/>
      <c r="E48" s="702"/>
      <c r="F48" s="657"/>
      <c r="G48" s="657"/>
      <c r="H48" s="657"/>
      <c r="I48" s="657"/>
      <c r="J48" s="657"/>
      <c r="K48" s="849" t="s">
        <v>1214</v>
      </c>
      <c r="L48" s="849"/>
      <c r="M48" s="849"/>
      <c r="N48" s="657"/>
    </row>
    <row r="49" spans="1:14" ht="15" customHeight="1">
      <c r="A49" s="647" t="s">
        <v>0</v>
      </c>
      <c r="B49" s="647" t="s">
        <v>7</v>
      </c>
      <c r="C49" s="647" t="s">
        <v>13</v>
      </c>
      <c r="D49" s="647" t="s">
        <v>14</v>
      </c>
      <c r="E49" s="647" t="s">
        <v>8</v>
      </c>
      <c r="F49" s="647" t="s">
        <v>1</v>
      </c>
      <c r="G49" s="647" t="s">
        <v>2</v>
      </c>
      <c r="H49" s="647" t="s">
        <v>15</v>
      </c>
      <c r="I49" s="647" t="s">
        <v>3</v>
      </c>
      <c r="J49" s="647" t="s">
        <v>4</v>
      </c>
      <c r="K49" s="647" t="s">
        <v>5</v>
      </c>
      <c r="L49" s="647" t="s">
        <v>12</v>
      </c>
      <c r="M49" s="647" t="s">
        <v>6</v>
      </c>
      <c r="N49" s="657"/>
    </row>
    <row r="50" spans="1:14" ht="15" customHeight="1">
      <c r="A50" s="121">
        <v>1</v>
      </c>
      <c r="B50" s="178" t="s">
        <v>588</v>
      </c>
      <c r="C50" s="178" t="s">
        <v>121</v>
      </c>
      <c r="D50" s="178" t="s">
        <v>324</v>
      </c>
      <c r="E50" s="178"/>
      <c r="F50" s="621"/>
      <c r="G50" s="178" t="s">
        <v>24</v>
      </c>
      <c r="H50" s="192"/>
      <c r="I50" s="554"/>
      <c r="J50" s="614">
        <v>74</v>
      </c>
      <c r="K50" s="614">
        <f t="shared" ref="K50:K51" si="12">I50*J50</f>
        <v>0</v>
      </c>
      <c r="L50" s="491"/>
      <c r="M50" s="21"/>
      <c r="N50" s="657"/>
    </row>
    <row r="51" spans="1:14" ht="15" customHeight="1">
      <c r="A51" s="121"/>
      <c r="B51" s="248"/>
      <c r="C51" s="248"/>
      <c r="D51" s="248"/>
      <c r="E51" s="121"/>
      <c r="F51" s="703"/>
      <c r="G51" s="613" t="s">
        <v>10</v>
      </c>
      <c r="H51" s="192"/>
      <c r="I51" s="554"/>
      <c r="J51" s="614">
        <v>120</v>
      </c>
      <c r="K51" s="614">
        <f t="shared" si="12"/>
        <v>0</v>
      </c>
      <c r="L51" s="491"/>
      <c r="M51" s="491"/>
      <c r="N51" s="657"/>
    </row>
    <row r="52" spans="1:14" ht="15" customHeight="1">
      <c r="A52" s="121"/>
      <c r="B52" s="248"/>
      <c r="C52" s="248"/>
      <c r="D52" s="248"/>
      <c r="E52" s="647" t="s">
        <v>9</v>
      </c>
      <c r="F52" s="706">
        <f>SUM(F50:F51)</f>
        <v>0</v>
      </c>
      <c r="G52" s="647"/>
      <c r="H52" s="647"/>
      <c r="I52" s="707"/>
      <c r="J52" s="708"/>
      <c r="K52" s="60">
        <f>SUM(K50:K51)</f>
        <v>0</v>
      </c>
      <c r="L52" s="60" t="e">
        <f>K52/F52</f>
        <v>#DIV/0!</v>
      </c>
      <c r="M52" s="491"/>
      <c r="N52" s="657"/>
    </row>
    <row r="53" spans="1:14" ht="15" customHeight="1">
      <c r="A53" s="121">
        <v>2</v>
      </c>
      <c r="B53" s="178" t="s">
        <v>596</v>
      </c>
      <c r="C53" s="178" t="s">
        <v>234</v>
      </c>
      <c r="D53" s="178" t="s">
        <v>597</v>
      </c>
      <c r="E53" s="178"/>
      <c r="F53" s="621"/>
      <c r="G53" s="178" t="s">
        <v>24</v>
      </c>
      <c r="H53" s="192"/>
      <c r="I53" s="554"/>
      <c r="J53" s="614">
        <v>74</v>
      </c>
      <c r="K53" s="614">
        <f t="shared" ref="K53:K54" si="13">I53*J53</f>
        <v>0</v>
      </c>
      <c r="L53" s="491"/>
      <c r="M53" s="491"/>
      <c r="N53" s="657"/>
    </row>
    <row r="54" spans="1:14" ht="15" customHeight="1">
      <c r="A54" s="121"/>
      <c r="B54" s="248"/>
      <c r="C54" s="248"/>
      <c r="D54" s="248"/>
      <c r="E54" s="121"/>
      <c r="F54" s="703"/>
      <c r="G54" s="613" t="s">
        <v>10</v>
      </c>
      <c r="H54" s="192"/>
      <c r="I54" s="554"/>
      <c r="J54" s="614">
        <v>120</v>
      </c>
      <c r="K54" s="614">
        <f t="shared" si="13"/>
        <v>0</v>
      </c>
      <c r="L54" s="491"/>
      <c r="M54" s="491"/>
      <c r="N54" s="657"/>
    </row>
    <row r="55" spans="1:14" ht="15" customHeight="1">
      <c r="A55" s="121"/>
      <c r="B55" s="248"/>
      <c r="C55" s="248"/>
      <c r="D55" s="248"/>
      <c r="E55" s="647" t="s">
        <v>9</v>
      </c>
      <c r="F55" s="706">
        <f>SUM(F53:F54)</f>
        <v>0</v>
      </c>
      <c r="G55" s="647"/>
      <c r="H55" s="647"/>
      <c r="I55" s="707"/>
      <c r="J55" s="708"/>
      <c r="K55" s="60">
        <f>SUM(K53:K54)</f>
        <v>0</v>
      </c>
      <c r="L55" s="60" t="e">
        <f>K55/F55</f>
        <v>#DIV/0!</v>
      </c>
      <c r="M55" s="491"/>
      <c r="N55" s="657"/>
    </row>
    <row r="56" spans="1:14" ht="15" customHeight="1">
      <c r="A56" s="121">
        <v>3</v>
      </c>
      <c r="B56" s="178" t="s">
        <v>598</v>
      </c>
      <c r="C56" s="178" t="s">
        <v>626</v>
      </c>
      <c r="D56" s="178" t="s">
        <v>599</v>
      </c>
      <c r="E56" s="180"/>
      <c r="F56" s="621"/>
      <c r="G56" s="178" t="s">
        <v>24</v>
      </c>
      <c r="H56" s="192"/>
      <c r="I56" s="554"/>
      <c r="J56" s="614">
        <v>74</v>
      </c>
      <c r="K56" s="614">
        <f t="shared" ref="K56:K57" si="14">I56*J56</f>
        <v>0</v>
      </c>
      <c r="L56" s="491"/>
      <c r="M56" s="491"/>
      <c r="N56" s="657"/>
    </row>
    <row r="57" spans="1:14" ht="15" customHeight="1">
      <c r="A57" s="121"/>
      <c r="B57" s="121"/>
      <c r="C57" s="121"/>
      <c r="D57" s="121"/>
      <c r="E57" s="121"/>
      <c r="F57" s="703"/>
      <c r="G57" s="613" t="s">
        <v>10</v>
      </c>
      <c r="H57" s="192"/>
      <c r="I57" s="554"/>
      <c r="J57" s="614">
        <v>120</v>
      </c>
      <c r="K57" s="614">
        <f t="shared" si="14"/>
        <v>0</v>
      </c>
      <c r="L57" s="491"/>
      <c r="M57" s="491"/>
      <c r="N57" s="657"/>
    </row>
    <row r="58" spans="1:14" ht="15" customHeight="1">
      <c r="A58" s="121"/>
      <c r="B58" s="121"/>
      <c r="C58" s="121"/>
      <c r="D58" s="121"/>
      <c r="E58" s="647" t="s">
        <v>9</v>
      </c>
      <c r="F58" s="706">
        <f>SUM(F56:F57)</f>
        <v>0</v>
      </c>
      <c r="G58" s="647"/>
      <c r="H58" s="647"/>
      <c r="I58" s="707"/>
      <c r="J58" s="708"/>
      <c r="K58" s="60">
        <f>SUM(K56:K57)</f>
        <v>0</v>
      </c>
      <c r="L58" s="60" t="e">
        <f>K58/F58</f>
        <v>#DIV/0!</v>
      </c>
      <c r="M58" s="491"/>
      <c r="N58" s="657"/>
    </row>
    <row r="59" spans="1:14" ht="15" customHeight="1">
      <c r="A59" s="121">
        <v>4</v>
      </c>
      <c r="B59" s="178" t="s">
        <v>565</v>
      </c>
      <c r="C59" s="178" t="s">
        <v>566</v>
      </c>
      <c r="D59" s="178" t="s">
        <v>556</v>
      </c>
      <c r="E59" s="178"/>
      <c r="F59" s="619"/>
      <c r="G59" s="178" t="s">
        <v>24</v>
      </c>
      <c r="H59" s="192"/>
      <c r="I59" s="554"/>
      <c r="J59" s="614">
        <v>74</v>
      </c>
      <c r="K59" s="614">
        <f t="shared" ref="K59:K60" si="15">I59*J59</f>
        <v>0</v>
      </c>
      <c r="L59" s="491"/>
      <c r="M59" s="491"/>
      <c r="N59" s="657"/>
    </row>
    <row r="60" spans="1:14" ht="15" customHeight="1">
      <c r="A60" s="121"/>
      <c r="B60" s="121"/>
      <c r="C60" s="121"/>
      <c r="D60" s="121"/>
      <c r="E60" s="121"/>
      <c r="F60" s="703"/>
      <c r="G60" s="613" t="s">
        <v>10</v>
      </c>
      <c r="H60" s="192"/>
      <c r="I60" s="554"/>
      <c r="J60" s="614">
        <v>120</v>
      </c>
      <c r="K60" s="614">
        <f t="shared" si="15"/>
        <v>0</v>
      </c>
      <c r="L60" s="491"/>
      <c r="M60" s="491"/>
      <c r="N60" s="657"/>
    </row>
    <row r="61" spans="1:14" ht="15" customHeight="1">
      <c r="A61" s="121"/>
      <c r="B61" s="121"/>
      <c r="C61" s="121"/>
      <c r="D61" s="121"/>
      <c r="E61" s="647" t="s">
        <v>9</v>
      </c>
      <c r="F61" s="706">
        <f>SUM(F59:F60)</f>
        <v>0</v>
      </c>
      <c r="G61" s="647"/>
      <c r="H61" s="647"/>
      <c r="I61" s="707"/>
      <c r="J61" s="708"/>
      <c r="K61" s="60">
        <f>SUM(K59:K60)</f>
        <v>0</v>
      </c>
      <c r="L61" s="60" t="e">
        <f>K61/F61</f>
        <v>#DIV/0!</v>
      </c>
      <c r="M61" s="491"/>
      <c r="N61" s="657"/>
    </row>
    <row r="62" spans="1:14" ht="15" customHeight="1">
      <c r="A62" s="121">
        <v>5</v>
      </c>
      <c r="B62" s="178" t="s">
        <v>614</v>
      </c>
      <c r="C62" s="178" t="s">
        <v>381</v>
      </c>
      <c r="D62" s="178" t="s">
        <v>615</v>
      </c>
      <c r="E62" s="178"/>
      <c r="F62" s="621"/>
      <c r="G62" s="178" t="s">
        <v>24</v>
      </c>
      <c r="H62" s="192"/>
      <c r="I62" s="554"/>
      <c r="J62" s="614">
        <v>74</v>
      </c>
      <c r="K62" s="614">
        <f t="shared" ref="K62:K63" si="16">I62*J62</f>
        <v>0</v>
      </c>
      <c r="L62" s="491"/>
      <c r="M62" s="491"/>
      <c r="N62" s="657"/>
    </row>
    <row r="63" spans="1:14" ht="15" customHeight="1">
      <c r="A63" s="121"/>
      <c r="B63" s="121"/>
      <c r="C63" s="121"/>
      <c r="D63" s="121"/>
      <c r="E63" s="121"/>
      <c r="F63" s="703"/>
      <c r="G63" s="613" t="s">
        <v>10</v>
      </c>
      <c r="H63" s="192"/>
      <c r="I63" s="554"/>
      <c r="J63" s="614">
        <v>120</v>
      </c>
      <c r="K63" s="614">
        <f t="shared" si="16"/>
        <v>0</v>
      </c>
      <c r="L63" s="491"/>
      <c r="M63" s="491"/>
      <c r="N63" s="657"/>
    </row>
    <row r="64" spans="1:14" ht="15" customHeight="1">
      <c r="A64" s="121"/>
      <c r="B64" s="121"/>
      <c r="C64" s="121"/>
      <c r="D64" s="121"/>
      <c r="E64" s="647" t="s">
        <v>9</v>
      </c>
      <c r="F64" s="706">
        <f>SUM(F62:F63)</f>
        <v>0</v>
      </c>
      <c r="G64" s="647"/>
      <c r="H64" s="647"/>
      <c r="I64" s="707"/>
      <c r="J64" s="708"/>
      <c r="K64" s="60">
        <f>SUM(K62:K63)</f>
        <v>0</v>
      </c>
      <c r="L64" s="60" t="e">
        <f>K64/F64</f>
        <v>#DIV/0!</v>
      </c>
      <c r="M64" s="491"/>
      <c r="N64" s="657"/>
    </row>
    <row r="65" spans="1:14" ht="15" customHeight="1">
      <c r="A65" s="121">
        <v>6</v>
      </c>
      <c r="B65" s="178" t="s">
        <v>511</v>
      </c>
      <c r="C65" s="178" t="s">
        <v>121</v>
      </c>
      <c r="D65" s="178" t="s">
        <v>180</v>
      </c>
      <c r="E65" s="178"/>
      <c r="F65" s="621"/>
      <c r="G65" s="178" t="s">
        <v>24</v>
      </c>
      <c r="H65" s="192"/>
      <c r="I65" s="554"/>
      <c r="J65" s="614">
        <v>74</v>
      </c>
      <c r="K65" s="614">
        <f t="shared" ref="K65:K66" si="17">I65*J65</f>
        <v>0</v>
      </c>
      <c r="L65" s="491"/>
      <c r="M65" s="491"/>
      <c r="N65" s="657"/>
    </row>
    <row r="66" spans="1:14" ht="15" customHeight="1">
      <c r="A66" s="121"/>
      <c r="B66" s="121"/>
      <c r="C66" s="121"/>
      <c r="D66" s="121"/>
      <c r="E66" s="121"/>
      <c r="F66" s="703"/>
      <c r="G66" s="613" t="s">
        <v>10</v>
      </c>
      <c r="H66" s="192"/>
      <c r="I66" s="554"/>
      <c r="J66" s="614">
        <v>120</v>
      </c>
      <c r="K66" s="614">
        <f t="shared" si="17"/>
        <v>0</v>
      </c>
      <c r="L66" s="491"/>
      <c r="M66" s="491"/>
      <c r="N66" s="657"/>
    </row>
    <row r="67" spans="1:14" ht="15" customHeight="1">
      <c r="A67" s="121"/>
      <c r="B67" s="121"/>
      <c r="C67" s="121"/>
      <c r="D67" s="121"/>
      <c r="E67" s="647" t="s">
        <v>9</v>
      </c>
      <c r="F67" s="706">
        <f>SUM(F65:F66)</f>
        <v>0</v>
      </c>
      <c r="G67" s="647"/>
      <c r="H67" s="647"/>
      <c r="I67" s="707"/>
      <c r="J67" s="708"/>
      <c r="K67" s="60">
        <f>SUM(K65:K66)</f>
        <v>0</v>
      </c>
      <c r="L67" s="60" t="e">
        <f>K67/F67</f>
        <v>#DIV/0!</v>
      </c>
      <c r="M67" s="491"/>
      <c r="N67" s="657"/>
    </row>
    <row r="68" spans="1:14" ht="15" customHeight="1">
      <c r="A68" s="121">
        <v>7</v>
      </c>
      <c r="B68" s="178" t="s">
        <v>504</v>
      </c>
      <c r="C68" s="178" t="s">
        <v>121</v>
      </c>
      <c r="D68" s="178" t="s">
        <v>664</v>
      </c>
      <c r="E68" s="178"/>
      <c r="F68" s="621"/>
      <c r="G68" s="178" t="s">
        <v>24</v>
      </c>
      <c r="H68" s="192"/>
      <c r="I68" s="554"/>
      <c r="J68" s="614">
        <v>74</v>
      </c>
      <c r="K68" s="614">
        <f t="shared" ref="K68:K69" si="18">I68*J68</f>
        <v>0</v>
      </c>
      <c r="L68" s="491"/>
      <c r="M68" s="491"/>
      <c r="N68" s="657"/>
    </row>
    <row r="69" spans="1:14" ht="15" customHeight="1">
      <c r="A69" s="121"/>
      <c r="B69" s="121"/>
      <c r="C69" s="121"/>
      <c r="D69" s="121"/>
      <c r="E69" s="121"/>
      <c r="F69" s="703"/>
      <c r="G69" s="613" t="s">
        <v>10</v>
      </c>
      <c r="H69" s="192"/>
      <c r="I69" s="554"/>
      <c r="J69" s="614">
        <v>120</v>
      </c>
      <c r="K69" s="614">
        <f t="shared" si="18"/>
        <v>0</v>
      </c>
      <c r="L69" s="491"/>
      <c r="M69" s="491"/>
      <c r="N69" s="657"/>
    </row>
    <row r="70" spans="1:14" ht="15" customHeight="1">
      <c r="A70" s="121"/>
      <c r="B70" s="121"/>
      <c r="C70" s="121"/>
      <c r="D70" s="121"/>
      <c r="E70" s="647" t="s">
        <v>9</v>
      </c>
      <c r="F70" s="706">
        <f>SUM(F68:F69)</f>
        <v>0</v>
      </c>
      <c r="G70" s="647"/>
      <c r="H70" s="647"/>
      <c r="I70" s="707"/>
      <c r="J70" s="708"/>
      <c r="K70" s="60">
        <f>SUM(K68:K69)</f>
        <v>0</v>
      </c>
      <c r="L70" s="60" t="e">
        <f>K70/F70</f>
        <v>#DIV/0!</v>
      </c>
      <c r="M70" s="491"/>
      <c r="N70" s="657"/>
    </row>
    <row r="71" spans="1:14" ht="15" customHeight="1">
      <c r="A71" s="121">
        <v>8</v>
      </c>
      <c r="B71" s="178" t="s">
        <v>541</v>
      </c>
      <c r="C71" s="178" t="s">
        <v>523</v>
      </c>
      <c r="D71" s="178" t="s">
        <v>524</v>
      </c>
      <c r="E71" s="153"/>
      <c r="F71" s="621"/>
      <c r="G71" s="178" t="s">
        <v>24</v>
      </c>
      <c r="H71" s="192"/>
      <c r="I71" s="554"/>
      <c r="J71" s="614">
        <v>74</v>
      </c>
      <c r="K71" s="614">
        <f t="shared" ref="K71:K72" si="19">I71*J71</f>
        <v>0</v>
      </c>
      <c r="L71" s="491"/>
      <c r="M71" s="491"/>
      <c r="N71" s="657"/>
    </row>
    <row r="72" spans="1:14" ht="15" customHeight="1">
      <c r="A72" s="121"/>
      <c r="B72" s="121"/>
      <c r="C72" s="121"/>
      <c r="D72" s="121"/>
      <c r="E72" s="647"/>
      <c r="F72" s="706"/>
      <c r="G72" s="613" t="s">
        <v>10</v>
      </c>
      <c r="H72" s="192"/>
      <c r="I72" s="554"/>
      <c r="J72" s="614">
        <v>120</v>
      </c>
      <c r="K72" s="614">
        <f t="shared" si="19"/>
        <v>0</v>
      </c>
      <c r="L72" s="491"/>
      <c r="M72" s="491"/>
      <c r="N72" s="657"/>
    </row>
    <row r="73" spans="1:14" ht="15" customHeight="1">
      <c r="A73" s="121"/>
      <c r="B73" s="121"/>
      <c r="C73" s="121"/>
      <c r="D73" s="121"/>
      <c r="E73" s="647" t="s">
        <v>9</v>
      </c>
      <c r="F73" s="706">
        <f>SUM(F71:F72)</f>
        <v>0</v>
      </c>
      <c r="G73" s="647"/>
      <c r="H73" s="647"/>
      <c r="I73" s="707"/>
      <c r="J73" s="708"/>
      <c r="K73" s="60">
        <f>SUM(K71:K72)</f>
        <v>0</v>
      </c>
      <c r="L73" s="60" t="e">
        <f>K73/F73</f>
        <v>#DIV/0!</v>
      </c>
      <c r="M73" s="491"/>
      <c r="N73" s="657"/>
    </row>
    <row r="74" spans="1:14" ht="15" customHeight="1">
      <c r="A74" s="121">
        <v>9</v>
      </c>
      <c r="B74" s="178" t="s">
        <v>617</v>
      </c>
      <c r="C74" s="178" t="s">
        <v>256</v>
      </c>
      <c r="D74" s="178" t="s">
        <v>113</v>
      </c>
      <c r="E74" s="178"/>
      <c r="F74" s="621"/>
      <c r="G74" s="178" t="s">
        <v>24</v>
      </c>
      <c r="H74" s="192"/>
      <c r="I74" s="554"/>
      <c r="J74" s="614">
        <v>74</v>
      </c>
      <c r="K74" s="614">
        <f t="shared" ref="K74:K75" si="20">I74*J74</f>
        <v>0</v>
      </c>
      <c r="L74" s="491"/>
      <c r="M74" s="491"/>
      <c r="N74" s="657"/>
    </row>
    <row r="75" spans="1:14" ht="15" customHeight="1">
      <c r="A75" s="121"/>
      <c r="B75" s="178" t="s">
        <v>618</v>
      </c>
      <c r="C75" s="178" t="s">
        <v>256</v>
      </c>
      <c r="D75" s="178" t="s">
        <v>619</v>
      </c>
      <c r="E75" s="178"/>
      <c r="F75" s="621"/>
      <c r="G75" s="613" t="s">
        <v>10</v>
      </c>
      <c r="H75" s="192"/>
      <c r="I75" s="554"/>
      <c r="J75" s="614">
        <v>120</v>
      </c>
      <c r="K75" s="614">
        <f t="shared" si="20"/>
        <v>0</v>
      </c>
      <c r="L75" s="491"/>
      <c r="M75" s="491"/>
      <c r="N75" s="657"/>
    </row>
    <row r="76" spans="1:14" ht="15" customHeight="1">
      <c r="A76" s="121"/>
      <c r="B76" s="121"/>
      <c r="C76" s="121"/>
      <c r="D76" s="121"/>
      <c r="E76" s="647" t="s">
        <v>9</v>
      </c>
      <c r="F76" s="706">
        <f>SUM(F74:F75)</f>
        <v>0</v>
      </c>
      <c r="G76" s="647"/>
      <c r="H76" s="647"/>
      <c r="I76" s="707"/>
      <c r="J76" s="708"/>
      <c r="K76" s="60">
        <f>SUM(K74:K75)</f>
        <v>0</v>
      </c>
      <c r="L76" s="60" t="e">
        <f>K76/F76</f>
        <v>#DIV/0!</v>
      </c>
      <c r="M76" s="491"/>
      <c r="N76" s="657"/>
    </row>
    <row r="77" spans="1:14" ht="15" customHeight="1">
      <c r="A77" s="657"/>
      <c r="B77" s="657"/>
      <c r="C77" s="657"/>
      <c r="D77" s="611" t="s">
        <v>30</v>
      </c>
      <c r="E77" s="611"/>
      <c r="F77" s="710">
        <f>F52+F55+F58+F61+F64+F67+F70+F73+F76</f>
        <v>0</v>
      </c>
      <c r="G77" s="711"/>
      <c r="H77" s="711"/>
      <c r="I77" s="711"/>
      <c r="J77" s="711"/>
      <c r="K77" s="710">
        <f>K52+K55+K58+K61+K64+K67+K70+K73+K76</f>
        <v>0</v>
      </c>
      <c r="L77" s="712" t="e">
        <f>K77/F77</f>
        <v>#DIV/0!</v>
      </c>
      <c r="M77" s="657"/>
      <c r="N77" s="657"/>
    </row>
    <row r="78" spans="1:14" ht="15" customHeight="1">
      <c r="A78" s="702" t="s">
        <v>16</v>
      </c>
      <c r="B78" s="702"/>
      <c r="C78" s="702"/>
      <c r="D78" s="702"/>
      <c r="E78" s="702"/>
      <c r="F78" s="657"/>
      <c r="G78" s="657"/>
      <c r="H78" s="657"/>
      <c r="I78" s="657"/>
      <c r="J78" s="657"/>
      <c r="K78" s="849" t="s">
        <v>1214</v>
      </c>
      <c r="L78" s="849"/>
      <c r="M78" s="849"/>
      <c r="N78" s="657"/>
    </row>
    <row r="79" spans="1:14" ht="15" customHeight="1">
      <c r="A79" s="647" t="s">
        <v>0</v>
      </c>
      <c r="B79" s="647" t="s">
        <v>7</v>
      </c>
      <c r="C79" s="647" t="s">
        <v>13</v>
      </c>
      <c r="D79" s="647" t="s">
        <v>14</v>
      </c>
      <c r="E79" s="647" t="s">
        <v>8</v>
      </c>
      <c r="F79" s="647" t="s">
        <v>1</v>
      </c>
      <c r="G79" s="647" t="s">
        <v>2</v>
      </c>
      <c r="H79" s="647" t="s">
        <v>15</v>
      </c>
      <c r="I79" s="647" t="s">
        <v>3</v>
      </c>
      <c r="J79" s="647" t="s">
        <v>4</v>
      </c>
      <c r="K79" s="647" t="s">
        <v>5</v>
      </c>
      <c r="L79" s="647" t="s">
        <v>12</v>
      </c>
      <c r="M79" s="647" t="s">
        <v>6</v>
      </c>
      <c r="N79" s="657"/>
    </row>
    <row r="80" spans="1:14" ht="15" customHeight="1">
      <c r="A80" s="121">
        <v>7992</v>
      </c>
      <c r="B80" s="178" t="s">
        <v>614</v>
      </c>
      <c r="C80" s="178" t="s">
        <v>381</v>
      </c>
      <c r="D80" s="178" t="s">
        <v>615</v>
      </c>
      <c r="E80" s="178"/>
      <c r="F80" s="621"/>
      <c r="G80" s="178" t="s">
        <v>171</v>
      </c>
      <c r="H80" s="192"/>
      <c r="I80" s="554"/>
      <c r="J80" s="614">
        <v>416</v>
      </c>
      <c r="K80" s="614">
        <f t="shared" ref="K80" si="21">I80*J80</f>
        <v>0</v>
      </c>
      <c r="L80" s="491"/>
      <c r="M80" s="34"/>
      <c r="N80" s="657"/>
    </row>
    <row r="81" spans="1:14" s="10" customFormat="1" ht="15" customHeight="1">
      <c r="A81" s="121"/>
      <c r="B81" s="178"/>
      <c r="C81" s="178"/>
      <c r="D81" s="178"/>
      <c r="E81" s="178" t="s">
        <v>257</v>
      </c>
      <c r="F81" s="178"/>
      <c r="G81" s="248"/>
      <c r="H81" s="641"/>
      <c r="I81" s="642"/>
      <c r="J81" s="643"/>
      <c r="K81" s="643">
        <f t="shared" ref="K81" si="22">I81*J81</f>
        <v>0</v>
      </c>
      <c r="L81" s="491"/>
      <c r="M81" s="491"/>
      <c r="N81" s="657"/>
    </row>
    <row r="82" spans="1:14" ht="15" customHeight="1">
      <c r="A82" s="121"/>
      <c r="B82" s="121"/>
      <c r="C82" s="121"/>
      <c r="D82" s="121"/>
      <c r="E82" s="647" t="s">
        <v>9</v>
      </c>
      <c r="F82" s="706">
        <f>SUM(F80:F81)</f>
        <v>0</v>
      </c>
      <c r="G82" s="647"/>
      <c r="H82" s="647"/>
      <c r="I82" s="707"/>
      <c r="J82" s="708"/>
      <c r="K82" s="60">
        <f>SUM(K80:K81)</f>
        <v>0</v>
      </c>
      <c r="L82" s="60" t="e">
        <f>K82/F82</f>
        <v>#DIV/0!</v>
      </c>
      <c r="M82" s="491"/>
      <c r="N82" s="657"/>
    </row>
    <row r="83" spans="1:14" ht="15" customHeight="1">
      <c r="A83" s="709"/>
      <c r="B83" s="709"/>
      <c r="C83" s="709"/>
      <c r="D83" s="611" t="s">
        <v>30</v>
      </c>
      <c r="E83" s="611"/>
      <c r="F83" s="710">
        <f>F82</f>
        <v>0</v>
      </c>
      <c r="G83" s="711"/>
      <c r="H83" s="711"/>
      <c r="I83" s="711"/>
      <c r="J83" s="711"/>
      <c r="K83" s="710">
        <f>K82</f>
        <v>0</v>
      </c>
      <c r="L83" s="712" t="e">
        <f>K83/F83</f>
        <v>#DIV/0!</v>
      </c>
      <c r="M83" s="713"/>
      <c r="N83" s="657"/>
    </row>
    <row r="84" spans="1:14" ht="15" customHeight="1">
      <c r="A84" s="702" t="s">
        <v>72</v>
      </c>
      <c r="B84" s="702"/>
      <c r="C84" s="702"/>
      <c r="D84" s="702"/>
      <c r="E84" s="702"/>
      <c r="F84" s="657"/>
      <c r="G84" s="657"/>
      <c r="H84" s="657"/>
      <c r="I84" s="714"/>
      <c r="J84" s="657"/>
      <c r="K84" s="849" t="s">
        <v>1214</v>
      </c>
      <c r="L84" s="849"/>
      <c r="M84" s="849"/>
      <c r="N84" s="657"/>
    </row>
    <row r="85" spans="1:14" ht="15" customHeight="1">
      <c r="A85" s="647" t="s">
        <v>0</v>
      </c>
      <c r="B85" s="647" t="s">
        <v>7</v>
      </c>
      <c r="C85" s="647" t="s">
        <v>13</v>
      </c>
      <c r="D85" s="647" t="s">
        <v>14</v>
      </c>
      <c r="E85" s="647" t="s">
        <v>8</v>
      </c>
      <c r="F85" s="647" t="s">
        <v>1</v>
      </c>
      <c r="G85" s="647" t="s">
        <v>2</v>
      </c>
      <c r="H85" s="647" t="s">
        <v>15</v>
      </c>
      <c r="I85" s="715" t="s">
        <v>3</v>
      </c>
      <c r="J85" s="647" t="s">
        <v>4</v>
      </c>
      <c r="K85" s="647" t="s">
        <v>5</v>
      </c>
      <c r="L85" s="647" t="s">
        <v>12</v>
      </c>
      <c r="M85" s="647" t="s">
        <v>6</v>
      </c>
      <c r="N85" s="658"/>
    </row>
    <row r="86" spans="1:14" ht="15" customHeight="1">
      <c r="A86" s="178">
        <v>5938</v>
      </c>
      <c r="B86" s="178" t="s">
        <v>649</v>
      </c>
      <c r="C86" s="178" t="s">
        <v>564</v>
      </c>
      <c r="D86" s="178" t="s">
        <v>510</v>
      </c>
      <c r="E86" s="178" t="s">
        <v>650</v>
      </c>
      <c r="F86" s="619"/>
      <c r="G86" s="640" t="s">
        <v>182</v>
      </c>
      <c r="H86" s="192"/>
      <c r="I86" s="554"/>
      <c r="J86" s="644">
        <v>3427</v>
      </c>
      <c r="K86" s="614">
        <f t="shared" ref="K86:K93" si="23">I86*J86</f>
        <v>0</v>
      </c>
      <c r="L86" s="491"/>
      <c r="M86" s="491"/>
      <c r="N86" s="657"/>
    </row>
    <row r="87" spans="1:14" ht="15" customHeight="1">
      <c r="A87" s="178"/>
      <c r="B87" s="178"/>
      <c r="C87" s="178"/>
      <c r="D87" s="178"/>
      <c r="E87" s="178" t="s">
        <v>247</v>
      </c>
      <c r="F87" s="178"/>
      <c r="G87" s="179" t="s">
        <v>183</v>
      </c>
      <c r="H87" s="192"/>
      <c r="I87" s="554"/>
      <c r="J87" s="614">
        <v>1950</v>
      </c>
      <c r="K87" s="614">
        <f t="shared" si="23"/>
        <v>0</v>
      </c>
      <c r="L87" s="491"/>
      <c r="M87" s="491"/>
      <c r="N87" s="657"/>
    </row>
    <row r="88" spans="1:14" ht="15" customHeight="1">
      <c r="A88" s="121"/>
      <c r="B88" s="121"/>
      <c r="C88" s="121"/>
      <c r="D88" s="121"/>
      <c r="E88" s="121"/>
      <c r="F88" s="703"/>
      <c r="G88" s="179" t="s">
        <v>198</v>
      </c>
      <c r="H88" s="178"/>
      <c r="I88" s="632"/>
      <c r="J88" s="614">
        <v>2852</v>
      </c>
      <c r="K88" s="633">
        <f t="shared" si="23"/>
        <v>0</v>
      </c>
      <c r="L88" s="491"/>
      <c r="M88" s="491"/>
      <c r="N88" s="657"/>
    </row>
    <row r="89" spans="1:14" ht="15" customHeight="1">
      <c r="A89" s="121"/>
      <c r="B89" s="121"/>
      <c r="C89" s="121"/>
      <c r="D89" s="121"/>
      <c r="E89" s="121"/>
      <c r="F89" s="703"/>
      <c r="G89" s="179" t="s">
        <v>405</v>
      </c>
      <c r="H89" s="192"/>
      <c r="I89" s="554"/>
      <c r="J89" s="614">
        <v>2125</v>
      </c>
      <c r="K89" s="614">
        <f t="shared" si="23"/>
        <v>0</v>
      </c>
      <c r="L89" s="491"/>
      <c r="M89" s="491"/>
      <c r="N89" s="657"/>
    </row>
    <row r="90" spans="1:14" ht="15" customHeight="1">
      <c r="A90" s="121"/>
      <c r="B90" s="121"/>
      <c r="C90" s="121"/>
      <c r="D90" s="121"/>
      <c r="E90" s="121"/>
      <c r="F90" s="703"/>
      <c r="G90" s="178" t="s">
        <v>184</v>
      </c>
      <c r="H90" s="178"/>
      <c r="I90" s="554"/>
      <c r="J90" s="614">
        <v>369</v>
      </c>
      <c r="K90" s="633">
        <f t="shared" si="23"/>
        <v>0</v>
      </c>
      <c r="L90" s="491"/>
      <c r="M90" s="491"/>
      <c r="N90" s="657"/>
    </row>
    <row r="91" spans="1:14" ht="15" customHeight="1">
      <c r="A91" s="121"/>
      <c r="B91" s="121"/>
      <c r="C91" s="121"/>
      <c r="D91" s="121"/>
      <c r="E91" s="121"/>
      <c r="F91" s="703"/>
      <c r="G91" s="640" t="s">
        <v>185</v>
      </c>
      <c r="H91" s="192"/>
      <c r="I91" s="632"/>
      <c r="J91" s="614">
        <v>623</v>
      </c>
      <c r="K91" s="614">
        <f t="shared" si="23"/>
        <v>0</v>
      </c>
      <c r="L91" s="491"/>
      <c r="M91" s="491"/>
      <c r="N91" s="657"/>
    </row>
    <row r="92" spans="1:14" ht="15" customHeight="1">
      <c r="A92" s="121"/>
      <c r="B92" s="121"/>
      <c r="C92" s="121"/>
      <c r="D92" s="121"/>
      <c r="E92" s="121"/>
      <c r="F92" s="703"/>
      <c r="G92" s="178" t="s">
        <v>28</v>
      </c>
      <c r="H92" s="192"/>
      <c r="I92" s="554"/>
      <c r="J92" s="614">
        <v>17</v>
      </c>
      <c r="K92" s="614">
        <f t="shared" si="23"/>
        <v>0</v>
      </c>
      <c r="L92" s="491"/>
      <c r="M92" s="491"/>
      <c r="N92" s="657"/>
    </row>
    <row r="93" spans="1:14" ht="15" customHeight="1">
      <c r="A93" s="121"/>
      <c r="B93" s="121"/>
      <c r="C93" s="121"/>
      <c r="D93" s="121"/>
      <c r="E93" s="121"/>
      <c r="F93" s="703"/>
      <c r="G93" s="178" t="s">
        <v>17</v>
      </c>
      <c r="H93" s="192"/>
      <c r="I93" s="554"/>
      <c r="J93" s="614">
        <v>34</v>
      </c>
      <c r="K93" s="614">
        <f t="shared" si="23"/>
        <v>0</v>
      </c>
      <c r="L93" s="491"/>
      <c r="M93" s="491"/>
      <c r="N93" s="657"/>
    </row>
    <row r="94" spans="1:14" ht="15" customHeight="1">
      <c r="A94" s="121"/>
      <c r="B94" s="121"/>
      <c r="C94" s="121"/>
      <c r="D94" s="121"/>
      <c r="E94" s="647" t="s">
        <v>9</v>
      </c>
      <c r="F94" s="706">
        <f>SUM(F86:F93)</f>
        <v>0</v>
      </c>
      <c r="G94" s="647"/>
      <c r="H94" s="647"/>
      <c r="I94" s="707"/>
      <c r="J94" s="708"/>
      <c r="K94" s="60">
        <f>SUM(K86:K93)</f>
        <v>0</v>
      </c>
      <c r="L94" s="60" t="e">
        <f>K94/F94</f>
        <v>#DIV/0!</v>
      </c>
      <c r="M94" s="491"/>
      <c r="N94" s="657"/>
    </row>
    <row r="95" spans="1:14" ht="15" customHeight="1">
      <c r="A95" s="121">
        <v>5944</v>
      </c>
      <c r="B95" s="178" t="s">
        <v>179</v>
      </c>
      <c r="C95" s="178" t="s">
        <v>121</v>
      </c>
      <c r="D95" s="178" t="s">
        <v>180</v>
      </c>
      <c r="E95" s="178" t="s">
        <v>243</v>
      </c>
      <c r="F95" s="619"/>
      <c r="G95" s="639" t="s">
        <v>190</v>
      </c>
      <c r="H95" s="192"/>
      <c r="I95" s="554"/>
      <c r="J95" s="614">
        <v>890</v>
      </c>
      <c r="K95" s="660">
        <f t="shared" ref="K95:K101" si="24">I95*J95</f>
        <v>0</v>
      </c>
      <c r="L95" s="104"/>
      <c r="M95" s="491"/>
      <c r="N95" s="657"/>
    </row>
    <row r="96" spans="1:14" ht="15" customHeight="1">
      <c r="A96" s="121"/>
      <c r="B96" s="178"/>
      <c r="C96" s="178"/>
      <c r="D96" s="178"/>
      <c r="E96" s="178"/>
      <c r="F96" s="178"/>
      <c r="G96" s="179" t="s">
        <v>183</v>
      </c>
      <c r="H96" s="192"/>
      <c r="I96" s="554"/>
      <c r="J96" s="614">
        <v>1950</v>
      </c>
      <c r="K96" s="614">
        <f t="shared" si="24"/>
        <v>0</v>
      </c>
      <c r="L96" s="104"/>
      <c r="M96" s="491"/>
      <c r="N96" s="657"/>
    </row>
    <row r="97" spans="1:14" ht="15" customHeight="1">
      <c r="A97" s="121"/>
      <c r="B97" s="178"/>
      <c r="C97" s="178"/>
      <c r="D97" s="178"/>
      <c r="E97" s="178"/>
      <c r="F97" s="178"/>
      <c r="G97" s="179" t="s">
        <v>186</v>
      </c>
      <c r="H97" s="192"/>
      <c r="I97" s="554"/>
      <c r="J97" s="614">
        <v>2382</v>
      </c>
      <c r="K97" s="614">
        <f t="shared" si="24"/>
        <v>0</v>
      </c>
      <c r="L97" s="104"/>
      <c r="M97" s="491"/>
      <c r="N97" s="657"/>
    </row>
    <row r="98" spans="1:14" ht="15" customHeight="1">
      <c r="A98" s="121"/>
      <c r="B98" s="178"/>
      <c r="C98" s="178"/>
      <c r="D98" s="178"/>
      <c r="E98" s="178"/>
      <c r="F98" s="178"/>
      <c r="G98" s="640" t="s">
        <v>192</v>
      </c>
      <c r="H98" s="192"/>
      <c r="I98" s="554"/>
      <c r="J98" s="614">
        <v>1742</v>
      </c>
      <c r="K98" s="614">
        <f t="shared" si="24"/>
        <v>0</v>
      </c>
      <c r="L98" s="491"/>
      <c r="M98" s="491"/>
      <c r="N98" s="657"/>
    </row>
    <row r="99" spans="1:14" ht="15" customHeight="1">
      <c r="A99" s="121"/>
      <c r="B99" s="121"/>
      <c r="C99" s="121"/>
      <c r="D99" s="121"/>
      <c r="E99" s="153"/>
      <c r="F99" s="645"/>
      <c r="G99" s="640" t="s">
        <v>191</v>
      </c>
      <c r="H99" s="192"/>
      <c r="I99" s="554"/>
      <c r="J99" s="614">
        <v>1638</v>
      </c>
      <c r="K99" s="614">
        <f t="shared" si="24"/>
        <v>0</v>
      </c>
      <c r="L99" s="104"/>
      <c r="M99" s="491"/>
      <c r="N99" s="657"/>
    </row>
    <row r="100" spans="1:14" ht="15" customHeight="1">
      <c r="A100" s="121"/>
      <c r="B100" s="121"/>
      <c r="C100" s="121"/>
      <c r="D100" s="121"/>
      <c r="E100" s="153"/>
      <c r="F100" s="645"/>
      <c r="G100" s="178" t="s">
        <v>184</v>
      </c>
      <c r="H100" s="192"/>
      <c r="I100" s="554"/>
      <c r="J100" s="614">
        <v>396</v>
      </c>
      <c r="K100" s="614">
        <f t="shared" si="24"/>
        <v>0</v>
      </c>
      <c r="L100" s="104"/>
      <c r="M100" s="491"/>
      <c r="N100" s="657"/>
    </row>
    <row r="101" spans="1:14" ht="15" customHeight="1">
      <c r="A101" s="121"/>
      <c r="B101" s="121"/>
      <c r="C101" s="121"/>
      <c r="D101" s="121"/>
      <c r="E101" s="153"/>
      <c r="F101" s="645"/>
      <c r="G101" s="640" t="s">
        <v>185</v>
      </c>
      <c r="H101" s="192"/>
      <c r="I101" s="554"/>
      <c r="J101" s="614">
        <v>623</v>
      </c>
      <c r="K101" s="614">
        <f t="shared" si="24"/>
        <v>0</v>
      </c>
      <c r="L101" s="104"/>
      <c r="M101" s="491"/>
      <c r="N101" s="657"/>
    </row>
    <row r="102" spans="1:14" ht="15" customHeight="1">
      <c r="A102" s="121"/>
      <c r="B102" s="121"/>
      <c r="C102" s="121"/>
      <c r="D102" s="121"/>
      <c r="E102" s="647" t="s">
        <v>9</v>
      </c>
      <c r="F102" s="706">
        <f>SUM(F95:F101)</f>
        <v>0</v>
      </c>
      <c r="G102" s="647"/>
      <c r="H102" s="647"/>
      <c r="I102" s="707"/>
      <c r="J102" s="708"/>
      <c r="K102" s="60">
        <f>SUM(K95:K101)</f>
        <v>0</v>
      </c>
      <c r="L102" s="60" t="e">
        <f>K102/F102</f>
        <v>#DIV/0!</v>
      </c>
      <c r="M102" s="491"/>
      <c r="N102" s="657"/>
    </row>
    <row r="103" spans="1:14" ht="15" customHeight="1">
      <c r="A103" s="178">
        <v>5473</v>
      </c>
      <c r="B103" s="178" t="s">
        <v>179</v>
      </c>
      <c r="C103" s="178" t="s">
        <v>121</v>
      </c>
      <c r="D103" s="178" t="s">
        <v>180</v>
      </c>
      <c r="E103" s="178" t="s">
        <v>197</v>
      </c>
      <c r="F103" s="619"/>
      <c r="G103" s="639" t="s">
        <v>190</v>
      </c>
      <c r="H103" s="192"/>
      <c r="I103" s="554"/>
      <c r="J103" s="614">
        <v>890</v>
      </c>
      <c r="K103" s="614">
        <f t="shared" ref="K103:K105" si="25">I103*J103</f>
        <v>0</v>
      </c>
      <c r="L103" s="491"/>
      <c r="M103" s="491"/>
      <c r="N103" s="657"/>
    </row>
    <row r="104" spans="1:14" ht="15" customHeight="1">
      <c r="A104" s="121"/>
      <c r="B104" s="121"/>
      <c r="C104" s="121"/>
      <c r="D104" s="121"/>
      <c r="E104" s="121"/>
      <c r="F104" s="703"/>
      <c r="G104" s="640" t="s">
        <v>192</v>
      </c>
      <c r="H104" s="192"/>
      <c r="I104" s="554"/>
      <c r="J104" s="614">
        <v>1742</v>
      </c>
      <c r="K104" s="614">
        <f t="shared" si="25"/>
        <v>0</v>
      </c>
      <c r="L104" s="491"/>
      <c r="M104" s="491"/>
      <c r="N104" s="657"/>
    </row>
    <row r="105" spans="1:14" ht="15" customHeight="1">
      <c r="A105" s="121"/>
      <c r="B105" s="121"/>
      <c r="C105" s="121"/>
      <c r="D105" s="121"/>
      <c r="E105" s="121"/>
      <c r="F105" s="703"/>
      <c r="G105" s="640" t="s">
        <v>193</v>
      </c>
      <c r="H105" s="192"/>
      <c r="I105" s="554"/>
      <c r="J105" s="614">
        <v>1545</v>
      </c>
      <c r="K105" s="614">
        <f t="shared" si="25"/>
        <v>0</v>
      </c>
      <c r="L105" s="491"/>
      <c r="M105" s="491"/>
      <c r="N105" s="657"/>
    </row>
    <row r="106" spans="1:14" ht="15" customHeight="1">
      <c r="A106" s="121"/>
      <c r="B106" s="121"/>
      <c r="C106" s="121"/>
      <c r="D106" s="121"/>
      <c r="E106" s="121"/>
      <c r="F106" s="703"/>
      <c r="G106" s="640" t="s">
        <v>562</v>
      </c>
      <c r="H106" s="192"/>
      <c r="I106" s="554"/>
      <c r="J106" s="614">
        <v>3668</v>
      </c>
      <c r="K106" s="614">
        <f t="shared" ref="K106:K108" si="26">I106*J106</f>
        <v>0</v>
      </c>
      <c r="L106" s="491"/>
      <c r="M106" s="491"/>
      <c r="N106" s="657"/>
    </row>
    <row r="107" spans="1:14" ht="15" customHeight="1">
      <c r="A107" s="121"/>
      <c r="B107" s="121"/>
      <c r="C107" s="121"/>
      <c r="D107" s="121"/>
      <c r="E107" s="121"/>
      <c r="F107" s="703"/>
      <c r="G107" s="178" t="s">
        <v>184</v>
      </c>
      <c r="H107" s="192"/>
      <c r="I107" s="554"/>
      <c r="J107" s="614">
        <v>396</v>
      </c>
      <c r="K107" s="614">
        <f t="shared" si="26"/>
        <v>0</v>
      </c>
      <c r="L107" s="491"/>
      <c r="M107" s="491"/>
      <c r="N107" s="657"/>
    </row>
    <row r="108" spans="1:14" ht="15" customHeight="1">
      <c r="A108" s="121"/>
      <c r="B108" s="121"/>
      <c r="C108" s="121"/>
      <c r="D108" s="121"/>
      <c r="E108" s="121"/>
      <c r="F108" s="703"/>
      <c r="G108" s="640" t="s">
        <v>185</v>
      </c>
      <c r="H108" s="192"/>
      <c r="I108" s="632"/>
      <c r="J108" s="614">
        <v>623</v>
      </c>
      <c r="K108" s="614">
        <f t="shared" si="26"/>
        <v>0</v>
      </c>
      <c r="L108" s="491"/>
      <c r="M108" s="491"/>
      <c r="N108" s="657"/>
    </row>
    <row r="109" spans="1:14" ht="15" customHeight="1">
      <c r="A109" s="121"/>
      <c r="B109" s="121"/>
      <c r="C109" s="121"/>
      <c r="D109" s="121"/>
      <c r="E109" s="647" t="s">
        <v>9</v>
      </c>
      <c r="F109" s="706">
        <f>SUM(F103:F108)</f>
        <v>0</v>
      </c>
      <c r="G109" s="647"/>
      <c r="H109" s="647"/>
      <c r="I109" s="707"/>
      <c r="J109" s="708"/>
      <c r="K109" s="60">
        <f>SUM(K103:K108)</f>
        <v>0</v>
      </c>
      <c r="L109" s="60" t="e">
        <f>K109/F109</f>
        <v>#DIV/0!</v>
      </c>
      <c r="M109" s="491"/>
      <c r="N109" s="657"/>
    </row>
    <row r="110" spans="1:14" ht="15" customHeight="1">
      <c r="A110" s="178">
        <v>5950</v>
      </c>
      <c r="B110" s="178" t="s">
        <v>371</v>
      </c>
      <c r="C110" s="178" t="s">
        <v>256</v>
      </c>
      <c r="D110" s="178" t="s">
        <v>274</v>
      </c>
      <c r="E110" s="178" t="s">
        <v>459</v>
      </c>
      <c r="F110" s="619"/>
      <c r="G110" s="639" t="s">
        <v>190</v>
      </c>
      <c r="H110" s="192"/>
      <c r="I110" s="554"/>
      <c r="J110" s="614">
        <v>890</v>
      </c>
      <c r="K110" s="614">
        <f t="shared" ref="K110:K112" si="27">I110*J110</f>
        <v>0</v>
      </c>
      <c r="L110" s="192"/>
      <c r="M110" s="491"/>
      <c r="N110" s="657"/>
    </row>
    <row r="111" spans="1:14" ht="15" customHeight="1">
      <c r="A111" s="121"/>
      <c r="B111" s="121"/>
      <c r="C111" s="121"/>
      <c r="D111" s="121"/>
      <c r="E111" s="121"/>
      <c r="F111" s="703"/>
      <c r="G111" s="640" t="s">
        <v>194</v>
      </c>
      <c r="H111" s="192"/>
      <c r="I111" s="554"/>
      <c r="J111" s="614">
        <v>1267</v>
      </c>
      <c r="K111" s="614">
        <f t="shared" si="27"/>
        <v>0</v>
      </c>
      <c r="L111" s="192"/>
      <c r="M111" s="491"/>
      <c r="N111" s="657"/>
    </row>
    <row r="112" spans="1:14" ht="15" customHeight="1">
      <c r="A112" s="121"/>
      <c r="B112" s="121"/>
      <c r="C112" s="121"/>
      <c r="D112" s="121"/>
      <c r="E112" s="121"/>
      <c r="F112" s="703"/>
      <c r="G112" s="179" t="s">
        <v>460</v>
      </c>
      <c r="H112" s="192"/>
      <c r="I112" s="554"/>
      <c r="J112" s="614">
        <v>920</v>
      </c>
      <c r="K112" s="614">
        <f t="shared" si="27"/>
        <v>0</v>
      </c>
      <c r="L112" s="192"/>
      <c r="M112" s="491"/>
      <c r="N112" s="657"/>
    </row>
    <row r="113" spans="1:14" ht="15" customHeight="1">
      <c r="A113" s="121"/>
      <c r="B113" s="121"/>
      <c r="C113" s="121"/>
      <c r="D113" s="121"/>
      <c r="E113" s="121"/>
      <c r="F113" s="703"/>
      <c r="G113" s="178" t="s">
        <v>184</v>
      </c>
      <c r="H113" s="178"/>
      <c r="I113" s="554"/>
      <c r="J113" s="614">
        <v>369</v>
      </c>
      <c r="K113" s="633">
        <f t="shared" ref="K113:K114" si="28">I113*J113</f>
        <v>0</v>
      </c>
      <c r="L113" s="491"/>
      <c r="M113" s="491"/>
      <c r="N113" s="657"/>
    </row>
    <row r="114" spans="1:14" ht="15" customHeight="1">
      <c r="A114" s="121"/>
      <c r="B114" s="121"/>
      <c r="C114" s="121"/>
      <c r="D114" s="121"/>
      <c r="E114" s="121"/>
      <c r="F114" s="703"/>
      <c r="G114" s="640" t="s">
        <v>185</v>
      </c>
      <c r="H114" s="192"/>
      <c r="I114" s="632"/>
      <c r="J114" s="614">
        <v>623</v>
      </c>
      <c r="K114" s="614">
        <f t="shared" si="28"/>
        <v>0</v>
      </c>
      <c r="L114" s="491"/>
      <c r="M114" s="491"/>
      <c r="N114" s="657"/>
    </row>
    <row r="115" spans="1:14" ht="15" customHeight="1">
      <c r="A115" s="121"/>
      <c r="B115" s="121"/>
      <c r="C115" s="121"/>
      <c r="D115" s="121"/>
      <c r="E115" s="647" t="s">
        <v>9</v>
      </c>
      <c r="F115" s="706">
        <f>SUM(F110:F114)</f>
        <v>0</v>
      </c>
      <c r="G115" s="647"/>
      <c r="H115" s="647"/>
      <c r="I115" s="707"/>
      <c r="J115" s="708"/>
      <c r="K115" s="60">
        <f>SUM(K110:K114)</f>
        <v>0</v>
      </c>
      <c r="L115" s="60" t="e">
        <f>K115/F115</f>
        <v>#DIV/0!</v>
      </c>
      <c r="M115" s="491"/>
      <c r="N115" s="657"/>
    </row>
    <row r="116" spans="1:14" ht="15" customHeight="1">
      <c r="A116" s="178">
        <v>5950</v>
      </c>
      <c r="B116" s="178" t="s">
        <v>371</v>
      </c>
      <c r="C116" s="178" t="s">
        <v>256</v>
      </c>
      <c r="D116" s="178" t="s">
        <v>274</v>
      </c>
      <c r="E116" s="178" t="s">
        <v>410</v>
      </c>
      <c r="F116" s="619"/>
      <c r="G116" s="639" t="s">
        <v>190</v>
      </c>
      <c r="H116" s="192"/>
      <c r="I116" s="554"/>
      <c r="J116" s="614">
        <v>890</v>
      </c>
      <c r="K116" s="614">
        <f t="shared" ref="K116:K120" si="29">I116*J116</f>
        <v>0</v>
      </c>
      <c r="L116" s="192"/>
      <c r="M116" s="491"/>
      <c r="N116" s="657"/>
    </row>
    <row r="117" spans="1:14" ht="15" customHeight="1">
      <c r="A117" s="121"/>
      <c r="B117" s="121"/>
      <c r="C117" s="121"/>
      <c r="D117" s="121"/>
      <c r="E117" s="121"/>
      <c r="F117" s="703"/>
      <c r="G117" s="640" t="s">
        <v>281</v>
      </c>
      <c r="H117" s="192"/>
      <c r="I117" s="554"/>
      <c r="J117" s="614">
        <v>1484</v>
      </c>
      <c r="K117" s="614">
        <f t="shared" si="29"/>
        <v>0</v>
      </c>
      <c r="L117" s="192"/>
      <c r="M117" s="491"/>
      <c r="N117" s="657"/>
    </row>
    <row r="118" spans="1:14" ht="15" customHeight="1">
      <c r="A118" s="121"/>
      <c r="B118" s="121"/>
      <c r="C118" s="121"/>
      <c r="D118" s="121"/>
      <c r="E118" s="121"/>
      <c r="F118" s="703"/>
      <c r="G118" s="640" t="s">
        <v>193</v>
      </c>
      <c r="H118" s="192"/>
      <c r="I118" s="554"/>
      <c r="J118" s="614">
        <v>1545</v>
      </c>
      <c r="K118" s="614">
        <f t="shared" si="29"/>
        <v>0</v>
      </c>
      <c r="L118" s="192"/>
      <c r="M118" s="491"/>
      <c r="N118" s="657"/>
    </row>
    <row r="119" spans="1:14" ht="15" customHeight="1">
      <c r="A119" s="121"/>
      <c r="B119" s="121"/>
      <c r="C119" s="121"/>
      <c r="D119" s="121"/>
      <c r="E119" s="121"/>
      <c r="F119" s="703"/>
      <c r="G119" s="178" t="s">
        <v>184</v>
      </c>
      <c r="H119" s="178"/>
      <c r="I119" s="554"/>
      <c r="J119" s="614">
        <v>369</v>
      </c>
      <c r="K119" s="633">
        <f t="shared" si="29"/>
        <v>0</v>
      </c>
      <c r="L119" s="491"/>
      <c r="M119" s="491"/>
      <c r="N119" s="657"/>
    </row>
    <row r="120" spans="1:14" ht="15" customHeight="1">
      <c r="A120" s="121"/>
      <c r="B120" s="121"/>
      <c r="C120" s="121"/>
      <c r="D120" s="121"/>
      <c r="E120" s="121"/>
      <c r="F120" s="703"/>
      <c r="G120" s="640" t="s">
        <v>185</v>
      </c>
      <c r="H120" s="192"/>
      <c r="I120" s="632"/>
      <c r="J120" s="614">
        <v>623</v>
      </c>
      <c r="K120" s="614">
        <f t="shared" si="29"/>
        <v>0</v>
      </c>
      <c r="L120" s="491"/>
      <c r="M120" s="491"/>
      <c r="N120" s="657"/>
    </row>
    <row r="121" spans="1:14" ht="15" customHeight="1">
      <c r="A121" s="121"/>
      <c r="B121" s="121"/>
      <c r="C121" s="121"/>
      <c r="D121" s="121"/>
      <c r="E121" s="647" t="s">
        <v>9</v>
      </c>
      <c r="F121" s="706">
        <f>SUM(F116:F120)</f>
        <v>0</v>
      </c>
      <c r="G121" s="647"/>
      <c r="H121" s="647"/>
      <c r="I121" s="707"/>
      <c r="J121" s="708"/>
      <c r="K121" s="60">
        <f>SUM(K116:K120)</f>
        <v>0</v>
      </c>
      <c r="L121" s="60" t="e">
        <f>K121/F121</f>
        <v>#DIV/0!</v>
      </c>
      <c r="M121" s="491"/>
      <c r="N121" s="657"/>
    </row>
    <row r="122" spans="1:14" ht="15" customHeight="1">
      <c r="A122" s="178">
        <v>5948</v>
      </c>
      <c r="B122" s="178" t="s">
        <v>651</v>
      </c>
      <c r="C122" s="178" t="s">
        <v>121</v>
      </c>
      <c r="D122" s="178" t="s">
        <v>74</v>
      </c>
      <c r="E122" s="178" t="s">
        <v>507</v>
      </c>
      <c r="F122" s="619"/>
      <c r="G122" s="639" t="s">
        <v>190</v>
      </c>
      <c r="H122" s="192"/>
      <c r="I122" s="554"/>
      <c r="J122" s="614">
        <v>890</v>
      </c>
      <c r="K122" s="614">
        <f t="shared" ref="K122:K126" si="30">I122*J122</f>
        <v>0</v>
      </c>
      <c r="L122" s="192"/>
      <c r="M122" s="491"/>
      <c r="N122" s="657"/>
    </row>
    <row r="123" spans="1:14" ht="15" customHeight="1">
      <c r="A123" s="178"/>
      <c r="B123" s="121"/>
      <c r="C123" s="121"/>
      <c r="D123" s="121"/>
      <c r="E123" s="121"/>
      <c r="F123" s="703"/>
      <c r="G123" s="640" t="s">
        <v>194</v>
      </c>
      <c r="H123" s="192"/>
      <c r="I123" s="554"/>
      <c r="J123" s="614">
        <v>1267</v>
      </c>
      <c r="K123" s="614">
        <f t="shared" si="30"/>
        <v>0</v>
      </c>
      <c r="L123" s="192"/>
      <c r="M123" s="491"/>
      <c r="N123" s="657"/>
    </row>
    <row r="124" spans="1:14" ht="15" customHeight="1">
      <c r="A124" s="178"/>
      <c r="B124" s="121"/>
      <c r="C124" s="121"/>
      <c r="D124" s="121"/>
      <c r="E124" s="121"/>
      <c r="F124" s="703"/>
      <c r="G124" s="640" t="s">
        <v>192</v>
      </c>
      <c r="H124" s="192"/>
      <c r="I124" s="554"/>
      <c r="J124" s="614">
        <v>1742</v>
      </c>
      <c r="K124" s="614">
        <f t="shared" si="30"/>
        <v>0</v>
      </c>
      <c r="L124" s="192"/>
      <c r="M124" s="491"/>
      <c r="N124" s="657"/>
    </row>
    <row r="125" spans="1:14" ht="15" customHeight="1">
      <c r="A125" s="178"/>
      <c r="B125" s="121"/>
      <c r="C125" s="121"/>
      <c r="D125" s="121"/>
      <c r="E125" s="121"/>
      <c r="F125" s="703"/>
      <c r="G125" s="178" t="s">
        <v>184</v>
      </c>
      <c r="H125" s="178"/>
      <c r="I125" s="554"/>
      <c r="J125" s="614">
        <v>369</v>
      </c>
      <c r="K125" s="633">
        <f t="shared" si="30"/>
        <v>0</v>
      </c>
      <c r="L125" s="491"/>
      <c r="M125" s="491"/>
      <c r="N125" s="657"/>
    </row>
    <row r="126" spans="1:14" ht="15" customHeight="1">
      <c r="A126" s="178"/>
      <c r="B126" s="121"/>
      <c r="C126" s="121"/>
      <c r="D126" s="121"/>
      <c r="E126" s="121"/>
      <c r="F126" s="703"/>
      <c r="G126" s="640" t="s">
        <v>185</v>
      </c>
      <c r="H126" s="192"/>
      <c r="I126" s="632"/>
      <c r="J126" s="614">
        <v>623</v>
      </c>
      <c r="K126" s="614">
        <f t="shared" si="30"/>
        <v>0</v>
      </c>
      <c r="L126" s="491"/>
      <c r="M126" s="491"/>
      <c r="N126" s="657"/>
    </row>
    <row r="127" spans="1:14" ht="15" customHeight="1">
      <c r="A127" s="178"/>
      <c r="B127" s="121"/>
      <c r="C127" s="121"/>
      <c r="D127" s="121"/>
      <c r="E127" s="647" t="s">
        <v>9</v>
      </c>
      <c r="F127" s="706">
        <f>SUM(F122:F126)</f>
        <v>0</v>
      </c>
      <c r="G127" s="647"/>
      <c r="H127" s="647"/>
      <c r="I127" s="707"/>
      <c r="J127" s="708"/>
      <c r="K127" s="60">
        <f>SUM(K122:K126)</f>
        <v>0</v>
      </c>
      <c r="L127" s="60" t="e">
        <f>K127/F127</f>
        <v>#DIV/0!</v>
      </c>
      <c r="M127" s="491"/>
      <c r="N127" s="657"/>
    </row>
    <row r="128" spans="1:14" ht="15" customHeight="1">
      <c r="A128" s="178">
        <v>5947</v>
      </c>
      <c r="B128" s="178" t="s">
        <v>652</v>
      </c>
      <c r="C128" s="178" t="s">
        <v>121</v>
      </c>
      <c r="D128" s="178" t="s">
        <v>124</v>
      </c>
      <c r="E128" s="178" t="s">
        <v>653</v>
      </c>
      <c r="F128" s="619"/>
      <c r="G128" s="639" t="s">
        <v>190</v>
      </c>
      <c r="H128" s="192"/>
      <c r="I128" s="554"/>
      <c r="J128" s="614">
        <v>890</v>
      </c>
      <c r="K128" s="614">
        <f t="shared" ref="K128:K132" si="31">I128*J128</f>
        <v>0</v>
      </c>
      <c r="L128" s="491"/>
      <c r="M128" s="491"/>
      <c r="N128" s="657"/>
    </row>
    <row r="129" spans="1:14" ht="15" customHeight="1">
      <c r="A129" s="178"/>
      <c r="B129" s="121"/>
      <c r="C129" s="121"/>
      <c r="D129" s="121"/>
      <c r="E129" s="121"/>
      <c r="F129" s="703"/>
      <c r="G129" s="640" t="s">
        <v>192</v>
      </c>
      <c r="H129" s="192"/>
      <c r="I129" s="554"/>
      <c r="J129" s="614">
        <v>1742</v>
      </c>
      <c r="K129" s="614">
        <f t="shared" si="31"/>
        <v>0</v>
      </c>
      <c r="L129" s="491"/>
      <c r="M129" s="491"/>
      <c r="N129" s="657"/>
    </row>
    <row r="130" spans="1:14" ht="15" customHeight="1">
      <c r="A130" s="178"/>
      <c r="B130" s="121"/>
      <c r="C130" s="121"/>
      <c r="D130" s="121"/>
      <c r="E130" s="121"/>
      <c r="F130" s="703"/>
      <c r="G130" s="640" t="s">
        <v>193</v>
      </c>
      <c r="H130" s="192"/>
      <c r="I130" s="554"/>
      <c r="J130" s="614">
        <v>1545</v>
      </c>
      <c r="K130" s="614">
        <f t="shared" si="31"/>
        <v>0</v>
      </c>
      <c r="L130" s="491"/>
      <c r="M130" s="491"/>
      <c r="N130" s="657"/>
    </row>
    <row r="131" spans="1:14" ht="15" customHeight="1">
      <c r="A131" s="178"/>
      <c r="B131" s="121"/>
      <c r="C131" s="121"/>
      <c r="D131" s="121"/>
      <c r="E131" s="121"/>
      <c r="F131" s="703"/>
      <c r="G131" s="178" t="s">
        <v>184</v>
      </c>
      <c r="H131" s="192"/>
      <c r="I131" s="554"/>
      <c r="J131" s="614">
        <v>396</v>
      </c>
      <c r="K131" s="614">
        <f t="shared" si="31"/>
        <v>0</v>
      </c>
      <c r="L131" s="491"/>
      <c r="M131" s="491"/>
      <c r="N131" s="657"/>
    </row>
    <row r="132" spans="1:14" ht="15" customHeight="1">
      <c r="A132" s="178"/>
      <c r="B132" s="121"/>
      <c r="C132" s="121"/>
      <c r="D132" s="121"/>
      <c r="E132" s="121"/>
      <c r="F132" s="703"/>
      <c r="G132" s="640" t="s">
        <v>185</v>
      </c>
      <c r="H132" s="192"/>
      <c r="I132" s="632"/>
      <c r="J132" s="614">
        <v>623</v>
      </c>
      <c r="K132" s="614">
        <f t="shared" si="31"/>
        <v>0</v>
      </c>
      <c r="L132" s="491"/>
      <c r="M132" s="491"/>
      <c r="N132" s="657"/>
    </row>
    <row r="133" spans="1:14" ht="15" customHeight="1">
      <c r="A133" s="178"/>
      <c r="B133" s="121"/>
      <c r="C133" s="121"/>
      <c r="D133" s="121"/>
      <c r="E133" s="647" t="s">
        <v>9</v>
      </c>
      <c r="F133" s="706">
        <f>SUM(F128:F132)</f>
        <v>0</v>
      </c>
      <c r="G133" s="647"/>
      <c r="H133" s="647"/>
      <c r="I133" s="707"/>
      <c r="J133" s="708"/>
      <c r="K133" s="60">
        <f>SUM(K128:K132)</f>
        <v>0</v>
      </c>
      <c r="L133" s="60" t="e">
        <f>K133/F133</f>
        <v>#DIV/0!</v>
      </c>
      <c r="M133" s="491"/>
      <c r="N133" s="657"/>
    </row>
    <row r="134" spans="1:14" ht="15" customHeight="1">
      <c r="A134" s="178">
        <v>5943</v>
      </c>
      <c r="B134" s="178" t="s">
        <v>451</v>
      </c>
      <c r="C134" s="178" t="s">
        <v>121</v>
      </c>
      <c r="D134" s="178" t="s">
        <v>290</v>
      </c>
      <c r="E134" s="178" t="s">
        <v>261</v>
      </c>
      <c r="F134" s="638"/>
      <c r="G134" s="640" t="s">
        <v>285</v>
      </c>
      <c r="H134" s="192"/>
      <c r="I134" s="554"/>
      <c r="J134" s="646">
        <v>2060</v>
      </c>
      <c r="K134" s="614">
        <f t="shared" ref="K134:K138" si="32">I134*J134</f>
        <v>0</v>
      </c>
      <c r="L134" s="647"/>
      <c r="M134" s="491"/>
      <c r="N134" s="657"/>
    </row>
    <row r="135" spans="1:14" ht="15" customHeight="1">
      <c r="A135" s="121"/>
      <c r="B135" s="121"/>
      <c r="C135" s="121"/>
      <c r="D135" s="121"/>
      <c r="E135" s="121"/>
      <c r="F135" s="647"/>
      <c r="G135" s="179" t="s">
        <v>183</v>
      </c>
      <c r="H135" s="192"/>
      <c r="I135" s="554"/>
      <c r="J135" s="614">
        <v>1950</v>
      </c>
      <c r="K135" s="614">
        <f t="shared" si="32"/>
        <v>0</v>
      </c>
      <c r="L135" s="647"/>
      <c r="M135" s="491"/>
      <c r="N135" s="657"/>
    </row>
    <row r="136" spans="1:14" ht="15" customHeight="1">
      <c r="A136" s="121"/>
      <c r="B136" s="121"/>
      <c r="C136" s="121"/>
      <c r="D136" s="121"/>
      <c r="E136" s="121"/>
      <c r="F136" s="647"/>
      <c r="G136" s="179" t="s">
        <v>198</v>
      </c>
      <c r="H136" s="178"/>
      <c r="I136" s="632"/>
      <c r="J136" s="614">
        <v>2852</v>
      </c>
      <c r="K136" s="633">
        <f t="shared" si="32"/>
        <v>0</v>
      </c>
      <c r="L136" s="491"/>
      <c r="M136" s="491"/>
      <c r="N136" s="657"/>
    </row>
    <row r="137" spans="1:14" ht="15" customHeight="1">
      <c r="A137" s="121"/>
      <c r="B137" s="121"/>
      <c r="C137" s="121"/>
      <c r="D137" s="121"/>
      <c r="E137" s="121"/>
      <c r="F137" s="647"/>
      <c r="G137" s="178" t="s">
        <v>184</v>
      </c>
      <c r="H137" s="192"/>
      <c r="I137" s="554"/>
      <c r="J137" s="614">
        <v>396</v>
      </c>
      <c r="K137" s="614">
        <f t="shared" si="32"/>
        <v>0</v>
      </c>
      <c r="L137" s="647"/>
      <c r="M137" s="491"/>
      <c r="N137" s="657"/>
    </row>
    <row r="138" spans="1:14" ht="15" customHeight="1">
      <c r="A138" s="121"/>
      <c r="B138" s="121"/>
      <c r="C138" s="121"/>
      <c r="D138" s="121"/>
      <c r="E138" s="121"/>
      <c r="F138" s="647"/>
      <c r="G138" s="640" t="s">
        <v>185</v>
      </c>
      <c r="H138" s="192"/>
      <c r="I138" s="554"/>
      <c r="J138" s="614">
        <v>623</v>
      </c>
      <c r="K138" s="614">
        <f t="shared" si="32"/>
        <v>0</v>
      </c>
      <c r="L138" s="647"/>
      <c r="M138" s="491"/>
      <c r="N138" s="657"/>
    </row>
    <row r="139" spans="1:14" ht="15" customHeight="1">
      <c r="A139" s="121"/>
      <c r="B139" s="121"/>
      <c r="C139" s="121"/>
      <c r="D139" s="121"/>
      <c r="E139" s="647" t="s">
        <v>9</v>
      </c>
      <c r="F139" s="706">
        <f>SUM(F134:F138)</f>
        <v>0</v>
      </c>
      <c r="G139" s="647"/>
      <c r="H139" s="647"/>
      <c r="I139" s="707"/>
      <c r="J139" s="708"/>
      <c r="K139" s="60">
        <f>SUM(K134:K138)</f>
        <v>0</v>
      </c>
      <c r="L139" s="60" t="e">
        <f>K139/F139</f>
        <v>#DIV/0!</v>
      </c>
      <c r="M139" s="491"/>
      <c r="N139" s="657"/>
    </row>
    <row r="140" spans="1:14" ht="15" customHeight="1">
      <c r="A140" s="121">
        <v>5946</v>
      </c>
      <c r="B140" s="178" t="s">
        <v>654</v>
      </c>
      <c r="C140" s="178" t="s">
        <v>121</v>
      </c>
      <c r="D140" s="178" t="s">
        <v>124</v>
      </c>
      <c r="E140" s="178" t="s">
        <v>629</v>
      </c>
      <c r="F140" s="619"/>
      <c r="G140" s="639" t="s">
        <v>258</v>
      </c>
      <c r="H140" s="192"/>
      <c r="I140" s="554"/>
      <c r="J140" s="614">
        <v>3562</v>
      </c>
      <c r="K140" s="614">
        <f t="shared" ref="K140:K146" si="33">I140*J140</f>
        <v>0</v>
      </c>
      <c r="L140" s="104"/>
      <c r="M140" s="491"/>
      <c r="N140" s="657"/>
    </row>
    <row r="141" spans="1:14" ht="15" customHeight="1">
      <c r="A141" s="121"/>
      <c r="B141" s="121"/>
      <c r="C141" s="121"/>
      <c r="D141" s="121"/>
      <c r="E141" s="121"/>
      <c r="F141" s="703"/>
      <c r="G141" s="639" t="s">
        <v>259</v>
      </c>
      <c r="H141" s="192"/>
      <c r="I141" s="554"/>
      <c r="J141" s="614">
        <v>3520</v>
      </c>
      <c r="K141" s="614">
        <f t="shared" si="33"/>
        <v>0</v>
      </c>
      <c r="L141" s="104"/>
      <c r="M141" s="491"/>
      <c r="N141" s="657"/>
    </row>
    <row r="142" spans="1:14" ht="15" customHeight="1">
      <c r="A142" s="121"/>
      <c r="B142" s="121"/>
      <c r="C142" s="121"/>
      <c r="D142" s="121"/>
      <c r="E142" s="121"/>
      <c r="F142" s="703"/>
      <c r="G142" s="640" t="s">
        <v>265</v>
      </c>
      <c r="H142" s="192"/>
      <c r="I142" s="554"/>
      <c r="J142" s="614">
        <v>3433</v>
      </c>
      <c r="K142" s="614">
        <f t="shared" si="33"/>
        <v>0</v>
      </c>
      <c r="L142" s="104"/>
      <c r="M142" s="491"/>
      <c r="N142" s="657"/>
    </row>
    <row r="143" spans="1:14" ht="15" customHeight="1">
      <c r="A143" s="121"/>
      <c r="B143" s="121"/>
      <c r="C143" s="121"/>
      <c r="D143" s="121"/>
      <c r="E143" s="121"/>
      <c r="F143" s="703"/>
      <c r="G143" s="178" t="s">
        <v>184</v>
      </c>
      <c r="H143" s="192"/>
      <c r="I143" s="554"/>
      <c r="J143" s="614">
        <v>396</v>
      </c>
      <c r="K143" s="614">
        <f t="shared" si="33"/>
        <v>0</v>
      </c>
      <c r="L143" s="104"/>
      <c r="M143" s="491"/>
      <c r="N143" s="657"/>
    </row>
    <row r="144" spans="1:14" ht="15" customHeight="1">
      <c r="A144" s="121"/>
      <c r="B144" s="121"/>
      <c r="C144" s="121"/>
      <c r="D144" s="121"/>
      <c r="E144" s="121"/>
      <c r="F144" s="703"/>
      <c r="G144" s="640" t="s">
        <v>185</v>
      </c>
      <c r="H144" s="192"/>
      <c r="I144" s="632"/>
      <c r="J144" s="614">
        <v>623</v>
      </c>
      <c r="K144" s="614">
        <f t="shared" si="33"/>
        <v>0</v>
      </c>
      <c r="L144" s="104"/>
      <c r="M144" s="491"/>
      <c r="N144" s="657"/>
    </row>
    <row r="145" spans="1:14" ht="15" customHeight="1">
      <c r="A145" s="121"/>
      <c r="B145" s="121"/>
      <c r="C145" s="121"/>
      <c r="D145" s="121"/>
      <c r="E145" s="121"/>
      <c r="F145" s="703"/>
      <c r="G145" s="178" t="s">
        <v>28</v>
      </c>
      <c r="H145" s="192"/>
      <c r="I145" s="554"/>
      <c r="J145" s="614">
        <v>17</v>
      </c>
      <c r="K145" s="614">
        <f t="shared" si="33"/>
        <v>0</v>
      </c>
      <c r="L145" s="104"/>
      <c r="M145" s="491"/>
      <c r="N145" s="657"/>
    </row>
    <row r="146" spans="1:14" ht="15" customHeight="1">
      <c r="A146" s="121"/>
      <c r="B146" s="121"/>
      <c r="C146" s="121"/>
      <c r="D146" s="121"/>
      <c r="E146" s="121"/>
      <c r="F146" s="703"/>
      <c r="G146" s="178" t="s">
        <v>17</v>
      </c>
      <c r="H146" s="192"/>
      <c r="I146" s="554"/>
      <c r="J146" s="614">
        <v>34</v>
      </c>
      <c r="K146" s="614">
        <f t="shared" si="33"/>
        <v>0</v>
      </c>
      <c r="L146" s="104"/>
      <c r="M146" s="491"/>
      <c r="N146" s="657"/>
    </row>
    <row r="147" spans="1:14" ht="15" customHeight="1">
      <c r="A147" s="121"/>
      <c r="B147" s="121"/>
      <c r="C147" s="121"/>
      <c r="D147" s="121"/>
      <c r="E147" s="647" t="s">
        <v>9</v>
      </c>
      <c r="F147" s="706">
        <f>SUM(F140:F146)</f>
        <v>0</v>
      </c>
      <c r="G147" s="647"/>
      <c r="H147" s="647"/>
      <c r="I147" s="707"/>
      <c r="J147" s="708"/>
      <c r="K147" s="60">
        <f>SUM(K140:K146)</f>
        <v>0</v>
      </c>
      <c r="L147" s="60" t="e">
        <f>K147/F147</f>
        <v>#DIV/0!</v>
      </c>
      <c r="M147" s="491"/>
      <c r="N147" s="657"/>
    </row>
    <row r="148" spans="1:14" ht="15" customHeight="1">
      <c r="A148" s="121">
        <v>5941</v>
      </c>
      <c r="B148" s="178" t="s">
        <v>277</v>
      </c>
      <c r="C148" s="178" t="s">
        <v>268</v>
      </c>
      <c r="D148" s="178" t="s">
        <v>505</v>
      </c>
      <c r="E148" s="178" t="s">
        <v>127</v>
      </c>
      <c r="F148" s="619"/>
      <c r="G148" s="639" t="s">
        <v>190</v>
      </c>
      <c r="H148" s="192"/>
      <c r="I148" s="554"/>
      <c r="J148" s="614">
        <v>890</v>
      </c>
      <c r="K148" s="660">
        <f t="shared" ref="K148:K152" si="34">I148*J148</f>
        <v>0</v>
      </c>
      <c r="L148" s="104"/>
      <c r="M148" s="491"/>
      <c r="N148" s="657"/>
    </row>
    <row r="149" spans="1:14" ht="15" customHeight="1">
      <c r="A149" s="121"/>
      <c r="B149" s="121"/>
      <c r="C149" s="121"/>
      <c r="D149" s="121"/>
      <c r="E149" s="121"/>
      <c r="F149" s="703"/>
      <c r="G149" s="179" t="s">
        <v>183</v>
      </c>
      <c r="H149" s="192"/>
      <c r="I149" s="554"/>
      <c r="J149" s="614">
        <v>1950</v>
      </c>
      <c r="K149" s="614">
        <f t="shared" si="34"/>
        <v>0</v>
      </c>
      <c r="L149" s="104"/>
      <c r="M149" s="491"/>
      <c r="N149" s="657"/>
    </row>
    <row r="150" spans="1:14" ht="15" customHeight="1">
      <c r="A150" s="121"/>
      <c r="B150" s="121"/>
      <c r="C150" s="121"/>
      <c r="D150" s="121"/>
      <c r="E150" s="121"/>
      <c r="F150" s="703"/>
      <c r="G150" s="640" t="s">
        <v>191</v>
      </c>
      <c r="H150" s="192"/>
      <c r="I150" s="554"/>
      <c r="J150" s="614">
        <v>1638</v>
      </c>
      <c r="K150" s="614">
        <f t="shared" si="34"/>
        <v>0</v>
      </c>
      <c r="L150" s="104"/>
      <c r="M150" s="491"/>
      <c r="N150" s="657"/>
    </row>
    <row r="151" spans="1:14" ht="15" customHeight="1">
      <c r="A151" s="121"/>
      <c r="B151" s="121"/>
      <c r="C151" s="121"/>
      <c r="D151" s="121"/>
      <c r="E151" s="121"/>
      <c r="F151" s="703"/>
      <c r="G151" s="178" t="s">
        <v>184</v>
      </c>
      <c r="H151" s="192"/>
      <c r="I151" s="554"/>
      <c r="J151" s="614">
        <v>396</v>
      </c>
      <c r="K151" s="614">
        <f t="shared" si="34"/>
        <v>0</v>
      </c>
      <c r="L151" s="104"/>
      <c r="M151" s="491"/>
      <c r="N151" s="657"/>
    </row>
    <row r="152" spans="1:14" ht="15" customHeight="1">
      <c r="A152" s="121"/>
      <c r="B152" s="121"/>
      <c r="C152" s="121"/>
      <c r="D152" s="121"/>
      <c r="E152" s="121"/>
      <c r="F152" s="703"/>
      <c r="G152" s="640" t="s">
        <v>185</v>
      </c>
      <c r="H152" s="192"/>
      <c r="I152" s="554"/>
      <c r="J152" s="614">
        <v>623</v>
      </c>
      <c r="K152" s="614">
        <f t="shared" si="34"/>
        <v>0</v>
      </c>
      <c r="L152" s="104"/>
      <c r="M152" s="491"/>
      <c r="N152" s="657"/>
    </row>
    <row r="153" spans="1:14" ht="15" customHeight="1">
      <c r="A153" s="121"/>
      <c r="B153" s="121"/>
      <c r="C153" s="121"/>
      <c r="D153" s="121"/>
      <c r="E153" s="647" t="s">
        <v>9</v>
      </c>
      <c r="F153" s="706">
        <f>SUM(F148:F152)</f>
        <v>0</v>
      </c>
      <c r="G153" s="647"/>
      <c r="H153" s="647"/>
      <c r="I153" s="707"/>
      <c r="J153" s="708"/>
      <c r="K153" s="60">
        <f>SUM(K148:K152)</f>
        <v>0</v>
      </c>
      <c r="L153" s="60" t="e">
        <f>K153/F153</f>
        <v>#DIV/0!</v>
      </c>
      <c r="M153" s="491"/>
      <c r="N153" s="657"/>
    </row>
    <row r="154" spans="1:14" ht="15" customHeight="1">
      <c r="A154" s="121">
        <v>5933</v>
      </c>
      <c r="B154" s="178" t="s">
        <v>475</v>
      </c>
      <c r="C154" s="178" t="s">
        <v>268</v>
      </c>
      <c r="D154" s="178" t="s">
        <v>505</v>
      </c>
      <c r="E154" s="178" t="s">
        <v>127</v>
      </c>
      <c r="F154" s="619"/>
      <c r="G154" s="639" t="s">
        <v>190</v>
      </c>
      <c r="H154" s="192"/>
      <c r="I154" s="554"/>
      <c r="J154" s="614">
        <v>890</v>
      </c>
      <c r="K154" s="660">
        <f t="shared" ref="K154:K158" si="35">I154*J154</f>
        <v>0</v>
      </c>
      <c r="L154" s="104"/>
      <c r="M154" s="491"/>
      <c r="N154" s="657"/>
    </row>
    <row r="155" spans="1:14" ht="15" customHeight="1">
      <c r="A155" s="121"/>
      <c r="B155" s="121"/>
      <c r="C155" s="121"/>
      <c r="D155" s="121"/>
      <c r="E155" s="121"/>
      <c r="F155" s="703"/>
      <c r="G155" s="179" t="s">
        <v>183</v>
      </c>
      <c r="H155" s="192"/>
      <c r="I155" s="554"/>
      <c r="J155" s="614">
        <v>1950</v>
      </c>
      <c r="K155" s="614">
        <f t="shared" si="35"/>
        <v>0</v>
      </c>
      <c r="L155" s="104"/>
      <c r="M155" s="491"/>
      <c r="N155" s="657"/>
    </row>
    <row r="156" spans="1:14" ht="15" customHeight="1">
      <c r="A156" s="121"/>
      <c r="B156" s="121"/>
      <c r="C156" s="121"/>
      <c r="D156" s="121"/>
      <c r="E156" s="121"/>
      <c r="F156" s="703"/>
      <c r="G156" s="640" t="s">
        <v>191</v>
      </c>
      <c r="H156" s="192"/>
      <c r="I156" s="554"/>
      <c r="J156" s="614">
        <v>1638</v>
      </c>
      <c r="K156" s="614">
        <f t="shared" si="35"/>
        <v>0</v>
      </c>
      <c r="L156" s="104"/>
      <c r="M156" s="491"/>
      <c r="N156" s="657"/>
    </row>
    <row r="157" spans="1:14" ht="15" customHeight="1">
      <c r="A157" s="121"/>
      <c r="B157" s="121"/>
      <c r="C157" s="121"/>
      <c r="D157" s="121"/>
      <c r="E157" s="121"/>
      <c r="F157" s="703"/>
      <c r="G157" s="178" t="s">
        <v>184</v>
      </c>
      <c r="H157" s="192"/>
      <c r="I157" s="554"/>
      <c r="J157" s="614">
        <v>396</v>
      </c>
      <c r="K157" s="614">
        <f t="shared" si="35"/>
        <v>0</v>
      </c>
      <c r="L157" s="104"/>
      <c r="M157" s="491"/>
      <c r="N157" s="657"/>
    </row>
    <row r="158" spans="1:14" ht="15" customHeight="1">
      <c r="A158" s="121"/>
      <c r="B158" s="121"/>
      <c r="C158" s="121"/>
      <c r="D158" s="121"/>
      <c r="E158" s="121"/>
      <c r="F158" s="703"/>
      <c r="G158" s="640" t="s">
        <v>185</v>
      </c>
      <c r="H158" s="192"/>
      <c r="I158" s="554"/>
      <c r="J158" s="614">
        <v>623</v>
      </c>
      <c r="K158" s="614">
        <f t="shared" si="35"/>
        <v>0</v>
      </c>
      <c r="L158" s="104"/>
      <c r="M158" s="491"/>
      <c r="N158" s="657"/>
    </row>
    <row r="159" spans="1:14" ht="15" customHeight="1">
      <c r="A159" s="121"/>
      <c r="B159" s="121"/>
      <c r="C159" s="121"/>
      <c r="D159" s="121"/>
      <c r="E159" s="647" t="s">
        <v>9</v>
      </c>
      <c r="F159" s="706">
        <f>SUM(F154:F158)</f>
        <v>0</v>
      </c>
      <c r="G159" s="647"/>
      <c r="H159" s="647"/>
      <c r="I159" s="707"/>
      <c r="J159" s="708"/>
      <c r="K159" s="60">
        <f>SUM(K154:K158)</f>
        <v>0</v>
      </c>
      <c r="L159" s="60" t="e">
        <f>K159/F159</f>
        <v>#DIV/0!</v>
      </c>
      <c r="M159" s="491"/>
      <c r="N159" s="657"/>
    </row>
    <row r="160" spans="1:14" ht="15" customHeight="1">
      <c r="A160" s="121">
        <v>5930</v>
      </c>
      <c r="B160" s="178" t="s">
        <v>476</v>
      </c>
      <c r="C160" s="178" t="s">
        <v>268</v>
      </c>
      <c r="D160" s="178" t="s">
        <v>124</v>
      </c>
      <c r="E160" s="178" t="s">
        <v>232</v>
      </c>
      <c r="F160" s="619"/>
      <c r="G160" s="639" t="s">
        <v>190</v>
      </c>
      <c r="H160" s="192"/>
      <c r="I160" s="554"/>
      <c r="J160" s="614">
        <v>890</v>
      </c>
      <c r="K160" s="660">
        <f t="shared" ref="K160:K165" si="36">I160*J160</f>
        <v>0</v>
      </c>
      <c r="L160" s="104"/>
      <c r="M160" s="491"/>
      <c r="N160" s="657"/>
    </row>
    <row r="161" spans="1:14" ht="15" customHeight="1">
      <c r="A161" s="121"/>
      <c r="B161" s="121"/>
      <c r="C161" s="121"/>
      <c r="D161" s="121"/>
      <c r="E161" s="121"/>
      <c r="F161" s="703"/>
      <c r="G161" s="640" t="s">
        <v>192</v>
      </c>
      <c r="H161" s="192"/>
      <c r="I161" s="554"/>
      <c r="J161" s="614">
        <v>1742</v>
      </c>
      <c r="K161" s="614">
        <f t="shared" si="36"/>
        <v>0</v>
      </c>
      <c r="L161" s="104"/>
      <c r="M161" s="491"/>
      <c r="N161" s="657"/>
    </row>
    <row r="162" spans="1:14" ht="15" customHeight="1">
      <c r="A162" s="121"/>
      <c r="B162" s="121"/>
      <c r="C162" s="121"/>
      <c r="D162" s="121"/>
      <c r="E162" s="121"/>
      <c r="F162" s="703"/>
      <c r="G162" s="640" t="s">
        <v>199</v>
      </c>
      <c r="H162" s="192"/>
      <c r="I162" s="554"/>
      <c r="J162" s="614">
        <v>674</v>
      </c>
      <c r="K162" s="614">
        <f t="shared" si="36"/>
        <v>0</v>
      </c>
      <c r="L162" s="104"/>
      <c r="M162" s="491"/>
      <c r="N162" s="657"/>
    </row>
    <row r="163" spans="1:14" ht="15" customHeight="1">
      <c r="A163" s="121"/>
      <c r="B163" s="121"/>
      <c r="C163" s="121"/>
      <c r="D163" s="121"/>
      <c r="E163" s="121"/>
      <c r="F163" s="703"/>
      <c r="G163" s="179" t="s">
        <v>314</v>
      </c>
      <c r="H163" s="192"/>
      <c r="I163" s="554"/>
      <c r="J163" s="614">
        <v>1695</v>
      </c>
      <c r="K163" s="614">
        <f t="shared" si="36"/>
        <v>0</v>
      </c>
      <c r="L163" s="104"/>
      <c r="M163" s="491"/>
      <c r="N163" s="657"/>
    </row>
    <row r="164" spans="1:14" ht="15" customHeight="1">
      <c r="A164" s="121"/>
      <c r="B164" s="121"/>
      <c r="C164" s="121"/>
      <c r="D164" s="121"/>
      <c r="E164" s="121"/>
      <c r="F164" s="703"/>
      <c r="G164" s="178" t="s">
        <v>184</v>
      </c>
      <c r="H164" s="178"/>
      <c r="I164" s="554"/>
      <c r="J164" s="614">
        <v>369</v>
      </c>
      <c r="K164" s="633">
        <f t="shared" si="36"/>
        <v>0</v>
      </c>
      <c r="L164" s="104"/>
      <c r="M164" s="491"/>
      <c r="N164" s="657"/>
    </row>
    <row r="165" spans="1:14" ht="15" customHeight="1">
      <c r="A165" s="121"/>
      <c r="B165" s="121"/>
      <c r="C165" s="121"/>
      <c r="D165" s="121"/>
      <c r="E165" s="121"/>
      <c r="F165" s="703"/>
      <c r="G165" s="640" t="s">
        <v>185</v>
      </c>
      <c r="H165" s="192"/>
      <c r="I165" s="632"/>
      <c r="J165" s="614">
        <v>623</v>
      </c>
      <c r="K165" s="614">
        <f t="shared" si="36"/>
        <v>0</v>
      </c>
      <c r="L165" s="104"/>
      <c r="M165" s="491"/>
      <c r="N165" s="657"/>
    </row>
    <row r="166" spans="1:14" ht="15" customHeight="1">
      <c r="A166" s="121"/>
      <c r="B166" s="121"/>
      <c r="C166" s="121"/>
      <c r="D166" s="121"/>
      <c r="E166" s="647" t="s">
        <v>9</v>
      </c>
      <c r="F166" s="706">
        <f>SUM(F160:F165)</f>
        <v>0</v>
      </c>
      <c r="G166" s="647"/>
      <c r="H166" s="647"/>
      <c r="I166" s="707"/>
      <c r="J166" s="708"/>
      <c r="K166" s="60">
        <f>SUM(K160:K165)</f>
        <v>0</v>
      </c>
      <c r="L166" s="60" t="e">
        <f>K166/F166</f>
        <v>#DIV/0!</v>
      </c>
      <c r="M166" s="491"/>
      <c r="N166" s="657"/>
    </row>
    <row r="167" spans="1:14" ht="15" customHeight="1">
      <c r="A167" s="121">
        <v>5940</v>
      </c>
      <c r="B167" s="178" t="s">
        <v>303</v>
      </c>
      <c r="C167" s="178" t="s">
        <v>302</v>
      </c>
      <c r="D167" s="178" t="s">
        <v>368</v>
      </c>
      <c r="E167" s="178" t="s">
        <v>232</v>
      </c>
      <c r="F167" s="621"/>
      <c r="G167" s="639" t="s">
        <v>190</v>
      </c>
      <c r="H167" s="192"/>
      <c r="I167" s="554"/>
      <c r="J167" s="614">
        <v>890</v>
      </c>
      <c r="K167" s="614">
        <f t="shared" ref="K167:K171" si="37">I167*J167</f>
        <v>0</v>
      </c>
      <c r="L167" s="192"/>
      <c r="M167" s="491"/>
      <c r="N167" s="657"/>
    </row>
    <row r="168" spans="1:14" ht="15" customHeight="1">
      <c r="A168" s="121"/>
      <c r="B168" s="121"/>
      <c r="C168" s="121"/>
      <c r="D168" s="121"/>
      <c r="E168" s="121"/>
      <c r="F168" s="621"/>
      <c r="G168" s="640" t="s">
        <v>281</v>
      </c>
      <c r="H168" s="192"/>
      <c r="I168" s="554"/>
      <c r="J168" s="614">
        <v>1484</v>
      </c>
      <c r="K168" s="614">
        <f t="shared" si="37"/>
        <v>0</v>
      </c>
      <c r="L168" s="192"/>
      <c r="M168" s="491"/>
      <c r="N168" s="657"/>
    </row>
    <row r="169" spans="1:14" ht="15" customHeight="1">
      <c r="A169" s="121"/>
      <c r="B169" s="121"/>
      <c r="C169" s="121"/>
      <c r="D169" s="121"/>
      <c r="E169" s="121"/>
      <c r="F169" s="621"/>
      <c r="G169" s="640" t="s">
        <v>199</v>
      </c>
      <c r="H169" s="192"/>
      <c r="I169" s="554"/>
      <c r="J169" s="614">
        <v>674</v>
      </c>
      <c r="K169" s="614">
        <f t="shared" si="37"/>
        <v>0</v>
      </c>
      <c r="L169" s="192"/>
      <c r="M169" s="491"/>
      <c r="N169" s="657"/>
    </row>
    <row r="170" spans="1:14" ht="15" customHeight="1">
      <c r="A170" s="121"/>
      <c r="B170" s="121"/>
      <c r="C170" s="121"/>
      <c r="D170" s="121"/>
      <c r="E170" s="121"/>
      <c r="F170" s="621"/>
      <c r="G170" s="178" t="s">
        <v>184</v>
      </c>
      <c r="H170" s="192"/>
      <c r="I170" s="554"/>
      <c r="J170" s="614">
        <v>396</v>
      </c>
      <c r="K170" s="614">
        <f t="shared" si="37"/>
        <v>0</v>
      </c>
      <c r="L170" s="192"/>
      <c r="M170" s="491"/>
      <c r="N170" s="657"/>
    </row>
    <row r="171" spans="1:14" ht="15" customHeight="1">
      <c r="A171" s="121"/>
      <c r="B171" s="121"/>
      <c r="C171" s="121"/>
      <c r="D171" s="121"/>
      <c r="E171" s="121"/>
      <c r="F171" s="621"/>
      <c r="G171" s="640" t="s">
        <v>185</v>
      </c>
      <c r="H171" s="192"/>
      <c r="I171" s="554"/>
      <c r="J171" s="614">
        <v>623</v>
      </c>
      <c r="K171" s="614">
        <f t="shared" si="37"/>
        <v>0</v>
      </c>
      <c r="L171" s="192"/>
      <c r="M171" s="491"/>
      <c r="N171" s="657"/>
    </row>
    <row r="172" spans="1:14" ht="15" customHeight="1">
      <c r="A172" s="121"/>
      <c r="B172" s="121"/>
      <c r="C172" s="121"/>
      <c r="D172" s="121"/>
      <c r="E172" s="647" t="s">
        <v>9</v>
      </c>
      <c r="F172" s="706">
        <f>SUM(F167:F171)</f>
        <v>0</v>
      </c>
      <c r="G172" s="647"/>
      <c r="H172" s="647"/>
      <c r="I172" s="707"/>
      <c r="J172" s="708"/>
      <c r="K172" s="60">
        <f>SUM(K167:K171)</f>
        <v>0</v>
      </c>
      <c r="L172" s="60" t="e">
        <f>K172/F172</f>
        <v>#DIV/0!</v>
      </c>
      <c r="M172" s="491"/>
      <c r="N172" s="657"/>
    </row>
    <row r="173" spans="1:14" ht="15" customHeight="1">
      <c r="A173" s="709"/>
      <c r="B173" s="709"/>
      <c r="C173" s="709"/>
      <c r="D173" s="611" t="s">
        <v>30</v>
      </c>
      <c r="E173" s="611"/>
      <c r="F173" s="710">
        <f>F94+F102+F109+F115+F121+F127+F133+F139+F147+F153+F159+F166+F172</f>
        <v>0</v>
      </c>
      <c r="G173" s="711"/>
      <c r="H173" s="711"/>
      <c r="I173" s="711"/>
      <c r="J173" s="711"/>
      <c r="K173" s="710">
        <f>K94+K102+K109+K115+K121+K127+K133+K139+K147+K153+K159+K166+K172</f>
        <v>0</v>
      </c>
      <c r="L173" s="712" t="e">
        <f>K173/F173</f>
        <v>#DIV/0!</v>
      </c>
      <c r="M173" s="713"/>
      <c r="N173" s="657"/>
    </row>
    <row r="174" spans="1:14" ht="15" customHeight="1">
      <c r="A174" s="702" t="s">
        <v>40</v>
      </c>
      <c r="B174" s="702"/>
      <c r="C174" s="702"/>
      <c r="D174" s="702"/>
      <c r="E174" s="702"/>
      <c r="F174" s="657"/>
      <c r="G174" s="657"/>
      <c r="H174" s="657"/>
      <c r="I174" s="714"/>
      <c r="J174" s="657"/>
      <c r="K174" s="849" t="s">
        <v>1214</v>
      </c>
      <c r="L174" s="849"/>
      <c r="M174" s="849"/>
      <c r="N174" s="657"/>
    </row>
    <row r="175" spans="1:14" ht="15" customHeight="1">
      <c r="A175" s="647" t="s">
        <v>0</v>
      </c>
      <c r="B175" s="647" t="s">
        <v>7</v>
      </c>
      <c r="C175" s="647" t="s">
        <v>13</v>
      </c>
      <c r="D175" s="647" t="s">
        <v>14</v>
      </c>
      <c r="E175" s="647" t="s">
        <v>8</v>
      </c>
      <c r="F175" s="647" t="s">
        <v>1</v>
      </c>
      <c r="G175" s="647" t="s">
        <v>2</v>
      </c>
      <c r="H175" s="647" t="s">
        <v>15</v>
      </c>
      <c r="I175" s="715" t="s">
        <v>3</v>
      </c>
      <c r="J175" s="647" t="s">
        <v>4</v>
      </c>
      <c r="K175" s="647" t="s">
        <v>5</v>
      </c>
      <c r="L175" s="647" t="s">
        <v>12</v>
      </c>
      <c r="M175" s="647" t="s">
        <v>6</v>
      </c>
      <c r="N175" s="658"/>
    </row>
    <row r="176" spans="1:14" ht="15" customHeight="1">
      <c r="A176" s="178">
        <v>5496</v>
      </c>
      <c r="B176" s="178" t="s">
        <v>567</v>
      </c>
      <c r="C176" s="629" t="s">
        <v>455</v>
      </c>
      <c r="D176" s="629" t="s">
        <v>568</v>
      </c>
      <c r="E176" s="178" t="s">
        <v>232</v>
      </c>
      <c r="F176" s="638"/>
      <c r="G176" s="178" t="s">
        <v>27</v>
      </c>
      <c r="H176" s="192"/>
      <c r="I176" s="554"/>
      <c r="J176" s="614">
        <v>22</v>
      </c>
      <c r="K176" s="614">
        <f t="shared" ref="K176:K178" si="38">I176*J176</f>
        <v>0</v>
      </c>
      <c r="L176" s="121"/>
      <c r="M176" s="121"/>
      <c r="N176" s="648"/>
    </row>
    <row r="177" spans="1:14" ht="15" customHeight="1">
      <c r="A177" s="121"/>
      <c r="B177" s="178"/>
      <c r="C177" s="178"/>
      <c r="D177" s="178"/>
      <c r="E177" s="178"/>
      <c r="F177" s="121"/>
      <c r="G177" s="179" t="s">
        <v>49</v>
      </c>
      <c r="H177" s="192"/>
      <c r="I177" s="554"/>
      <c r="J177" s="614">
        <v>34</v>
      </c>
      <c r="K177" s="614">
        <f t="shared" si="38"/>
        <v>0</v>
      </c>
      <c r="L177" s="121"/>
      <c r="M177" s="121"/>
      <c r="N177" s="648"/>
    </row>
    <row r="178" spans="1:14" ht="15" customHeight="1">
      <c r="A178" s="121"/>
      <c r="B178" s="121"/>
      <c r="C178" s="121"/>
      <c r="D178" s="121"/>
      <c r="E178" s="121"/>
      <c r="F178" s="121"/>
      <c r="G178" s="178" t="s">
        <v>19</v>
      </c>
      <c r="H178" s="192"/>
      <c r="I178" s="554"/>
      <c r="J178" s="614">
        <v>80</v>
      </c>
      <c r="K178" s="614">
        <f t="shared" si="38"/>
        <v>0</v>
      </c>
      <c r="L178" s="121"/>
      <c r="M178" s="121"/>
      <c r="N178" s="648"/>
    </row>
    <row r="179" spans="1:14" ht="15" customHeight="1">
      <c r="A179" s="121"/>
      <c r="B179" s="121"/>
      <c r="C179" s="121"/>
      <c r="D179" s="121"/>
      <c r="E179" s="647" t="s">
        <v>9</v>
      </c>
      <c r="F179" s="706">
        <f>SUM(F176:F178)</f>
        <v>0</v>
      </c>
      <c r="G179" s="647"/>
      <c r="H179" s="647"/>
      <c r="I179" s="707"/>
      <c r="J179" s="708"/>
      <c r="K179" s="60">
        <f>SUM(K176:K178)</f>
        <v>0</v>
      </c>
      <c r="L179" s="60" t="e">
        <f>K179/F179</f>
        <v>#DIV/0!</v>
      </c>
      <c r="M179" s="491"/>
      <c r="N179" s="657"/>
    </row>
    <row r="180" spans="1:14" ht="15" customHeight="1">
      <c r="A180" s="178">
        <v>5496</v>
      </c>
      <c r="B180" s="178" t="s">
        <v>392</v>
      </c>
      <c r="C180" s="178" t="s">
        <v>643</v>
      </c>
      <c r="D180" s="178" t="s">
        <v>274</v>
      </c>
      <c r="E180" s="178" t="s">
        <v>644</v>
      </c>
      <c r="F180" s="638"/>
      <c r="G180" s="178" t="s">
        <v>27</v>
      </c>
      <c r="H180" s="192"/>
      <c r="I180" s="554"/>
      <c r="J180" s="614">
        <v>22</v>
      </c>
      <c r="K180" s="614">
        <f t="shared" ref="K180:K182" si="39">I180*J180</f>
        <v>0</v>
      </c>
      <c r="L180" s="121"/>
      <c r="M180" s="121"/>
      <c r="N180" s="648"/>
    </row>
    <row r="181" spans="1:14" ht="15" customHeight="1">
      <c r="A181" s="121"/>
      <c r="B181" s="178"/>
      <c r="C181" s="178"/>
      <c r="D181" s="178"/>
      <c r="E181" s="178" t="s">
        <v>370</v>
      </c>
      <c r="F181" s="178"/>
      <c r="G181" s="179" t="s">
        <v>49</v>
      </c>
      <c r="H181" s="192"/>
      <c r="I181" s="554"/>
      <c r="J181" s="614">
        <v>34</v>
      </c>
      <c r="K181" s="614">
        <f t="shared" si="39"/>
        <v>0</v>
      </c>
      <c r="L181" s="121"/>
      <c r="M181" s="121"/>
      <c r="N181" s="648"/>
    </row>
    <row r="182" spans="1:14" ht="15" customHeight="1">
      <c r="A182" s="121"/>
      <c r="B182" s="121"/>
      <c r="C182" s="121"/>
      <c r="D182" s="121"/>
      <c r="E182" s="121"/>
      <c r="F182" s="121"/>
      <c r="G182" s="178" t="s">
        <v>19</v>
      </c>
      <c r="H182" s="192"/>
      <c r="I182" s="554"/>
      <c r="J182" s="614">
        <v>80</v>
      </c>
      <c r="K182" s="614">
        <f t="shared" si="39"/>
        <v>0</v>
      </c>
      <c r="L182" s="121"/>
      <c r="M182" s="121"/>
      <c r="N182" s="648"/>
    </row>
    <row r="183" spans="1:14" ht="15" customHeight="1">
      <c r="A183" s="121"/>
      <c r="B183" s="121"/>
      <c r="C183" s="121"/>
      <c r="D183" s="121"/>
      <c r="E183" s="647" t="s">
        <v>9</v>
      </c>
      <c r="F183" s="706">
        <f>SUM(F180:F182)</f>
        <v>0</v>
      </c>
      <c r="G183" s="647"/>
      <c r="H183" s="647"/>
      <c r="I183" s="707"/>
      <c r="J183" s="708"/>
      <c r="K183" s="60">
        <f>SUM(K180:K182)</f>
        <v>0</v>
      </c>
      <c r="L183" s="60" t="e">
        <f>K183/F183</f>
        <v>#DIV/0!</v>
      </c>
      <c r="M183" s="491"/>
      <c r="N183" s="657"/>
    </row>
    <row r="184" spans="1:14" ht="15" customHeight="1">
      <c r="A184" s="178">
        <v>5497</v>
      </c>
      <c r="B184" s="178" t="s">
        <v>179</v>
      </c>
      <c r="C184" s="178" t="s">
        <v>121</v>
      </c>
      <c r="D184" s="178" t="s">
        <v>180</v>
      </c>
      <c r="E184" s="178" t="s">
        <v>243</v>
      </c>
      <c r="F184" s="619"/>
      <c r="G184" s="178" t="s">
        <v>27</v>
      </c>
      <c r="H184" s="192"/>
      <c r="I184" s="554"/>
      <c r="J184" s="614">
        <v>22</v>
      </c>
      <c r="K184" s="614">
        <f t="shared" ref="K184:K186" si="40">I184*J184</f>
        <v>0</v>
      </c>
      <c r="L184" s="121"/>
      <c r="M184" s="121"/>
      <c r="N184" s="648"/>
    </row>
    <row r="185" spans="1:14" ht="15" customHeight="1">
      <c r="A185" s="121"/>
      <c r="B185" s="121"/>
      <c r="C185" s="121"/>
      <c r="D185" s="121"/>
      <c r="E185" s="121"/>
      <c r="F185" s="121"/>
      <c r="G185" s="179" t="s">
        <v>49</v>
      </c>
      <c r="H185" s="192"/>
      <c r="I185" s="554"/>
      <c r="J185" s="614">
        <v>34</v>
      </c>
      <c r="K185" s="614">
        <f t="shared" si="40"/>
        <v>0</v>
      </c>
      <c r="L185" s="121"/>
      <c r="M185" s="121"/>
      <c r="N185" s="648"/>
    </row>
    <row r="186" spans="1:14">
      <c r="A186" s="121"/>
      <c r="B186" s="121"/>
      <c r="C186" s="121"/>
      <c r="D186" s="121"/>
      <c r="E186" s="121"/>
      <c r="F186" s="121"/>
      <c r="G186" s="178" t="s">
        <v>19</v>
      </c>
      <c r="H186" s="192"/>
      <c r="I186" s="554"/>
      <c r="J186" s="614">
        <v>80</v>
      </c>
      <c r="K186" s="614">
        <f t="shared" si="40"/>
        <v>0</v>
      </c>
      <c r="L186" s="121"/>
      <c r="M186" s="121"/>
      <c r="N186" s="648"/>
    </row>
    <row r="187" spans="1:14" s="10" customFormat="1">
      <c r="A187" s="121"/>
      <c r="B187" s="121"/>
      <c r="C187" s="121"/>
      <c r="D187" s="121"/>
      <c r="E187" s="647" t="s">
        <v>9</v>
      </c>
      <c r="F187" s="706">
        <f>SUM(F184:F186)</f>
        <v>0</v>
      </c>
      <c r="G187" s="647"/>
      <c r="H187" s="647"/>
      <c r="I187" s="707"/>
      <c r="J187" s="708"/>
      <c r="K187" s="60">
        <f>SUM(K184:K186)</f>
        <v>0</v>
      </c>
      <c r="L187" s="60" t="e">
        <f>K187/F187</f>
        <v>#DIV/0!</v>
      </c>
      <c r="M187" s="121"/>
      <c r="N187" s="648"/>
    </row>
    <row r="188" spans="1:14">
      <c r="A188" s="709"/>
      <c r="B188" s="709"/>
      <c r="C188" s="709"/>
      <c r="D188" s="611" t="s">
        <v>30</v>
      </c>
      <c r="E188" s="716"/>
      <c r="F188" s="710">
        <f>F179+F183+F187</f>
        <v>0</v>
      </c>
      <c r="G188" s="711"/>
      <c r="H188" s="711"/>
      <c r="I188" s="711"/>
      <c r="J188" s="711"/>
      <c r="K188" s="710">
        <f>K179+K183+K187</f>
        <v>0</v>
      </c>
      <c r="L188" s="712" t="e">
        <f>K188/F188</f>
        <v>#DIV/0!</v>
      </c>
      <c r="M188" s="713"/>
      <c r="N188" s="657"/>
    </row>
    <row r="189" spans="1:14">
      <c r="A189" s="850" t="s">
        <v>11</v>
      </c>
      <c r="B189" s="850"/>
      <c r="C189" s="628"/>
      <c r="D189" s="628"/>
      <c r="E189" s="628"/>
      <c r="F189" s="623"/>
      <c r="G189" s="623"/>
      <c r="H189" s="623"/>
      <c r="I189" s="623"/>
      <c r="J189" s="623"/>
      <c r="K189" s="849" t="s">
        <v>1214</v>
      </c>
      <c r="L189" s="849"/>
      <c r="M189" s="849"/>
      <c r="N189" s="657"/>
    </row>
    <row r="190" spans="1:14">
      <c r="A190" s="180" t="s">
        <v>0</v>
      </c>
      <c r="B190" s="180" t="s">
        <v>7</v>
      </c>
      <c r="C190" s="180" t="s">
        <v>13</v>
      </c>
      <c r="D190" s="180" t="s">
        <v>14</v>
      </c>
      <c r="E190" s="180" t="s">
        <v>8</v>
      </c>
      <c r="F190" s="180" t="s">
        <v>1</v>
      </c>
      <c r="G190" s="180" t="s">
        <v>2</v>
      </c>
      <c r="H190" s="180" t="s">
        <v>15</v>
      </c>
      <c r="I190" s="180" t="s">
        <v>3</v>
      </c>
      <c r="J190" s="180" t="s">
        <v>4</v>
      </c>
      <c r="K190" s="180" t="s">
        <v>5</v>
      </c>
      <c r="L190" s="180" t="s">
        <v>12</v>
      </c>
      <c r="M190" s="180" t="s">
        <v>6</v>
      </c>
      <c r="N190" s="658"/>
    </row>
    <row r="191" spans="1:14">
      <c r="A191" s="178">
        <v>5694</v>
      </c>
      <c r="B191" s="178" t="s">
        <v>477</v>
      </c>
      <c r="C191" s="178" t="s">
        <v>121</v>
      </c>
      <c r="D191" s="178" t="s">
        <v>113</v>
      </c>
      <c r="E191" s="178" t="s">
        <v>132</v>
      </c>
      <c r="F191" s="638"/>
      <c r="G191" s="179" t="s">
        <v>298</v>
      </c>
      <c r="H191" s="192"/>
      <c r="I191" s="554"/>
      <c r="J191" s="614">
        <v>435</v>
      </c>
      <c r="K191" s="633">
        <f t="shared" ref="K191:K194" si="41">I191*J191</f>
        <v>0</v>
      </c>
      <c r="L191" s="192"/>
      <c r="M191" s="192"/>
      <c r="N191" s="657"/>
    </row>
    <row r="192" spans="1:14">
      <c r="A192" s="178"/>
      <c r="B192" s="178"/>
      <c r="C192" s="178"/>
      <c r="D192" s="178"/>
      <c r="E192" s="178"/>
      <c r="F192" s="178"/>
      <c r="G192" s="179" t="s">
        <v>206</v>
      </c>
      <c r="H192" s="192"/>
      <c r="I192" s="614"/>
      <c r="J192" s="614">
        <v>375</v>
      </c>
      <c r="K192" s="614">
        <f t="shared" si="41"/>
        <v>0</v>
      </c>
      <c r="L192" s="192"/>
      <c r="M192" s="192"/>
      <c r="N192" s="657"/>
    </row>
    <row r="193" spans="1:14">
      <c r="A193" s="178"/>
      <c r="B193" s="178"/>
      <c r="C193" s="178"/>
      <c r="D193" s="178"/>
      <c r="E193" s="178"/>
      <c r="F193" s="178"/>
      <c r="G193" s="178" t="s">
        <v>376</v>
      </c>
      <c r="H193" s="192"/>
      <c r="I193" s="554"/>
      <c r="J193" s="614">
        <v>210</v>
      </c>
      <c r="K193" s="614">
        <f t="shared" si="41"/>
        <v>0</v>
      </c>
      <c r="L193" s="192"/>
      <c r="M193" s="192"/>
      <c r="N193" s="657"/>
    </row>
    <row r="194" spans="1:14">
      <c r="A194" s="178"/>
      <c r="B194" s="178"/>
      <c r="C194" s="178"/>
      <c r="D194" s="178"/>
      <c r="E194" s="178"/>
      <c r="F194" s="178"/>
      <c r="G194" s="640" t="s">
        <v>204</v>
      </c>
      <c r="H194" s="192"/>
      <c r="I194" s="614"/>
      <c r="J194" s="152">
        <v>375</v>
      </c>
      <c r="K194" s="614">
        <f t="shared" si="41"/>
        <v>0</v>
      </c>
      <c r="L194" s="192"/>
      <c r="M194" s="192"/>
      <c r="N194" s="657"/>
    </row>
    <row r="195" spans="1:14">
      <c r="A195" s="178"/>
      <c r="B195" s="178"/>
      <c r="C195" s="178"/>
      <c r="D195" s="178"/>
      <c r="E195" s="180" t="s">
        <v>9</v>
      </c>
      <c r="F195" s="622">
        <f>SUM(F191:F194)</f>
        <v>0</v>
      </c>
      <c r="G195" s="180"/>
      <c r="H195" s="180"/>
      <c r="I195" s="614"/>
      <c r="J195" s="614"/>
      <c r="K195" s="152">
        <f>SUM(K191:K194)</f>
        <v>0</v>
      </c>
      <c r="L195" s="152" t="e">
        <f>K195/F195</f>
        <v>#DIV/0!</v>
      </c>
      <c r="M195" s="192"/>
      <c r="N195" s="657"/>
    </row>
    <row r="196" spans="1:14">
      <c r="A196" s="178">
        <v>5695</v>
      </c>
      <c r="B196" s="178" t="s">
        <v>596</v>
      </c>
      <c r="C196" s="178" t="s">
        <v>234</v>
      </c>
      <c r="D196" s="178" t="s">
        <v>597</v>
      </c>
      <c r="E196" s="178" t="s">
        <v>236</v>
      </c>
      <c r="F196" s="621"/>
      <c r="G196" s="179" t="s">
        <v>587</v>
      </c>
      <c r="H196" s="192"/>
      <c r="I196" s="554"/>
      <c r="J196" s="614">
        <v>456</v>
      </c>
      <c r="K196" s="633">
        <f t="shared" ref="K196:K197" si="42">I196*J196</f>
        <v>0</v>
      </c>
      <c r="L196" s="192"/>
      <c r="M196" s="192"/>
      <c r="N196" s="657"/>
    </row>
    <row r="197" spans="1:14">
      <c r="A197" s="178"/>
      <c r="B197" s="178"/>
      <c r="C197" s="178"/>
      <c r="D197" s="178"/>
      <c r="E197" s="178"/>
      <c r="F197" s="178"/>
      <c r="G197" s="179"/>
      <c r="H197" s="192"/>
      <c r="I197" s="614"/>
      <c r="J197" s="614"/>
      <c r="K197" s="614">
        <f t="shared" si="42"/>
        <v>0</v>
      </c>
      <c r="L197" s="192"/>
      <c r="M197" s="192"/>
      <c r="N197" s="657"/>
    </row>
    <row r="198" spans="1:14">
      <c r="A198" s="178"/>
      <c r="B198" s="178"/>
      <c r="C198" s="178"/>
      <c r="D198" s="178"/>
      <c r="E198" s="180" t="s">
        <v>9</v>
      </c>
      <c r="F198" s="622">
        <f>SUM(F196:F196)</f>
        <v>0</v>
      </c>
      <c r="G198" s="180"/>
      <c r="H198" s="180"/>
      <c r="I198" s="614"/>
      <c r="J198" s="614"/>
      <c r="K198" s="152">
        <f>SUM(K196:K197)</f>
        <v>0</v>
      </c>
      <c r="L198" s="152" t="e">
        <f>K198/F198</f>
        <v>#DIV/0!</v>
      </c>
      <c r="M198" s="192"/>
      <c r="N198" s="657"/>
    </row>
    <row r="199" spans="1:14">
      <c r="A199" s="178">
        <v>5693</v>
      </c>
      <c r="B199" s="178" t="s">
        <v>551</v>
      </c>
      <c r="C199" s="178" t="s">
        <v>121</v>
      </c>
      <c r="D199" s="178" t="s">
        <v>442</v>
      </c>
      <c r="E199" s="178" t="s">
        <v>270</v>
      </c>
      <c r="F199" s="638"/>
      <c r="G199" s="178" t="s">
        <v>250</v>
      </c>
      <c r="H199" s="192"/>
      <c r="I199" s="554"/>
      <c r="J199" s="614">
        <v>351</v>
      </c>
      <c r="K199" s="614">
        <f t="shared" ref="K199:K200" si="43">I199*J199</f>
        <v>0</v>
      </c>
      <c r="L199" s="192"/>
      <c r="M199" s="192"/>
      <c r="N199" s="657"/>
    </row>
    <row r="200" spans="1:14">
      <c r="A200" s="178"/>
      <c r="B200" s="178"/>
      <c r="C200" s="178"/>
      <c r="D200" s="178"/>
      <c r="E200" s="178"/>
      <c r="F200" s="178"/>
      <c r="G200" s="179" t="s">
        <v>298</v>
      </c>
      <c r="H200" s="192"/>
      <c r="I200" s="554"/>
      <c r="J200" s="614">
        <v>435</v>
      </c>
      <c r="K200" s="633">
        <f t="shared" si="43"/>
        <v>0</v>
      </c>
      <c r="L200" s="192"/>
      <c r="M200" s="192"/>
      <c r="N200" s="657"/>
    </row>
    <row r="201" spans="1:14">
      <c r="A201" s="178"/>
      <c r="B201" s="178"/>
      <c r="C201" s="178"/>
      <c r="D201" s="178"/>
      <c r="E201" s="180" t="s">
        <v>9</v>
      </c>
      <c r="F201" s="622">
        <f>SUM(F199:F200)</f>
        <v>0</v>
      </c>
      <c r="G201" s="180"/>
      <c r="H201" s="180"/>
      <c r="I201" s="614"/>
      <c r="J201" s="614"/>
      <c r="K201" s="152">
        <f>SUM(K199:K200)</f>
        <v>0</v>
      </c>
      <c r="L201" s="152" t="e">
        <f>K201/F201</f>
        <v>#DIV/0!</v>
      </c>
      <c r="M201" s="192"/>
      <c r="N201" s="657"/>
    </row>
    <row r="202" spans="1:14">
      <c r="A202" s="623"/>
      <c r="B202" s="623"/>
      <c r="C202" s="623"/>
      <c r="D202" s="624" t="s">
        <v>30</v>
      </c>
      <c r="E202" s="624"/>
      <c r="F202" s="625">
        <f>F195+F198+F201</f>
        <v>0</v>
      </c>
      <c r="G202" s="626"/>
      <c r="H202" s="626"/>
      <c r="I202" s="626"/>
      <c r="J202" s="626"/>
      <c r="K202" s="625">
        <f>K195+K198+K201</f>
        <v>0</v>
      </c>
      <c r="L202" s="627" t="e">
        <f>K202/F202</f>
        <v>#DIV/0!</v>
      </c>
      <c r="M202" s="623"/>
      <c r="N202" s="657"/>
    </row>
    <row r="203" spans="1:14">
      <c r="A203" s="850" t="s">
        <v>42</v>
      </c>
      <c r="B203" s="850"/>
      <c r="C203" s="628"/>
      <c r="D203" s="628"/>
      <c r="E203" s="628"/>
      <c r="F203" s="623"/>
      <c r="G203" s="623"/>
      <c r="H203" s="623"/>
      <c r="I203" s="623"/>
      <c r="J203" s="623"/>
      <c r="K203" s="849" t="s">
        <v>1214</v>
      </c>
      <c r="L203" s="849"/>
      <c r="M203" s="849"/>
      <c r="N203" s="657"/>
    </row>
    <row r="204" spans="1:14">
      <c r="A204" s="180" t="s">
        <v>0</v>
      </c>
      <c r="B204" s="180" t="s">
        <v>7</v>
      </c>
      <c r="C204" s="180" t="s">
        <v>13</v>
      </c>
      <c r="D204" s="180" t="s">
        <v>14</v>
      </c>
      <c r="E204" s="180" t="s">
        <v>8</v>
      </c>
      <c r="F204" s="180" t="s">
        <v>1</v>
      </c>
      <c r="G204" s="180" t="s">
        <v>2</v>
      </c>
      <c r="H204" s="180" t="s">
        <v>15</v>
      </c>
      <c r="I204" s="180" t="s">
        <v>3</v>
      </c>
      <c r="J204" s="180" t="s">
        <v>4</v>
      </c>
      <c r="K204" s="180" t="s">
        <v>5</v>
      </c>
      <c r="L204" s="180" t="s">
        <v>12</v>
      </c>
      <c r="M204" s="180" t="s">
        <v>6</v>
      </c>
      <c r="N204" s="658"/>
    </row>
    <row r="205" spans="1:14">
      <c r="A205" s="178">
        <v>4814</v>
      </c>
      <c r="B205" s="178" t="s">
        <v>676</v>
      </c>
      <c r="C205" s="178" t="s">
        <v>233</v>
      </c>
      <c r="D205" s="178" t="s">
        <v>678</v>
      </c>
      <c r="E205" s="178" t="s">
        <v>93</v>
      </c>
      <c r="F205" s="621"/>
      <c r="G205" s="640" t="s">
        <v>209</v>
      </c>
      <c r="H205" s="192"/>
      <c r="I205" s="554"/>
      <c r="J205" s="614">
        <v>350</v>
      </c>
      <c r="K205" s="614">
        <f t="shared" ref="K205:K208" si="44">I205*J205</f>
        <v>0</v>
      </c>
      <c r="L205" s="192"/>
      <c r="M205" s="192"/>
      <c r="N205" s="657"/>
    </row>
    <row r="206" spans="1:14">
      <c r="A206" s="178"/>
      <c r="B206" s="178"/>
      <c r="C206" s="178"/>
      <c r="D206" s="178"/>
      <c r="E206" s="178"/>
      <c r="F206" s="621"/>
      <c r="G206" s="640" t="s">
        <v>123</v>
      </c>
      <c r="H206" s="192"/>
      <c r="I206" s="554"/>
      <c r="J206" s="614">
        <v>750</v>
      </c>
      <c r="K206" s="614">
        <f t="shared" si="44"/>
        <v>0</v>
      </c>
      <c r="L206" s="192"/>
      <c r="M206" s="192"/>
      <c r="N206" s="657"/>
    </row>
    <row r="207" spans="1:14">
      <c r="A207" s="178"/>
      <c r="B207" s="178"/>
      <c r="C207" s="178"/>
      <c r="D207" s="178"/>
      <c r="E207" s="178"/>
      <c r="F207" s="621"/>
      <c r="G207" s="640" t="s">
        <v>221</v>
      </c>
      <c r="H207" s="661"/>
      <c r="I207" s="662"/>
      <c r="J207" s="614">
        <v>980</v>
      </c>
      <c r="K207" s="614">
        <f t="shared" si="44"/>
        <v>0</v>
      </c>
      <c r="L207" s="192"/>
      <c r="M207" s="192"/>
      <c r="N207" s="657"/>
    </row>
    <row r="208" spans="1:14">
      <c r="A208" s="178"/>
      <c r="B208" s="178"/>
      <c r="C208" s="178"/>
      <c r="D208" s="178"/>
      <c r="E208" s="178"/>
      <c r="F208" s="621"/>
      <c r="G208" s="640" t="s">
        <v>210</v>
      </c>
      <c r="H208" s="661"/>
      <c r="I208" s="662"/>
      <c r="J208" s="614">
        <v>690</v>
      </c>
      <c r="K208" s="614">
        <f t="shared" si="44"/>
        <v>0</v>
      </c>
      <c r="L208" s="192"/>
      <c r="M208" s="192"/>
      <c r="N208" s="657"/>
    </row>
    <row r="209" spans="1:14">
      <c r="A209" s="178"/>
      <c r="B209" s="178"/>
      <c r="C209" s="178"/>
      <c r="D209" s="178"/>
      <c r="E209" s="178"/>
      <c r="F209" s="621"/>
      <c r="G209" s="179" t="s">
        <v>211</v>
      </c>
      <c r="H209" s="192"/>
      <c r="I209" s="554"/>
      <c r="J209" s="614">
        <v>120</v>
      </c>
      <c r="K209" s="614">
        <f>I209*J209</f>
        <v>0</v>
      </c>
      <c r="L209" s="192"/>
      <c r="M209" s="192"/>
      <c r="N209" s="657"/>
    </row>
    <row r="210" spans="1:14">
      <c r="A210" s="178"/>
      <c r="B210" s="178"/>
      <c r="C210" s="178"/>
      <c r="D210" s="178"/>
      <c r="E210" s="178"/>
      <c r="F210" s="621"/>
      <c r="G210" s="179" t="s">
        <v>212</v>
      </c>
      <c r="H210" s="192"/>
      <c r="I210" s="554"/>
      <c r="J210" s="614">
        <v>527</v>
      </c>
      <c r="K210" s="614">
        <f t="shared" ref="K210:K212" si="45">I210*J210</f>
        <v>0</v>
      </c>
      <c r="L210" s="192"/>
      <c r="M210" s="192"/>
      <c r="N210" s="657"/>
    </row>
    <row r="211" spans="1:14">
      <c r="A211" s="178"/>
      <c r="B211" s="178"/>
      <c r="C211" s="178"/>
      <c r="D211" s="178"/>
      <c r="E211" s="178"/>
      <c r="F211" s="621"/>
      <c r="G211" s="179" t="s">
        <v>45</v>
      </c>
      <c r="H211" s="192"/>
      <c r="I211" s="554"/>
      <c r="J211" s="614">
        <v>45</v>
      </c>
      <c r="K211" s="614">
        <f t="shared" si="45"/>
        <v>0</v>
      </c>
      <c r="L211" s="192"/>
      <c r="M211" s="192"/>
      <c r="N211" s="657"/>
    </row>
    <row r="212" spans="1:14">
      <c r="A212" s="178"/>
      <c r="B212" s="178"/>
      <c r="C212" s="178"/>
      <c r="D212" s="178"/>
      <c r="E212" s="178"/>
      <c r="F212" s="621"/>
      <c r="G212" s="179" t="s">
        <v>213</v>
      </c>
      <c r="H212" s="192"/>
      <c r="I212" s="554"/>
      <c r="J212" s="614">
        <v>348</v>
      </c>
      <c r="K212" s="614">
        <f t="shared" si="45"/>
        <v>0</v>
      </c>
      <c r="L212" s="192"/>
      <c r="M212" s="192"/>
      <c r="N212" s="657"/>
    </row>
    <row r="213" spans="1:14">
      <c r="A213" s="178"/>
      <c r="B213" s="178"/>
      <c r="C213" s="178"/>
      <c r="D213" s="178"/>
      <c r="E213" s="180" t="s">
        <v>9</v>
      </c>
      <c r="F213" s="622">
        <f>SUM(F205:F212)</f>
        <v>0</v>
      </c>
      <c r="G213" s="180"/>
      <c r="H213" s="180"/>
      <c r="I213" s="614"/>
      <c r="J213" s="614"/>
      <c r="K213" s="152">
        <f>SUM(K205:K212)</f>
        <v>0</v>
      </c>
      <c r="L213" s="152" t="e">
        <f>K213/F213</f>
        <v>#DIV/0!</v>
      </c>
      <c r="M213" s="192"/>
      <c r="N213" s="657"/>
    </row>
    <row r="214" spans="1:14">
      <c r="A214" s="178">
        <v>4815</v>
      </c>
      <c r="B214" s="178" t="s">
        <v>676</v>
      </c>
      <c r="C214" s="178" t="s">
        <v>280</v>
      </c>
      <c r="D214" s="178" t="s">
        <v>679</v>
      </c>
      <c r="E214" s="178" t="s">
        <v>93</v>
      </c>
      <c r="F214" s="621"/>
      <c r="G214" s="179" t="s">
        <v>377</v>
      </c>
      <c r="H214" s="192"/>
      <c r="I214" s="554"/>
      <c r="J214" s="614">
        <v>185</v>
      </c>
      <c r="K214" s="614">
        <f t="shared" ref="K214:K215" si="46">I214*J214</f>
        <v>0</v>
      </c>
      <c r="L214" s="192"/>
      <c r="M214" s="192"/>
      <c r="N214" s="657"/>
    </row>
    <row r="215" spans="1:14">
      <c r="A215" s="178"/>
      <c r="B215" s="178"/>
      <c r="C215" s="178"/>
      <c r="D215" s="178"/>
      <c r="E215" s="178"/>
      <c r="F215" s="621"/>
      <c r="G215" s="179" t="s">
        <v>214</v>
      </c>
      <c r="H215" s="192"/>
      <c r="I215" s="554"/>
      <c r="J215" s="614">
        <v>360</v>
      </c>
      <c r="K215" s="614">
        <f t="shared" si="46"/>
        <v>0</v>
      </c>
      <c r="L215" s="192"/>
      <c r="M215" s="192"/>
      <c r="N215" s="657"/>
    </row>
    <row r="216" spans="1:14">
      <c r="A216" s="178"/>
      <c r="B216" s="178"/>
      <c r="C216" s="178"/>
      <c r="D216" s="178"/>
      <c r="E216" s="180" t="s">
        <v>9</v>
      </c>
      <c r="F216" s="622">
        <f>SUM(F214:F215)</f>
        <v>0</v>
      </c>
      <c r="G216" s="180"/>
      <c r="H216" s="180"/>
      <c r="I216" s="614"/>
      <c r="J216" s="614"/>
      <c r="K216" s="152">
        <f>SUM(K214:K215)</f>
        <v>0</v>
      </c>
      <c r="L216" s="152" t="e">
        <f>K216/F216</f>
        <v>#DIV/0!</v>
      </c>
      <c r="M216" s="192"/>
      <c r="N216" s="657"/>
    </row>
    <row r="217" spans="1:14">
      <c r="A217" s="178">
        <v>4816</v>
      </c>
      <c r="B217" s="178" t="s">
        <v>200</v>
      </c>
      <c r="C217" s="178" t="s">
        <v>464</v>
      </c>
      <c r="D217" s="178" t="s">
        <v>74</v>
      </c>
      <c r="E217" s="178" t="s">
        <v>93</v>
      </c>
      <c r="F217" s="621"/>
      <c r="G217" s="640" t="s">
        <v>209</v>
      </c>
      <c r="H217" s="192"/>
      <c r="I217" s="554"/>
      <c r="J217" s="614">
        <v>350</v>
      </c>
      <c r="K217" s="614">
        <f t="shared" ref="K217:K219" si="47">I217*J217</f>
        <v>0</v>
      </c>
      <c r="L217" s="192"/>
      <c r="M217" s="192"/>
      <c r="N217" s="657"/>
    </row>
    <row r="218" spans="1:14">
      <c r="A218" s="178"/>
      <c r="B218" s="178"/>
      <c r="C218" s="178"/>
      <c r="D218" s="178"/>
      <c r="E218" s="178"/>
      <c r="F218" s="621"/>
      <c r="G218" s="640" t="s">
        <v>123</v>
      </c>
      <c r="H218" s="192"/>
      <c r="I218" s="554"/>
      <c r="J218" s="614">
        <v>750</v>
      </c>
      <c r="K218" s="614">
        <f t="shared" si="47"/>
        <v>0</v>
      </c>
      <c r="L218" s="192"/>
      <c r="M218" s="192"/>
      <c r="N218" s="657"/>
    </row>
    <row r="219" spans="1:14">
      <c r="A219" s="178"/>
      <c r="B219" s="178"/>
      <c r="C219" s="178"/>
      <c r="D219" s="178"/>
      <c r="E219" s="178"/>
      <c r="F219" s="621"/>
      <c r="G219" s="640" t="s">
        <v>210</v>
      </c>
      <c r="H219" s="661"/>
      <c r="I219" s="662"/>
      <c r="J219" s="614">
        <v>690</v>
      </c>
      <c r="K219" s="614">
        <f t="shared" si="47"/>
        <v>0</v>
      </c>
      <c r="L219" s="192"/>
      <c r="M219" s="192"/>
      <c r="N219" s="657"/>
    </row>
    <row r="220" spans="1:14">
      <c r="A220" s="178"/>
      <c r="B220" s="178"/>
      <c r="C220" s="178"/>
      <c r="D220" s="178"/>
      <c r="E220" s="178"/>
      <c r="F220" s="621"/>
      <c r="G220" s="179" t="s">
        <v>211</v>
      </c>
      <c r="H220" s="192"/>
      <c r="I220" s="554"/>
      <c r="J220" s="614">
        <v>120</v>
      </c>
      <c r="K220" s="614">
        <f>I220*J220</f>
        <v>0</v>
      </c>
      <c r="L220" s="192"/>
      <c r="M220" s="192"/>
      <c r="N220" s="657"/>
    </row>
    <row r="221" spans="1:14">
      <c r="A221" s="178"/>
      <c r="B221" s="178"/>
      <c r="C221" s="178"/>
      <c r="D221" s="178"/>
      <c r="E221" s="180"/>
      <c r="F221" s="622"/>
      <c r="G221" s="179" t="s">
        <v>212</v>
      </c>
      <c r="H221" s="192"/>
      <c r="I221" s="554"/>
      <c r="J221" s="614">
        <v>527</v>
      </c>
      <c r="K221" s="614">
        <f t="shared" ref="K221:K223" si="48">I221*J221</f>
        <v>0</v>
      </c>
      <c r="L221" s="192"/>
      <c r="M221" s="192"/>
      <c r="N221" s="657"/>
    </row>
    <row r="222" spans="1:14">
      <c r="A222" s="178"/>
      <c r="B222" s="178"/>
      <c r="C222" s="178"/>
      <c r="D222" s="178"/>
      <c r="E222" s="180"/>
      <c r="F222" s="622"/>
      <c r="G222" s="179" t="s">
        <v>45</v>
      </c>
      <c r="H222" s="192"/>
      <c r="I222" s="554"/>
      <c r="J222" s="614">
        <v>45</v>
      </c>
      <c r="K222" s="614">
        <f t="shared" si="48"/>
        <v>0</v>
      </c>
      <c r="L222" s="192"/>
      <c r="M222" s="192"/>
      <c r="N222" s="657"/>
    </row>
    <row r="223" spans="1:14">
      <c r="A223" s="178"/>
      <c r="B223" s="178"/>
      <c r="C223" s="178"/>
      <c r="D223" s="178"/>
      <c r="E223" s="180"/>
      <c r="F223" s="622"/>
      <c r="G223" s="179" t="s">
        <v>213</v>
      </c>
      <c r="H223" s="192"/>
      <c r="I223" s="554"/>
      <c r="J223" s="614">
        <v>348</v>
      </c>
      <c r="K223" s="614">
        <f t="shared" si="48"/>
        <v>0</v>
      </c>
      <c r="L223" s="192"/>
      <c r="M223" s="192"/>
      <c r="N223" s="657"/>
    </row>
    <row r="224" spans="1:14">
      <c r="A224" s="178"/>
      <c r="B224" s="178"/>
      <c r="C224" s="178"/>
      <c r="D224" s="178"/>
      <c r="E224" s="180" t="s">
        <v>9</v>
      </c>
      <c r="F224" s="622">
        <f>SUM(F217:F223)</f>
        <v>0</v>
      </c>
      <c r="G224" s="180"/>
      <c r="H224" s="180"/>
      <c r="I224" s="614"/>
      <c r="J224" s="614"/>
      <c r="K224" s="152">
        <f>SUM(K217:K223)</f>
        <v>0</v>
      </c>
      <c r="L224" s="152" t="e">
        <f>K224/F224</f>
        <v>#DIV/0!</v>
      </c>
      <c r="M224" s="192"/>
      <c r="N224" s="657"/>
    </row>
    <row r="225" spans="1:14">
      <c r="A225" s="623"/>
      <c r="B225" s="623"/>
      <c r="C225" s="623"/>
      <c r="D225" s="624" t="s">
        <v>30</v>
      </c>
      <c r="E225" s="624"/>
      <c r="F225" s="625">
        <f>F213+F216+F224</f>
        <v>0</v>
      </c>
      <c r="G225" s="626"/>
      <c r="H225" s="626"/>
      <c r="I225" s="626"/>
      <c r="J225" s="626"/>
      <c r="K225" s="625">
        <f>K213+K216+K224</f>
        <v>0</v>
      </c>
      <c r="L225" s="627" t="e">
        <f>K225/F225</f>
        <v>#DIV/0!</v>
      </c>
      <c r="M225" s="623"/>
      <c r="N225" s="657"/>
    </row>
    <row r="226" spans="1:14" s="71" customFormat="1" ht="15" customHeight="1">
      <c r="A226" s="618"/>
      <c r="B226" s="618"/>
      <c r="C226" s="618"/>
      <c r="D226" s="618"/>
      <c r="E226" s="618"/>
      <c r="F226" s="618"/>
      <c r="G226" s="618"/>
      <c r="H226" s="618"/>
      <c r="I226" s="618"/>
      <c r="J226" s="618"/>
      <c r="K226" s="618"/>
      <c r="L226" s="618"/>
      <c r="M226" s="618"/>
      <c r="N226" s="618"/>
    </row>
    <row r="227" spans="1:14" ht="15" customHeight="1">
      <c r="A227" s="657"/>
      <c r="B227" s="657"/>
      <c r="C227" s="657"/>
      <c r="D227" s="657"/>
      <c r="E227" s="657"/>
      <c r="F227" s="657"/>
      <c r="G227" s="657"/>
      <c r="H227" s="657"/>
      <c r="I227" s="657"/>
      <c r="J227" s="657"/>
      <c r="K227" s="657"/>
      <c r="L227" s="657"/>
      <c r="M227" s="657"/>
      <c r="N227" s="657"/>
    </row>
    <row r="228" spans="1:14" ht="15" customHeight="1">
      <c r="A228" s="657"/>
      <c r="B228" s="31"/>
      <c r="C228" s="31"/>
      <c r="D228" s="624" t="s">
        <v>1009</v>
      </c>
      <c r="E228" s="665">
        <f>F225</f>
        <v>0</v>
      </c>
      <c r="F228" s="624"/>
      <c r="G228" s="625">
        <f>K225</f>
        <v>0</v>
      </c>
      <c r="H228" s="626"/>
      <c r="I228" s="626"/>
      <c r="J228" s="626"/>
      <c r="K228" s="626"/>
      <c r="L228" s="625" t="e">
        <f>G228/E228</f>
        <v>#DIV/0!</v>
      </c>
      <c r="M228" s="657"/>
      <c r="N228" s="657"/>
    </row>
    <row r="229" spans="1:14" ht="15" customHeight="1">
      <c r="A229" s="657"/>
      <c r="B229" s="31"/>
      <c r="C229" s="31"/>
      <c r="D229" s="162" t="s">
        <v>855</v>
      </c>
      <c r="E229" s="666"/>
      <c r="F229" s="162"/>
      <c r="G229" s="667">
        <f>K218</f>
        <v>0</v>
      </c>
      <c r="H229" s="668"/>
      <c r="I229" s="667">
        <f>'01'!G260+'02'!G307+'03'!G400+'04'!G310</f>
        <v>0</v>
      </c>
      <c r="J229" s="669">
        <f>G229+M242</f>
        <v>0</v>
      </c>
      <c r="K229" s="670"/>
      <c r="L229" s="671"/>
      <c r="M229" s="657"/>
      <c r="N229" s="657"/>
    </row>
    <row r="230" spans="1:14" ht="15" customHeight="1">
      <c r="A230" s="657"/>
      <c r="B230" s="31"/>
      <c r="C230" s="31"/>
      <c r="D230" s="672" t="s">
        <v>854</v>
      </c>
      <c r="E230" s="673"/>
      <c r="F230" s="672"/>
      <c r="G230" s="674">
        <f>G228-G229</f>
        <v>0</v>
      </c>
      <c r="H230" s="675"/>
      <c r="I230" s="676">
        <f>'01'!G261+'02'!G308+'03'!G401+'04'!G311</f>
        <v>0</v>
      </c>
      <c r="J230" s="677"/>
      <c r="K230" s="677"/>
      <c r="L230" s="678"/>
      <c r="M230" s="657"/>
      <c r="N230" s="657"/>
    </row>
    <row r="231" spans="1:14" ht="15" customHeight="1">
      <c r="A231" s="657"/>
      <c r="B231" s="31"/>
      <c r="C231" s="31"/>
      <c r="D231" s="162" t="s">
        <v>853</v>
      </c>
      <c r="E231" s="679"/>
      <c r="F231" s="162"/>
      <c r="G231" s="680">
        <f>SUM(G229:G230)</f>
        <v>0</v>
      </c>
      <c r="H231" s="681"/>
      <c r="I231" s="682">
        <f>'01'!G259+'02'!G306+'03'!G399+'04'!G309</f>
        <v>0</v>
      </c>
      <c r="J231" s="681"/>
      <c r="K231" s="681"/>
      <c r="L231" s="683" t="e">
        <f>G231/E228</f>
        <v>#DIV/0!</v>
      </c>
      <c r="M231" s="657"/>
      <c r="N231" s="657"/>
    </row>
    <row r="232" spans="1:14" ht="15" customHeight="1">
      <c r="A232" s="657"/>
      <c r="B232" s="31"/>
      <c r="C232" s="31"/>
      <c r="D232" s="684" t="s">
        <v>906</v>
      </c>
      <c r="E232" s="685"/>
      <c r="F232" s="162"/>
      <c r="G232" s="409">
        <f>M242</f>
        <v>0</v>
      </c>
      <c r="H232" s="686"/>
      <c r="I232" s="687"/>
      <c r="J232" s="687"/>
      <c r="K232" s="688"/>
      <c r="L232" s="657"/>
      <c r="M232" s="657"/>
      <c r="N232" s="657"/>
    </row>
    <row r="233" spans="1:14" ht="15" customHeight="1">
      <c r="A233" s="657"/>
      <c r="B233" s="31"/>
      <c r="C233" s="31"/>
      <c r="D233" s="616"/>
      <c r="E233" s="616"/>
      <c r="F233" s="616"/>
      <c r="G233" s="616"/>
      <c r="H233" s="689"/>
      <c r="I233" s="616"/>
      <c r="J233" s="616"/>
      <c r="K233" s="616"/>
      <c r="L233" s="616"/>
      <c r="M233" s="657"/>
      <c r="N233" s="657"/>
    </row>
    <row r="234" spans="1:14" ht="15" customHeight="1">
      <c r="A234" s="657"/>
      <c r="B234" s="31"/>
      <c r="C234" s="31"/>
      <c r="D234" s="854" t="s">
        <v>852</v>
      </c>
      <c r="E234" s="854"/>
      <c r="F234" s="690">
        <f>G250</f>
        <v>0</v>
      </c>
      <c r="G234" s="616"/>
      <c r="H234" s="500" t="s">
        <v>908</v>
      </c>
      <c r="I234" s="855" t="s">
        <v>199</v>
      </c>
      <c r="J234" s="856"/>
      <c r="K234" s="554"/>
      <c r="L234" s="614">
        <v>530</v>
      </c>
      <c r="M234" s="614">
        <f t="shared" ref="M234:M239" si="49">K234*L234</f>
        <v>0</v>
      </c>
      <c r="N234" s="657"/>
    </row>
    <row r="235" spans="1:14" ht="15" customHeight="1">
      <c r="A235" s="657"/>
      <c r="B235" s="31"/>
      <c r="C235" s="31"/>
      <c r="D235" s="854" t="s">
        <v>835</v>
      </c>
      <c r="E235" s="854"/>
      <c r="F235" s="690">
        <f>G240+G241</f>
        <v>0</v>
      </c>
      <c r="G235" s="616"/>
      <c r="H235" s="500" t="s">
        <v>909</v>
      </c>
      <c r="I235" s="855" t="s">
        <v>196</v>
      </c>
      <c r="J235" s="856"/>
      <c r="K235" s="554"/>
      <c r="L235" s="614">
        <v>888</v>
      </c>
      <c r="M235" s="614">
        <f t="shared" si="49"/>
        <v>0</v>
      </c>
      <c r="N235" s="657"/>
    </row>
    <row r="236" spans="1:14" ht="15" customHeight="1">
      <c r="A236" s="657"/>
      <c r="B236" s="31"/>
      <c r="C236" s="31"/>
      <c r="D236" s="854" t="s">
        <v>836</v>
      </c>
      <c r="E236" s="854"/>
      <c r="F236" s="690">
        <f>SUM(F234:F235)</f>
        <v>0</v>
      </c>
      <c r="G236" s="616"/>
      <c r="H236" s="500" t="s">
        <v>910</v>
      </c>
      <c r="I236" s="855" t="s">
        <v>192</v>
      </c>
      <c r="J236" s="856"/>
      <c r="K236" s="554"/>
      <c r="L236" s="614">
        <v>1126</v>
      </c>
      <c r="M236" s="614">
        <f t="shared" si="49"/>
        <v>0</v>
      </c>
      <c r="N236" s="657"/>
    </row>
    <row r="237" spans="1:14" ht="15" customHeight="1">
      <c r="A237" s="657"/>
      <c r="B237" s="31"/>
      <c r="C237" s="31"/>
      <c r="D237" s="691" t="s">
        <v>847</v>
      </c>
      <c r="E237" s="691"/>
      <c r="F237" s="690">
        <f>F234-G230</f>
        <v>0</v>
      </c>
      <c r="G237" s="616"/>
      <c r="H237" s="500" t="s">
        <v>908</v>
      </c>
      <c r="I237" s="857" t="s">
        <v>460</v>
      </c>
      <c r="J237" s="858"/>
      <c r="K237" s="554"/>
      <c r="L237" s="614">
        <v>920</v>
      </c>
      <c r="M237" s="614">
        <f t="shared" si="49"/>
        <v>0</v>
      </c>
      <c r="N237" s="657"/>
    </row>
    <row r="238" spans="1:14" ht="15" customHeight="1">
      <c r="A238" s="657"/>
      <c r="B238" s="31"/>
      <c r="C238" s="31"/>
      <c r="D238" s="616"/>
      <c r="E238" s="616"/>
      <c r="F238" s="616"/>
      <c r="G238" s="616"/>
      <c r="H238" s="500" t="s">
        <v>912</v>
      </c>
      <c r="I238" s="859" t="s">
        <v>315</v>
      </c>
      <c r="J238" s="860"/>
      <c r="K238" s="554"/>
      <c r="L238" s="614">
        <v>2184</v>
      </c>
      <c r="M238" s="614">
        <f t="shared" si="49"/>
        <v>0</v>
      </c>
      <c r="N238" s="657"/>
    </row>
    <row r="239" spans="1:14" ht="15" customHeight="1">
      <c r="A239" s="657"/>
      <c r="B239" s="861" t="s">
        <v>833</v>
      </c>
      <c r="C239" s="862"/>
      <c r="D239" s="180" t="s">
        <v>844</v>
      </c>
      <c r="E239" s="180" t="s">
        <v>845</v>
      </c>
      <c r="F239" s="180" t="s">
        <v>846</v>
      </c>
      <c r="G239" s="180" t="s">
        <v>5</v>
      </c>
      <c r="H239" s="500" t="s">
        <v>911</v>
      </c>
      <c r="I239" s="855" t="s">
        <v>286</v>
      </c>
      <c r="J239" s="856"/>
      <c r="K239" s="554"/>
      <c r="L239" s="614">
        <v>2065</v>
      </c>
      <c r="M239" s="614">
        <f t="shared" si="49"/>
        <v>0</v>
      </c>
      <c r="N239" s="657"/>
    </row>
    <row r="240" spans="1:14" ht="15" customHeight="1">
      <c r="A240" s="657"/>
      <c r="B240" s="31"/>
      <c r="C240" s="31"/>
      <c r="D240" s="180" t="s">
        <v>837</v>
      </c>
      <c r="E240" s="162">
        <v>15.5</v>
      </c>
      <c r="F240" s="692"/>
      <c r="G240" s="693">
        <f>F240*E240</f>
        <v>0</v>
      </c>
      <c r="H240" s="500" t="s">
        <v>909</v>
      </c>
      <c r="I240" s="844"/>
      <c r="J240" s="845"/>
      <c r="K240" s="491"/>
      <c r="L240" s="491"/>
      <c r="M240" s="489"/>
      <c r="N240" s="657"/>
    </row>
    <row r="241" spans="1:14" ht="15" customHeight="1">
      <c r="A241" s="657"/>
      <c r="B241" s="31"/>
      <c r="C241" s="31"/>
      <c r="D241" s="180" t="s">
        <v>1062</v>
      </c>
      <c r="E241" s="162">
        <v>34</v>
      </c>
      <c r="F241" s="692"/>
      <c r="G241" s="693">
        <f t="shared" ref="G241:G247" si="50">F241*E241</f>
        <v>0</v>
      </c>
      <c r="H241" s="500" t="s">
        <v>911</v>
      </c>
      <c r="I241" s="864"/>
      <c r="J241" s="865"/>
      <c r="K241" s="352"/>
      <c r="L241" s="352"/>
      <c r="M241" s="491"/>
      <c r="N241" s="657"/>
    </row>
    <row r="242" spans="1:14" ht="15" customHeight="1">
      <c r="A242" s="648"/>
      <c r="B242" s="616"/>
      <c r="C242" s="616"/>
      <c r="D242" s="694" t="s">
        <v>843</v>
      </c>
      <c r="E242" s="124"/>
      <c r="F242" s="488">
        <f>SUM(F240:F241)</f>
        <v>0</v>
      </c>
      <c r="G242" s="695">
        <f>SUM(G240:G241)</f>
        <v>0</v>
      </c>
      <c r="H242" s="616"/>
      <c r="I242" s="844" t="s">
        <v>906</v>
      </c>
      <c r="J242" s="845"/>
      <c r="K242" s="490">
        <f>SUM(K234:K241)</f>
        <v>0</v>
      </c>
      <c r="L242" s="491"/>
      <c r="M242" s="489">
        <f>SUM(M234:M241)</f>
        <v>0</v>
      </c>
      <c r="N242" s="657"/>
    </row>
    <row r="243" spans="1:14" ht="15" customHeight="1">
      <c r="A243" s="657"/>
      <c r="B243" s="31"/>
      <c r="C243" s="31"/>
      <c r="D243" s="180" t="s">
        <v>1070</v>
      </c>
      <c r="E243" s="162">
        <v>227</v>
      </c>
      <c r="F243" s="692"/>
      <c r="G243" s="693">
        <f t="shared" si="50"/>
        <v>0</v>
      </c>
      <c r="H243" s="616"/>
      <c r="I243" s="616"/>
      <c r="J243" s="616"/>
      <c r="K243" s="616"/>
      <c r="L243" s="616"/>
      <c r="M243" s="696">
        <f>G229+M242</f>
        <v>0</v>
      </c>
      <c r="N243" s="657"/>
    </row>
    <row r="244" spans="1:14" ht="15" customHeight="1">
      <c r="A244" s="657"/>
      <c r="B244" s="31"/>
      <c r="C244" s="31"/>
      <c r="D244" s="180" t="s">
        <v>1065</v>
      </c>
      <c r="E244" s="615">
        <v>165</v>
      </c>
      <c r="F244" s="692"/>
      <c r="G244" s="693">
        <f t="shared" si="50"/>
        <v>0</v>
      </c>
      <c r="H244" s="616"/>
      <c r="I244" s="616"/>
      <c r="J244" s="616"/>
      <c r="K244" s="616"/>
      <c r="L244" s="616"/>
      <c r="M244" s="657"/>
      <c r="N244" s="657"/>
    </row>
    <row r="245" spans="1:14" ht="15" customHeight="1">
      <c r="A245" s="657"/>
      <c r="B245" s="31"/>
      <c r="C245" s="31"/>
      <c r="D245" s="697" t="s">
        <v>1066</v>
      </c>
      <c r="E245" s="615">
        <v>165</v>
      </c>
      <c r="F245" s="692"/>
      <c r="G245" s="693">
        <f t="shared" si="50"/>
        <v>0</v>
      </c>
      <c r="H245" s="616"/>
      <c r="I245" s="616"/>
      <c r="J245" s="616"/>
      <c r="K245" s="616"/>
      <c r="L245" s="616"/>
      <c r="M245" s="657"/>
      <c r="N245" s="657"/>
    </row>
    <row r="246" spans="1:14" ht="15" customHeight="1">
      <c r="A246" s="657"/>
      <c r="B246" s="31"/>
      <c r="C246" s="31"/>
      <c r="D246" s="180" t="s">
        <v>1067</v>
      </c>
      <c r="E246" s="615">
        <v>416</v>
      </c>
      <c r="F246" s="698"/>
      <c r="G246" s="693">
        <f t="shared" si="50"/>
        <v>0</v>
      </c>
      <c r="H246" s="616"/>
      <c r="I246" s="616"/>
      <c r="J246" s="616"/>
      <c r="K246" s="616"/>
      <c r="L246" s="616"/>
      <c r="M246" s="657"/>
      <c r="N246" s="657"/>
    </row>
    <row r="247" spans="1:14" ht="15" customHeight="1">
      <c r="A247" s="657"/>
      <c r="B247" s="31"/>
      <c r="C247" s="31"/>
      <c r="D247" s="180" t="s">
        <v>907</v>
      </c>
      <c r="E247" s="615">
        <v>46</v>
      </c>
      <c r="F247" s="692"/>
      <c r="G247" s="693">
        <f t="shared" si="50"/>
        <v>0</v>
      </c>
      <c r="H247" s="31"/>
      <c r="I247" s="31"/>
      <c r="J247" s="31"/>
      <c r="K247" s="31"/>
      <c r="L247" s="31"/>
      <c r="M247" s="657"/>
      <c r="N247" s="657"/>
    </row>
    <row r="248" spans="1:14" ht="15" customHeight="1">
      <c r="A248" s="657"/>
      <c r="B248" s="31"/>
      <c r="C248" s="31"/>
      <c r="D248" s="180" t="s">
        <v>27</v>
      </c>
      <c r="E248" s="162">
        <v>22</v>
      </c>
      <c r="F248" s="692"/>
      <c r="G248" s="693"/>
      <c r="H248" s="657"/>
      <c r="I248" s="657"/>
      <c r="J248" s="657"/>
      <c r="K248" s="657"/>
      <c r="L248" s="657"/>
      <c r="M248" s="657"/>
      <c r="N248" s="657"/>
    </row>
    <row r="249" spans="1:14" ht="15" customHeight="1">
      <c r="A249" s="657"/>
      <c r="B249" s="31"/>
      <c r="C249" s="31"/>
      <c r="D249" s="180" t="s">
        <v>1062</v>
      </c>
      <c r="E249" s="162">
        <v>34</v>
      </c>
      <c r="F249" s="692"/>
      <c r="G249" s="693"/>
      <c r="H249" s="657"/>
      <c r="I249" s="657"/>
      <c r="J249" s="657"/>
      <c r="K249" s="657"/>
      <c r="L249" s="657"/>
      <c r="M249" s="657"/>
      <c r="N249" s="657"/>
    </row>
    <row r="250" spans="1:14" ht="15" customHeight="1">
      <c r="A250" s="657"/>
      <c r="B250" s="31"/>
      <c r="C250" s="31"/>
      <c r="D250" s="180" t="s">
        <v>24</v>
      </c>
      <c r="E250" s="162">
        <v>74</v>
      </c>
      <c r="F250" s="692"/>
      <c r="G250" s="693"/>
      <c r="H250" s="657"/>
      <c r="I250" s="657"/>
      <c r="J250" s="657"/>
      <c r="K250" s="657"/>
      <c r="L250" s="657"/>
      <c r="M250" s="657"/>
      <c r="N250" s="657"/>
    </row>
    <row r="251" spans="1:14" ht="15" customHeight="1">
      <c r="A251" s="657"/>
      <c r="B251" s="31"/>
      <c r="C251" s="31"/>
      <c r="D251" s="699" t="s">
        <v>185</v>
      </c>
      <c r="E251" s="162">
        <v>490</v>
      </c>
      <c r="F251" s="692"/>
      <c r="G251" s="693"/>
      <c r="H251" s="657"/>
      <c r="I251" s="657"/>
      <c r="J251" s="657"/>
      <c r="K251" s="657"/>
      <c r="L251" s="657"/>
      <c r="M251" s="657"/>
      <c r="N251" s="657"/>
    </row>
    <row r="252" spans="1:14" ht="15" customHeight="1">
      <c r="A252" s="657"/>
      <c r="B252" s="657"/>
      <c r="C252" s="657"/>
      <c r="D252" s="180" t="s">
        <v>184</v>
      </c>
      <c r="E252" s="162">
        <v>336</v>
      </c>
      <c r="F252" s="692"/>
      <c r="G252" s="693"/>
      <c r="H252" s="657"/>
      <c r="I252" s="657"/>
      <c r="J252" s="657"/>
      <c r="K252" s="657"/>
      <c r="L252" s="657"/>
      <c r="M252" s="657"/>
      <c r="N252" s="657"/>
    </row>
    <row r="253" spans="1:14" ht="15" customHeight="1">
      <c r="A253" s="657"/>
      <c r="B253" s="657"/>
      <c r="C253" s="657"/>
      <c r="D253" s="697" t="s">
        <v>968</v>
      </c>
      <c r="E253" s="162">
        <v>360</v>
      </c>
      <c r="F253" s="692"/>
      <c r="G253" s="693"/>
      <c r="H253" s="657"/>
      <c r="I253" s="657"/>
      <c r="J253" s="657"/>
      <c r="K253" s="657"/>
      <c r="L253" s="657"/>
      <c r="M253" s="657"/>
      <c r="N253" s="657"/>
    </row>
    <row r="254" spans="1:14" ht="15" customHeight="1">
      <c r="A254" s="657"/>
      <c r="B254" s="657"/>
      <c r="C254" s="657"/>
      <c r="D254" s="700" t="s">
        <v>843</v>
      </c>
      <c r="E254" s="162"/>
      <c r="F254" s="692">
        <f>SUM(F243:F247)</f>
        <v>0</v>
      </c>
      <c r="G254" s="693">
        <f>SUM(G243:G247)</f>
        <v>0</v>
      </c>
      <c r="H254" s="657"/>
      <c r="I254" s="657"/>
      <c r="J254" s="657"/>
      <c r="K254" s="657"/>
      <c r="L254" s="657"/>
      <c r="M254" s="657"/>
      <c r="N254" s="657"/>
    </row>
    <row r="255" spans="1:14" ht="15" customHeight="1">
      <c r="A255" s="657"/>
      <c r="B255" s="657"/>
      <c r="C255" s="657"/>
      <c r="D255" s="694" t="s">
        <v>969</v>
      </c>
      <c r="E255" s="124"/>
      <c r="F255" s="488">
        <f>F242+F254</f>
        <v>0</v>
      </c>
      <c r="G255" s="695">
        <f>G242+G254</f>
        <v>0</v>
      </c>
      <c r="H255" s="657"/>
      <c r="I255" s="657"/>
      <c r="J255" s="657"/>
      <c r="K255" s="657"/>
      <c r="L255" s="657"/>
      <c r="M255" s="657"/>
      <c r="N255" s="657"/>
    </row>
    <row r="256" spans="1:14" ht="15" customHeight="1">
      <c r="A256" s="657"/>
      <c r="B256" s="657"/>
      <c r="C256" s="657"/>
      <c r="D256" s="657"/>
      <c r="E256" s="657"/>
      <c r="F256" s="657"/>
      <c r="G256" s="657"/>
      <c r="H256" s="657"/>
      <c r="I256" s="657"/>
      <c r="J256" s="657"/>
      <c r="K256" s="657"/>
      <c r="L256" s="657"/>
      <c r="M256" s="657"/>
      <c r="N256" s="657"/>
    </row>
    <row r="257" spans="1:14" ht="15" customHeight="1">
      <c r="A257" s="657"/>
      <c r="B257" s="657"/>
      <c r="C257" s="657"/>
      <c r="D257" s="657"/>
      <c r="E257" s="657"/>
      <c r="F257" s="657"/>
      <c r="G257" s="657"/>
      <c r="H257" s="657"/>
      <c r="I257" s="657"/>
      <c r="J257" s="657"/>
      <c r="K257" s="657"/>
      <c r="L257" s="657"/>
      <c r="M257" s="657"/>
      <c r="N257" s="657"/>
    </row>
    <row r="258" spans="1:14" ht="15" customHeight="1">
      <c r="A258" s="657"/>
      <c r="B258" s="657"/>
      <c r="C258" s="657"/>
      <c r="D258" s="657"/>
      <c r="E258" s="657"/>
      <c r="F258" s="657"/>
      <c r="G258" s="657"/>
      <c r="H258" s="657"/>
      <c r="I258" s="657"/>
      <c r="J258" s="657"/>
      <c r="K258" s="657"/>
      <c r="L258" s="657"/>
      <c r="M258" s="657"/>
      <c r="N258" s="657"/>
    </row>
    <row r="259" spans="1:14" ht="15" customHeight="1">
      <c r="A259" s="657"/>
      <c r="B259" s="657"/>
      <c r="C259" s="657"/>
      <c r="D259" s="657"/>
      <c r="E259" s="657"/>
      <c r="F259" s="657"/>
      <c r="G259" s="657"/>
      <c r="H259" s="657"/>
      <c r="I259" s="657"/>
      <c r="J259" s="657"/>
      <c r="K259" s="657"/>
      <c r="L259" s="657"/>
      <c r="M259" s="657"/>
      <c r="N259" s="657"/>
    </row>
    <row r="260" spans="1:14" ht="15" customHeight="1">
      <c r="A260" s="657"/>
      <c r="B260" s="657"/>
      <c r="C260" s="657"/>
      <c r="D260" s="657"/>
      <c r="E260" s="657"/>
      <c r="F260" s="657"/>
      <c r="G260" s="657"/>
      <c r="H260" s="657"/>
      <c r="I260" s="657"/>
      <c r="J260" s="657"/>
      <c r="K260" s="657"/>
      <c r="L260" s="657"/>
      <c r="M260" s="657"/>
      <c r="N260" s="657"/>
    </row>
    <row r="261" spans="1:14" ht="15" customHeight="1">
      <c r="A261" s="657"/>
      <c r="B261" s="657"/>
      <c r="C261" s="657"/>
      <c r="D261" s="657"/>
      <c r="E261" s="657"/>
      <c r="F261" s="657"/>
      <c r="G261" s="657"/>
      <c r="H261" s="657"/>
      <c r="I261" s="657"/>
      <c r="J261" s="657"/>
      <c r="K261" s="657"/>
      <c r="L261" s="657"/>
      <c r="M261" s="657"/>
      <c r="N261" s="657"/>
    </row>
    <row r="262" spans="1:14" ht="15" customHeight="1">
      <c r="A262" s="657"/>
      <c r="B262" s="657"/>
      <c r="C262" s="657"/>
      <c r="D262" s="657"/>
      <c r="E262" s="657"/>
      <c r="F262" s="657"/>
      <c r="G262" s="657"/>
      <c r="H262" s="657"/>
      <c r="I262" s="657"/>
      <c r="J262" s="657"/>
      <c r="K262" s="657"/>
      <c r="L262" s="657"/>
      <c r="M262" s="657"/>
      <c r="N262" s="657"/>
    </row>
    <row r="263" spans="1:14" ht="15" customHeight="1">
      <c r="A263" s="657"/>
      <c r="B263" s="657"/>
      <c r="C263" s="657"/>
      <c r="D263" s="657"/>
      <c r="E263" s="657"/>
      <c r="F263" s="657"/>
      <c r="G263" s="657"/>
      <c r="H263" s="657"/>
      <c r="I263" s="657"/>
      <c r="J263" s="657"/>
      <c r="K263" s="657"/>
      <c r="L263" s="657"/>
      <c r="M263" s="657"/>
      <c r="N263" s="657"/>
    </row>
    <row r="264" spans="1:14" ht="15" customHeight="1">
      <c r="A264" s="657"/>
      <c r="B264" s="657"/>
      <c r="C264" s="657"/>
      <c r="D264" s="657"/>
      <c r="E264" s="657"/>
      <c r="F264" s="657"/>
      <c r="G264" s="657"/>
      <c r="H264" s="657"/>
      <c r="I264" s="657"/>
      <c r="J264" s="657"/>
      <c r="K264" s="657"/>
      <c r="L264" s="657"/>
      <c r="M264" s="657"/>
      <c r="N264" s="657"/>
    </row>
    <row r="265" spans="1:14" s="64" customFormat="1" ht="15" customHeight="1">
      <c r="A265" s="863" t="s">
        <v>240</v>
      </c>
      <c r="B265" s="863"/>
      <c r="C265" s="863" t="s">
        <v>765</v>
      </c>
      <c r="D265" s="863"/>
      <c r="E265" s="863" t="s">
        <v>764</v>
      </c>
      <c r="F265" s="863"/>
      <c r="G265" s="701" t="s">
        <v>66</v>
      </c>
      <c r="H265" s="863" t="s">
        <v>411</v>
      </c>
      <c r="I265" s="863"/>
      <c r="J265" s="863"/>
      <c r="K265" s="863" t="s">
        <v>68</v>
      </c>
      <c r="L265" s="863"/>
      <c r="M265" s="863"/>
      <c r="N265" s="657"/>
    </row>
  </sheetData>
  <mergeCells count="31">
    <mergeCell ref="K265:M265"/>
    <mergeCell ref="I240:J240"/>
    <mergeCell ref="I241:J241"/>
    <mergeCell ref="I242:J242"/>
    <mergeCell ref="A265:B265"/>
    <mergeCell ref="C265:D265"/>
    <mergeCell ref="E265:F265"/>
    <mergeCell ref="H265:J265"/>
    <mergeCell ref="D236:E236"/>
    <mergeCell ref="I236:J236"/>
    <mergeCell ref="I237:J237"/>
    <mergeCell ref="I238:J238"/>
    <mergeCell ref="B239:C239"/>
    <mergeCell ref="I239:J239"/>
    <mergeCell ref="D235:E235"/>
    <mergeCell ref="A203:B203"/>
    <mergeCell ref="A189:B189"/>
    <mergeCell ref="K48:M48"/>
    <mergeCell ref="I234:J234"/>
    <mergeCell ref="I235:J235"/>
    <mergeCell ref="K78:M78"/>
    <mergeCell ref="K84:M84"/>
    <mergeCell ref="K174:M174"/>
    <mergeCell ref="K189:M189"/>
    <mergeCell ref="K203:M203"/>
    <mergeCell ref="D234:E234"/>
    <mergeCell ref="A1:N1"/>
    <mergeCell ref="A2:N2"/>
    <mergeCell ref="A3:N3"/>
    <mergeCell ref="K4:M4"/>
    <mergeCell ref="K15:M15"/>
  </mergeCells>
  <pageMargins left="0.45" right="0.2" top="0.25" bottom="0.25" header="0.3" footer="0.3"/>
  <pageSetup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49"/>
  <sheetViews>
    <sheetView topLeftCell="A196" workbookViewId="0">
      <selection activeCell="G213" sqref="G213"/>
    </sheetView>
  </sheetViews>
  <sheetFormatPr defaultRowHeight="15"/>
  <cols>
    <col min="2" max="2" width="13.42578125" bestFit="1" customWidth="1"/>
    <col min="3" max="3" width="12.5703125" bestFit="1" customWidth="1"/>
    <col min="4" max="4" width="20" customWidth="1"/>
    <col min="5" max="5" width="12.7109375" bestFit="1" customWidth="1"/>
    <col min="6" max="6" width="10.5703125" bestFit="1" customWidth="1"/>
    <col min="7" max="7" width="24.42578125" bestFit="1" customWidth="1"/>
    <col min="8" max="8" width="6.42578125" bestFit="1" customWidth="1"/>
    <col min="9" max="9" width="10.5703125" bestFit="1" customWidth="1"/>
    <col min="10" max="10" width="9.5703125" bestFit="1" customWidth="1"/>
    <col min="11" max="11" width="11.5703125" bestFit="1" customWidth="1"/>
    <col min="12" max="12" width="10.28515625" customWidth="1"/>
    <col min="13" max="13" width="13" customWidth="1"/>
    <col min="14" max="14" width="11.7109375" customWidth="1"/>
  </cols>
  <sheetData>
    <row r="1" spans="1:14" ht="23.25" customHeight="1">
      <c r="A1" s="851" t="s">
        <v>146</v>
      </c>
      <c r="B1" s="851"/>
      <c r="C1" s="851"/>
      <c r="D1" s="851"/>
      <c r="E1" s="851"/>
      <c r="F1" s="851"/>
      <c r="G1" s="851"/>
      <c r="H1" s="851"/>
      <c r="I1" s="851"/>
      <c r="J1" s="851"/>
      <c r="K1" s="851"/>
      <c r="L1" s="851"/>
      <c r="M1" s="851"/>
      <c r="N1" s="851"/>
    </row>
    <row r="2" spans="1:14">
      <c r="A2" s="852" t="s">
        <v>147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</row>
    <row r="3" spans="1:14" s="9" customFormat="1">
      <c r="A3" s="853" t="s">
        <v>148</v>
      </c>
      <c r="B3" s="853"/>
      <c r="C3" s="853"/>
      <c r="D3" s="853"/>
      <c r="E3" s="853"/>
      <c r="F3" s="853"/>
      <c r="G3" s="853"/>
      <c r="H3" s="853"/>
      <c r="I3" s="853"/>
      <c r="J3" s="853"/>
      <c r="K3" s="853"/>
      <c r="L3" s="853"/>
      <c r="M3" s="853"/>
      <c r="N3" s="853"/>
    </row>
    <row r="4" spans="1:14" s="107" customFormat="1" ht="12.75">
      <c r="A4" s="628" t="s">
        <v>21</v>
      </c>
      <c r="B4" s="628"/>
      <c r="C4" s="628"/>
      <c r="D4" s="628"/>
      <c r="E4" s="628"/>
      <c r="F4" s="623"/>
      <c r="G4" s="623"/>
      <c r="H4" s="623"/>
      <c r="I4" s="623"/>
      <c r="J4" s="623"/>
      <c r="K4" s="850" t="s">
        <v>1213</v>
      </c>
      <c r="L4" s="850"/>
      <c r="M4" s="850"/>
      <c r="N4" s="623"/>
    </row>
    <row r="5" spans="1:14" s="107" customFormat="1" ht="12.75">
      <c r="A5" s="180" t="s">
        <v>0</v>
      </c>
      <c r="B5" s="180" t="s">
        <v>7</v>
      </c>
      <c r="C5" s="180" t="s">
        <v>13</v>
      </c>
      <c r="D5" s="180" t="s">
        <v>14</v>
      </c>
      <c r="E5" s="180" t="s">
        <v>8</v>
      </c>
      <c r="F5" s="180" t="s">
        <v>1</v>
      </c>
      <c r="G5" s="180" t="s">
        <v>2</v>
      </c>
      <c r="H5" s="180" t="s">
        <v>15</v>
      </c>
      <c r="I5" s="180" t="s">
        <v>3</v>
      </c>
      <c r="J5" s="180" t="s">
        <v>4</v>
      </c>
      <c r="K5" s="180" t="s">
        <v>5</v>
      </c>
      <c r="L5" s="180" t="s">
        <v>12</v>
      </c>
      <c r="M5" s="180" t="s">
        <v>6</v>
      </c>
      <c r="N5" s="623"/>
    </row>
    <row r="6" spans="1:14" s="107" customFormat="1" ht="14.25" customHeight="1">
      <c r="A6" s="178">
        <v>1</v>
      </c>
      <c r="B6" s="178" t="s">
        <v>511</v>
      </c>
      <c r="C6" s="178" t="s">
        <v>121</v>
      </c>
      <c r="D6" s="178" t="s">
        <v>180</v>
      </c>
      <c r="E6" s="178"/>
      <c r="F6" s="621"/>
      <c r="G6" s="178" t="s">
        <v>24</v>
      </c>
      <c r="H6" s="192"/>
      <c r="I6" s="554"/>
      <c r="J6" s="614">
        <v>74</v>
      </c>
      <c r="K6" s="614">
        <f t="shared" ref="K6:K8" si="0">I6*J6</f>
        <v>0</v>
      </c>
      <c r="L6" s="192"/>
      <c r="M6" s="620">
        <f>I12+I28+I32</f>
        <v>0</v>
      </c>
      <c r="N6" s="178" t="s">
        <v>173</v>
      </c>
    </row>
    <row r="7" spans="1:14" s="107" customFormat="1" ht="12.75">
      <c r="A7" s="178"/>
      <c r="B7" s="178"/>
      <c r="C7" s="178"/>
      <c r="D7" s="178"/>
      <c r="E7" s="178"/>
      <c r="F7" s="621"/>
      <c r="G7" s="178" t="s">
        <v>18</v>
      </c>
      <c r="H7" s="192"/>
      <c r="I7" s="554"/>
      <c r="J7" s="614">
        <v>46</v>
      </c>
      <c r="K7" s="614">
        <f t="shared" si="0"/>
        <v>0</v>
      </c>
      <c r="L7" s="192"/>
      <c r="M7" s="620">
        <f>I8+I13+I18+I24+I29+I33+I45+I51+I57</f>
        <v>0</v>
      </c>
      <c r="N7" s="178" t="s">
        <v>174</v>
      </c>
    </row>
    <row r="8" spans="1:14" s="107" customFormat="1" ht="12.75">
      <c r="A8" s="178"/>
      <c r="B8" s="178"/>
      <c r="C8" s="178"/>
      <c r="D8" s="178"/>
      <c r="E8" s="178"/>
      <c r="F8" s="621"/>
      <c r="G8" s="178" t="s">
        <v>171</v>
      </c>
      <c r="H8" s="192"/>
      <c r="I8" s="554"/>
      <c r="J8" s="614">
        <v>416</v>
      </c>
      <c r="K8" s="614">
        <f t="shared" si="0"/>
        <v>0</v>
      </c>
      <c r="L8" s="192"/>
      <c r="M8" s="620">
        <f>I9+I14+I19+I25+I30+I34+I46+I52+I58</f>
        <v>0</v>
      </c>
      <c r="N8" s="178" t="s">
        <v>172</v>
      </c>
    </row>
    <row r="9" spans="1:14" s="107" customFormat="1" ht="12.75">
      <c r="A9" s="178"/>
      <c r="B9" s="178"/>
      <c r="C9" s="178"/>
      <c r="D9" s="178"/>
      <c r="E9" s="180"/>
      <c r="F9" s="622"/>
      <c r="G9" s="178" t="s">
        <v>172</v>
      </c>
      <c r="H9" s="192"/>
      <c r="I9" s="554"/>
      <c r="J9" s="614">
        <v>165</v>
      </c>
      <c r="K9" s="614">
        <f>I9*J9</f>
        <v>0</v>
      </c>
      <c r="L9" s="192"/>
      <c r="M9" s="620">
        <f>I6+I16+I22+I43+I49+I55+I64+I67+I70+I73</f>
        <v>0</v>
      </c>
      <c r="N9" s="178" t="s">
        <v>24</v>
      </c>
    </row>
    <row r="10" spans="1:14" s="107" customFormat="1" ht="12.75">
      <c r="A10" s="178"/>
      <c r="B10" s="178"/>
      <c r="C10" s="178"/>
      <c r="D10" s="178"/>
      <c r="E10" s="180"/>
      <c r="F10" s="621"/>
      <c r="G10" s="179" t="s">
        <v>181</v>
      </c>
      <c r="H10" s="192"/>
      <c r="I10" s="554"/>
      <c r="J10" s="614">
        <v>165</v>
      </c>
      <c r="K10" s="614">
        <f t="shared" ref="K10" si="1">I10*J10</f>
        <v>0</v>
      </c>
      <c r="L10" s="192"/>
      <c r="M10" s="620">
        <f>I7+I17+I23+I44+I50+I56</f>
        <v>0</v>
      </c>
      <c r="N10" s="178" t="s">
        <v>175</v>
      </c>
    </row>
    <row r="11" spans="1:14" s="107" customFormat="1" ht="12.75">
      <c r="A11" s="178"/>
      <c r="B11" s="178"/>
      <c r="C11" s="178"/>
      <c r="D11" s="178"/>
      <c r="E11" s="180" t="s">
        <v>9</v>
      </c>
      <c r="F11" s="622">
        <f>SUM(F6:F10)</f>
        <v>0</v>
      </c>
      <c r="G11" s="180"/>
      <c r="H11" s="180"/>
      <c r="I11" s="554"/>
      <c r="J11" s="614"/>
      <c r="K11" s="152">
        <f>SUM(K6:K10)</f>
        <v>0</v>
      </c>
      <c r="L11" s="152" t="e">
        <f>K11/F11</f>
        <v>#DIV/0!</v>
      </c>
      <c r="M11" s="620">
        <f>I10+I20+I26+I47+I53+I59</f>
        <v>0</v>
      </c>
      <c r="N11" s="179" t="s">
        <v>176</v>
      </c>
    </row>
    <row r="12" spans="1:14" s="107" customFormat="1" ht="12.75">
      <c r="A12" s="178">
        <v>2</v>
      </c>
      <c r="B12" s="178" t="s">
        <v>608</v>
      </c>
      <c r="C12" s="178" t="s">
        <v>609</v>
      </c>
      <c r="D12" s="178" t="s">
        <v>610</v>
      </c>
      <c r="E12" s="178"/>
      <c r="F12" s="621"/>
      <c r="G12" s="178" t="s">
        <v>170</v>
      </c>
      <c r="H12" s="192"/>
      <c r="I12" s="554"/>
      <c r="J12" s="614">
        <v>227</v>
      </c>
      <c r="K12" s="614">
        <f t="shared" ref="K12:K13" si="2">I12*J12</f>
        <v>0</v>
      </c>
      <c r="L12" s="192"/>
      <c r="M12" s="620">
        <f>I65+I68+I71+I74</f>
        <v>0</v>
      </c>
      <c r="N12" s="613" t="s">
        <v>10</v>
      </c>
    </row>
    <row r="13" spans="1:14" s="107" customFormat="1" ht="12.75">
      <c r="A13" s="178"/>
      <c r="B13" s="178"/>
      <c r="C13" s="178"/>
      <c r="D13" s="178"/>
      <c r="E13" s="180"/>
      <c r="F13" s="622"/>
      <c r="G13" s="178" t="s">
        <v>171</v>
      </c>
      <c r="H13" s="192"/>
      <c r="I13" s="554"/>
      <c r="J13" s="614">
        <v>416</v>
      </c>
      <c r="K13" s="614">
        <f t="shared" si="2"/>
        <v>0</v>
      </c>
      <c r="L13" s="192"/>
      <c r="M13" s="192"/>
      <c r="N13" s="613" t="s">
        <v>1201</v>
      </c>
    </row>
    <row r="14" spans="1:14" s="107" customFormat="1" ht="12.75">
      <c r="A14" s="178"/>
      <c r="B14" s="178"/>
      <c r="C14" s="178"/>
      <c r="D14" s="178"/>
      <c r="E14" s="178"/>
      <c r="F14" s="621"/>
      <c r="G14" s="178" t="s">
        <v>172</v>
      </c>
      <c r="H14" s="192"/>
      <c r="I14" s="554"/>
      <c r="J14" s="614">
        <v>165</v>
      </c>
      <c r="K14" s="614">
        <f>I14*J14</f>
        <v>0</v>
      </c>
      <c r="L14" s="192"/>
      <c r="M14" s="192"/>
      <c r="N14" s="613" t="s">
        <v>1202</v>
      </c>
    </row>
    <row r="15" spans="1:14" s="107" customFormat="1" ht="12.75">
      <c r="A15" s="178"/>
      <c r="B15" s="178"/>
      <c r="C15" s="178"/>
      <c r="D15" s="178"/>
      <c r="E15" s="180" t="s">
        <v>9</v>
      </c>
      <c r="F15" s="622">
        <f>SUM(F12:F14)</f>
        <v>0</v>
      </c>
      <c r="G15" s="180"/>
      <c r="H15" s="180"/>
      <c r="I15" s="554"/>
      <c r="J15" s="614"/>
      <c r="K15" s="152">
        <f>SUM(K12:K14)</f>
        <v>0</v>
      </c>
      <c r="L15" s="152" t="e">
        <f>K15/F15</f>
        <v>#DIV/0!</v>
      </c>
      <c r="M15" s="192"/>
      <c r="N15" s="613" t="s">
        <v>1203</v>
      </c>
    </row>
    <row r="16" spans="1:14" s="107" customFormat="1" ht="12.75">
      <c r="A16" s="178">
        <v>3</v>
      </c>
      <c r="B16" s="178" t="s">
        <v>611</v>
      </c>
      <c r="C16" s="178" t="s">
        <v>366</v>
      </c>
      <c r="D16" s="178" t="s">
        <v>613</v>
      </c>
      <c r="E16" s="178"/>
      <c r="F16" s="621"/>
      <c r="G16" s="178" t="s">
        <v>24</v>
      </c>
      <c r="H16" s="192"/>
      <c r="I16" s="554"/>
      <c r="J16" s="614">
        <v>74</v>
      </c>
      <c r="K16" s="614">
        <f t="shared" ref="K16:K18" si="3">I16*J16</f>
        <v>0</v>
      </c>
      <c r="L16" s="192"/>
      <c r="M16" s="192"/>
      <c r="N16" s="613" t="s">
        <v>1204</v>
      </c>
    </row>
    <row r="17" spans="1:14" s="107" customFormat="1">
      <c r="A17" s="178"/>
      <c r="B17" s="178"/>
      <c r="C17" s="178"/>
      <c r="D17" s="178"/>
      <c r="E17" s="178"/>
      <c r="F17" s="621"/>
      <c r="G17" s="178" t="s">
        <v>18</v>
      </c>
      <c r="H17" s="192"/>
      <c r="I17" s="554"/>
      <c r="J17" s="614">
        <v>46</v>
      </c>
      <c r="K17" s="614">
        <f t="shared" si="3"/>
        <v>0</v>
      </c>
      <c r="L17" s="192"/>
      <c r="M17" s="192"/>
      <c r="N17" s="153" t="s">
        <v>1205</v>
      </c>
    </row>
    <row r="18" spans="1:14" s="107" customFormat="1">
      <c r="A18" s="178"/>
      <c r="B18" s="178"/>
      <c r="C18" s="178"/>
      <c r="D18" s="178"/>
      <c r="E18" s="178"/>
      <c r="F18" s="621"/>
      <c r="G18" s="178" t="s">
        <v>171</v>
      </c>
      <c r="H18" s="192"/>
      <c r="I18" s="554"/>
      <c r="J18" s="614">
        <v>416</v>
      </c>
      <c r="K18" s="614">
        <f t="shared" si="3"/>
        <v>0</v>
      </c>
      <c r="L18" s="192"/>
      <c r="M18" s="192"/>
      <c r="N18" s="153" t="s">
        <v>1206</v>
      </c>
    </row>
    <row r="19" spans="1:14" s="107" customFormat="1">
      <c r="A19" s="178"/>
      <c r="B19" s="178"/>
      <c r="C19" s="178"/>
      <c r="D19" s="178"/>
      <c r="E19" s="178"/>
      <c r="F19" s="621"/>
      <c r="G19" s="178" t="s">
        <v>172</v>
      </c>
      <c r="H19" s="192"/>
      <c r="I19" s="554"/>
      <c r="J19" s="614">
        <v>165</v>
      </c>
      <c r="K19" s="614">
        <f>I19*J19</f>
        <v>0</v>
      </c>
      <c r="L19" s="192"/>
      <c r="M19" s="192"/>
      <c r="N19" s="153" t="s">
        <v>1207</v>
      </c>
    </row>
    <row r="20" spans="1:14" s="107" customFormat="1">
      <c r="A20" s="178"/>
      <c r="B20" s="178"/>
      <c r="C20" s="178"/>
      <c r="D20" s="178"/>
      <c r="E20" s="178"/>
      <c r="F20" s="621"/>
      <c r="G20" s="179" t="s">
        <v>181</v>
      </c>
      <c r="H20" s="192"/>
      <c r="I20" s="554"/>
      <c r="J20" s="614">
        <v>165</v>
      </c>
      <c r="K20" s="614">
        <f t="shared" ref="K20" si="4">I20*J20</f>
        <v>0</v>
      </c>
      <c r="L20" s="192"/>
      <c r="M20" s="192"/>
      <c r="N20" s="153" t="s">
        <v>1208</v>
      </c>
    </row>
    <row r="21" spans="1:14" s="107" customFormat="1">
      <c r="A21" s="178"/>
      <c r="B21" s="178"/>
      <c r="C21" s="178"/>
      <c r="D21" s="178"/>
      <c r="E21" s="180" t="s">
        <v>9</v>
      </c>
      <c r="F21" s="622">
        <f>SUM(F16:F20)</f>
        <v>0</v>
      </c>
      <c r="G21" s="180"/>
      <c r="H21" s="180"/>
      <c r="I21" s="554"/>
      <c r="J21" s="614"/>
      <c r="K21" s="152">
        <f>SUM(K16:K20)</f>
        <v>0</v>
      </c>
      <c r="L21" s="152" t="e">
        <f>K21/F21</f>
        <v>#DIV/0!</v>
      </c>
      <c r="M21" s="192"/>
      <c r="N21" s="153" t="s">
        <v>912</v>
      </c>
    </row>
    <row r="22" spans="1:14" s="107" customFormat="1">
      <c r="A22" s="178">
        <v>4</v>
      </c>
      <c r="B22" s="178" t="s">
        <v>614</v>
      </c>
      <c r="C22" s="178" t="s">
        <v>381</v>
      </c>
      <c r="D22" s="178" t="s">
        <v>615</v>
      </c>
      <c r="E22" s="178"/>
      <c r="F22" s="621"/>
      <c r="G22" s="178" t="s">
        <v>24</v>
      </c>
      <c r="H22" s="192"/>
      <c r="I22" s="554"/>
      <c r="J22" s="614">
        <v>74</v>
      </c>
      <c r="K22" s="614">
        <f t="shared" ref="K22:K24" si="5">I22*J22</f>
        <v>0</v>
      </c>
      <c r="L22" s="192"/>
      <c r="M22" s="192"/>
      <c r="N22" s="153" t="s">
        <v>1209</v>
      </c>
    </row>
    <row r="23" spans="1:14" s="107" customFormat="1" ht="12.75">
      <c r="A23" s="178"/>
      <c r="B23" s="178"/>
      <c r="C23" s="178"/>
      <c r="D23" s="178"/>
      <c r="E23" s="178"/>
      <c r="F23" s="621"/>
      <c r="G23" s="178" t="s">
        <v>18</v>
      </c>
      <c r="H23" s="192"/>
      <c r="I23" s="554"/>
      <c r="J23" s="614">
        <v>46</v>
      </c>
      <c r="K23" s="614">
        <f t="shared" si="5"/>
        <v>0</v>
      </c>
      <c r="L23" s="192"/>
      <c r="M23" s="192"/>
      <c r="N23" s="623"/>
    </row>
    <row r="24" spans="1:14" s="107" customFormat="1" ht="12.75">
      <c r="A24" s="178"/>
      <c r="B24" s="178"/>
      <c r="C24" s="178"/>
      <c r="D24" s="178"/>
      <c r="E24" s="178"/>
      <c r="F24" s="621"/>
      <c r="G24" s="178" t="s">
        <v>171</v>
      </c>
      <c r="H24" s="192"/>
      <c r="I24" s="554"/>
      <c r="J24" s="614">
        <v>416</v>
      </c>
      <c r="K24" s="614">
        <f t="shared" si="5"/>
        <v>0</v>
      </c>
      <c r="L24" s="192"/>
      <c r="M24" s="192"/>
      <c r="N24" s="623"/>
    </row>
    <row r="25" spans="1:14" s="107" customFormat="1" ht="12.75">
      <c r="A25" s="178"/>
      <c r="B25" s="178"/>
      <c r="C25" s="178"/>
      <c r="D25" s="178"/>
      <c r="E25" s="178"/>
      <c r="F25" s="621"/>
      <c r="G25" s="178" t="s">
        <v>172</v>
      </c>
      <c r="H25" s="192"/>
      <c r="I25" s="554"/>
      <c r="J25" s="614">
        <v>165</v>
      </c>
      <c r="K25" s="614">
        <f>I25*J25</f>
        <v>0</v>
      </c>
      <c r="L25" s="192"/>
      <c r="M25" s="192"/>
      <c r="N25" s="623"/>
    </row>
    <row r="26" spans="1:14" s="107" customFormat="1" ht="12.75">
      <c r="A26" s="178"/>
      <c r="B26" s="178"/>
      <c r="C26" s="178"/>
      <c r="D26" s="178"/>
      <c r="E26" s="178"/>
      <c r="F26" s="621"/>
      <c r="G26" s="179" t="s">
        <v>181</v>
      </c>
      <c r="H26" s="192"/>
      <c r="I26" s="554"/>
      <c r="J26" s="614">
        <v>165</v>
      </c>
      <c r="K26" s="614">
        <f t="shared" ref="K26" si="6">I26*J26</f>
        <v>0</v>
      </c>
      <c r="L26" s="192"/>
      <c r="M26" s="192"/>
      <c r="N26" s="623"/>
    </row>
    <row r="27" spans="1:14" s="107" customFormat="1" ht="12.75">
      <c r="A27" s="178"/>
      <c r="B27" s="178"/>
      <c r="C27" s="178"/>
      <c r="D27" s="178"/>
      <c r="E27" s="180" t="s">
        <v>9</v>
      </c>
      <c r="F27" s="622">
        <f>SUM(F22:F26)</f>
        <v>0</v>
      </c>
      <c r="G27" s="180"/>
      <c r="H27" s="180"/>
      <c r="I27" s="554"/>
      <c r="J27" s="614"/>
      <c r="K27" s="152">
        <f>SUM(K22:K26)</f>
        <v>0</v>
      </c>
      <c r="L27" s="152" t="e">
        <f>K27/F27</f>
        <v>#DIV/0!</v>
      </c>
      <c r="M27" s="192"/>
      <c r="N27" s="623"/>
    </row>
    <row r="28" spans="1:14" s="107" customFormat="1" ht="12.75">
      <c r="A28" s="178">
        <v>5</v>
      </c>
      <c r="B28" s="178" t="s">
        <v>560</v>
      </c>
      <c r="C28" s="178" t="s">
        <v>544</v>
      </c>
      <c r="D28" s="178" t="s">
        <v>545</v>
      </c>
      <c r="E28" s="178"/>
      <c r="F28" s="621"/>
      <c r="G28" s="178" t="s">
        <v>170</v>
      </c>
      <c r="H28" s="192"/>
      <c r="I28" s="554"/>
      <c r="J28" s="614">
        <v>227</v>
      </c>
      <c r="K28" s="614">
        <f t="shared" ref="K28:K29" si="7">I28*J28</f>
        <v>0</v>
      </c>
      <c r="L28" s="192"/>
      <c r="M28" s="192"/>
      <c r="N28" s="623"/>
    </row>
    <row r="29" spans="1:14" s="107" customFormat="1" ht="12.75">
      <c r="A29" s="178"/>
      <c r="B29" s="178"/>
      <c r="C29" s="178"/>
      <c r="D29" s="178"/>
      <c r="E29" s="178"/>
      <c r="F29" s="621"/>
      <c r="G29" s="178" t="s">
        <v>171</v>
      </c>
      <c r="H29" s="192"/>
      <c r="I29" s="554"/>
      <c r="J29" s="614">
        <v>416</v>
      </c>
      <c r="K29" s="614">
        <f t="shared" si="7"/>
        <v>0</v>
      </c>
      <c r="L29" s="192"/>
      <c r="M29" s="192"/>
      <c r="N29" s="623"/>
    </row>
    <row r="30" spans="1:14" s="107" customFormat="1" ht="12.75">
      <c r="A30" s="178"/>
      <c r="B30" s="178"/>
      <c r="C30" s="178"/>
      <c r="D30" s="178"/>
      <c r="E30" s="178"/>
      <c r="F30" s="621"/>
      <c r="G30" s="178" t="s">
        <v>172</v>
      </c>
      <c r="H30" s="192"/>
      <c r="I30" s="554"/>
      <c r="J30" s="614">
        <v>165</v>
      </c>
      <c r="K30" s="614">
        <f>I30*J30</f>
        <v>0</v>
      </c>
      <c r="L30" s="192"/>
      <c r="M30" s="192"/>
      <c r="N30" s="623"/>
    </row>
    <row r="31" spans="1:14" s="107" customFormat="1" ht="12.75">
      <c r="A31" s="178"/>
      <c r="B31" s="178"/>
      <c r="C31" s="178"/>
      <c r="D31" s="178"/>
      <c r="E31" s="180" t="s">
        <v>9</v>
      </c>
      <c r="F31" s="622">
        <f>SUM(F28:F30)</f>
        <v>0</v>
      </c>
      <c r="G31" s="180"/>
      <c r="H31" s="180"/>
      <c r="I31" s="554"/>
      <c r="J31" s="614"/>
      <c r="K31" s="152">
        <f>SUM(K28:K30)</f>
        <v>0</v>
      </c>
      <c r="L31" s="152" t="e">
        <f>K31/F31</f>
        <v>#DIV/0!</v>
      </c>
      <c r="M31" s="192"/>
      <c r="N31" s="623"/>
    </row>
    <row r="32" spans="1:14" s="107" customFormat="1" ht="12.75">
      <c r="A32" s="178">
        <v>6</v>
      </c>
      <c r="B32" s="178" t="s">
        <v>617</v>
      </c>
      <c r="C32" s="178" t="s">
        <v>256</v>
      </c>
      <c r="D32" s="178" t="s">
        <v>113</v>
      </c>
      <c r="E32" s="178"/>
      <c r="F32" s="621"/>
      <c r="G32" s="178" t="s">
        <v>170</v>
      </c>
      <c r="H32" s="192"/>
      <c r="I32" s="554"/>
      <c r="J32" s="614">
        <v>227</v>
      </c>
      <c r="K32" s="614">
        <f t="shared" ref="K32:K33" si="8">I32*J32</f>
        <v>0</v>
      </c>
      <c r="L32" s="192"/>
      <c r="M32" s="192"/>
      <c r="N32" s="623"/>
    </row>
    <row r="33" spans="1:14" s="107" customFormat="1" ht="12.75">
      <c r="A33" s="178"/>
      <c r="B33" s="178" t="s">
        <v>618</v>
      </c>
      <c r="C33" s="178" t="s">
        <v>256</v>
      </c>
      <c r="D33" s="178" t="s">
        <v>619</v>
      </c>
      <c r="E33" s="178"/>
      <c r="F33" s="621"/>
      <c r="G33" s="178" t="s">
        <v>171</v>
      </c>
      <c r="H33" s="192"/>
      <c r="I33" s="554"/>
      <c r="J33" s="614">
        <v>416</v>
      </c>
      <c r="K33" s="614">
        <f t="shared" si="8"/>
        <v>0</v>
      </c>
      <c r="L33" s="192"/>
      <c r="M33" s="192"/>
      <c r="N33" s="623"/>
    </row>
    <row r="34" spans="1:14" s="107" customFormat="1" ht="12.75">
      <c r="A34" s="178"/>
      <c r="B34" s="178" t="s">
        <v>616</v>
      </c>
      <c r="C34" s="178" t="s">
        <v>256</v>
      </c>
      <c r="D34" s="178" t="s">
        <v>297</v>
      </c>
      <c r="E34" s="178"/>
      <c r="F34" s="621"/>
      <c r="G34" s="178" t="s">
        <v>172</v>
      </c>
      <c r="H34" s="192"/>
      <c r="I34" s="554"/>
      <c r="J34" s="614">
        <v>165</v>
      </c>
      <c r="K34" s="614">
        <f>I34*J34</f>
        <v>0</v>
      </c>
      <c r="L34" s="192"/>
      <c r="M34" s="192"/>
      <c r="N34" s="623"/>
    </row>
    <row r="35" spans="1:14" s="107" customFormat="1" ht="12.75">
      <c r="A35" s="178"/>
      <c r="B35" s="178" t="s">
        <v>620</v>
      </c>
      <c r="C35" s="178" t="s">
        <v>590</v>
      </c>
      <c r="D35" s="178" t="s">
        <v>621</v>
      </c>
      <c r="E35" s="178"/>
      <c r="F35" s="621"/>
      <c r="G35" s="179"/>
      <c r="H35" s="192"/>
      <c r="I35" s="554"/>
      <c r="J35" s="614"/>
      <c r="K35" s="614"/>
      <c r="L35" s="192"/>
      <c r="M35" s="192"/>
      <c r="N35" s="623"/>
    </row>
    <row r="36" spans="1:14" s="107" customFormat="1" ht="12.75">
      <c r="A36" s="178"/>
      <c r="B36" s="178" t="s">
        <v>622</v>
      </c>
      <c r="C36" s="178" t="s">
        <v>121</v>
      </c>
      <c r="D36" s="178" t="s">
        <v>623</v>
      </c>
      <c r="E36" s="178"/>
      <c r="F36" s="621"/>
      <c r="G36" s="179"/>
      <c r="H36" s="192"/>
      <c r="I36" s="554"/>
      <c r="J36" s="614"/>
      <c r="K36" s="614"/>
      <c r="L36" s="192"/>
      <c r="M36" s="192"/>
      <c r="N36" s="623"/>
    </row>
    <row r="37" spans="1:14" s="107" customFormat="1" ht="12.75">
      <c r="A37" s="178"/>
      <c r="B37" s="178" t="s">
        <v>624</v>
      </c>
      <c r="C37" s="178" t="s">
        <v>121</v>
      </c>
      <c r="D37" s="178" t="s">
        <v>623</v>
      </c>
      <c r="E37" s="178"/>
      <c r="F37" s="621"/>
      <c r="G37" s="179"/>
      <c r="H37" s="192"/>
      <c r="I37" s="554"/>
      <c r="J37" s="614"/>
      <c r="K37" s="614"/>
      <c r="L37" s="192"/>
      <c r="M37" s="192"/>
      <c r="N37" s="623"/>
    </row>
    <row r="38" spans="1:14" s="107" customFormat="1" ht="12.75">
      <c r="A38" s="178"/>
      <c r="B38" s="178" t="s">
        <v>625</v>
      </c>
      <c r="C38" s="178" t="s">
        <v>121</v>
      </c>
      <c r="D38" s="178" t="s">
        <v>623</v>
      </c>
      <c r="E38" s="178"/>
      <c r="F38" s="621"/>
      <c r="G38" s="179"/>
      <c r="H38" s="192"/>
      <c r="I38" s="554"/>
      <c r="J38" s="614"/>
      <c r="K38" s="614"/>
      <c r="L38" s="192"/>
      <c r="M38" s="192"/>
      <c r="N38" s="623"/>
    </row>
    <row r="39" spans="1:14" s="107" customFormat="1" ht="12.75">
      <c r="A39" s="178"/>
      <c r="B39" s="178"/>
      <c r="C39" s="178"/>
      <c r="D39" s="178"/>
      <c r="E39" s="180" t="s">
        <v>9</v>
      </c>
      <c r="F39" s="622">
        <f>SUM(F32:F38)</f>
        <v>0</v>
      </c>
      <c r="G39" s="180"/>
      <c r="H39" s="180"/>
      <c r="I39" s="554"/>
      <c r="J39" s="614"/>
      <c r="K39" s="152">
        <f>SUM(K32:K38)</f>
        <v>0</v>
      </c>
      <c r="L39" s="152" t="e">
        <f>K39/F39</f>
        <v>#DIV/0!</v>
      </c>
      <c r="M39" s="192"/>
      <c r="N39" s="623"/>
    </row>
    <row r="40" spans="1:14" s="107" customFormat="1" ht="12.75">
      <c r="A40" s="623"/>
      <c r="B40" s="623"/>
      <c r="C40" s="623"/>
      <c r="D40" s="624" t="s">
        <v>30</v>
      </c>
      <c r="E40" s="624"/>
      <c r="F40" s="625">
        <f>F11+F15+F21+F27+F31+F39</f>
        <v>0</v>
      </c>
      <c r="G40" s="626"/>
      <c r="H40" s="626"/>
      <c r="I40" s="626"/>
      <c r="J40" s="626"/>
      <c r="K40" s="625">
        <f>K11+K15+K21+K27+K31+K39</f>
        <v>0</v>
      </c>
      <c r="L40" s="627" t="e">
        <f>K40/F40</f>
        <v>#DIV/0!</v>
      </c>
      <c r="M40" s="623"/>
      <c r="N40" s="623"/>
    </row>
    <row r="41" spans="1:14" s="107" customFormat="1" ht="12.75">
      <c r="A41" s="628" t="s">
        <v>23</v>
      </c>
      <c r="B41" s="628"/>
      <c r="C41" s="628"/>
      <c r="D41" s="628"/>
      <c r="E41" s="628"/>
      <c r="F41" s="623"/>
      <c r="G41" s="623"/>
      <c r="H41" s="623"/>
      <c r="I41" s="623"/>
      <c r="J41" s="623"/>
      <c r="K41" s="850" t="s">
        <v>1213</v>
      </c>
      <c r="L41" s="850"/>
      <c r="M41" s="850"/>
      <c r="N41" s="623"/>
    </row>
    <row r="42" spans="1:14" s="107" customFormat="1" ht="12.75">
      <c r="A42" s="180" t="s">
        <v>0</v>
      </c>
      <c r="B42" s="180" t="s">
        <v>7</v>
      </c>
      <c r="C42" s="180" t="s">
        <v>13</v>
      </c>
      <c r="D42" s="180" t="s">
        <v>14</v>
      </c>
      <c r="E42" s="180" t="s">
        <v>8</v>
      </c>
      <c r="F42" s="180" t="s">
        <v>1</v>
      </c>
      <c r="G42" s="180" t="s">
        <v>2</v>
      </c>
      <c r="H42" s="180" t="s">
        <v>15</v>
      </c>
      <c r="I42" s="180" t="s">
        <v>3</v>
      </c>
      <c r="J42" s="180" t="s">
        <v>4</v>
      </c>
      <c r="K42" s="180" t="s">
        <v>5</v>
      </c>
      <c r="L42" s="180" t="s">
        <v>12</v>
      </c>
      <c r="M42" s="180" t="s">
        <v>6</v>
      </c>
      <c r="N42" s="623"/>
    </row>
    <row r="43" spans="1:14" s="107" customFormat="1" ht="12.75">
      <c r="A43" s="178">
        <v>1</v>
      </c>
      <c r="B43" s="178" t="s">
        <v>588</v>
      </c>
      <c r="C43" s="178" t="s">
        <v>121</v>
      </c>
      <c r="D43" s="178" t="s">
        <v>324</v>
      </c>
      <c r="E43" s="178"/>
      <c r="F43" s="621"/>
      <c r="G43" s="178" t="s">
        <v>24</v>
      </c>
      <c r="H43" s="192"/>
      <c r="I43" s="554"/>
      <c r="J43" s="614">
        <v>74</v>
      </c>
      <c r="K43" s="614">
        <f t="shared" ref="K43:K45" si="9">I43*J43</f>
        <v>0</v>
      </c>
      <c r="L43" s="192"/>
      <c r="M43" s="162"/>
      <c r="N43" s="623"/>
    </row>
    <row r="44" spans="1:14" s="107" customFormat="1" ht="12.75">
      <c r="A44" s="178"/>
      <c r="B44" s="178"/>
      <c r="C44" s="178"/>
      <c r="D44" s="178"/>
      <c r="E44" s="178"/>
      <c r="F44" s="621"/>
      <c r="G44" s="178" t="s">
        <v>18</v>
      </c>
      <c r="H44" s="192"/>
      <c r="I44" s="554"/>
      <c r="J44" s="614">
        <v>46</v>
      </c>
      <c r="K44" s="614">
        <f t="shared" si="9"/>
        <v>0</v>
      </c>
      <c r="L44" s="192"/>
      <c r="M44" s="192"/>
      <c r="N44" s="623"/>
    </row>
    <row r="45" spans="1:14" s="107" customFormat="1" ht="12.75">
      <c r="A45" s="178"/>
      <c r="B45" s="178"/>
      <c r="C45" s="178"/>
      <c r="D45" s="178"/>
      <c r="E45" s="178"/>
      <c r="F45" s="621"/>
      <c r="G45" s="178" t="s">
        <v>171</v>
      </c>
      <c r="H45" s="192"/>
      <c r="I45" s="554"/>
      <c r="J45" s="614">
        <v>416</v>
      </c>
      <c r="K45" s="614">
        <f t="shared" si="9"/>
        <v>0</v>
      </c>
      <c r="L45" s="192"/>
      <c r="M45" s="192"/>
      <c r="N45" s="623"/>
    </row>
    <row r="46" spans="1:14" s="107" customFormat="1" ht="12.75">
      <c r="A46" s="178"/>
      <c r="B46" s="178"/>
      <c r="C46" s="178"/>
      <c r="D46" s="178"/>
      <c r="E46" s="178"/>
      <c r="F46" s="621"/>
      <c r="G46" s="178" t="s">
        <v>172</v>
      </c>
      <c r="H46" s="192"/>
      <c r="I46" s="554"/>
      <c r="J46" s="614">
        <v>165</v>
      </c>
      <c r="K46" s="614">
        <f>I46*J46</f>
        <v>0</v>
      </c>
      <c r="L46" s="192"/>
      <c r="M46" s="192"/>
      <c r="N46" s="623"/>
    </row>
    <row r="47" spans="1:14" s="107" customFormat="1" ht="12.75">
      <c r="A47" s="178"/>
      <c r="B47" s="178"/>
      <c r="C47" s="178"/>
      <c r="D47" s="178"/>
      <c r="E47" s="178"/>
      <c r="F47" s="621"/>
      <c r="G47" s="179" t="s">
        <v>181</v>
      </c>
      <c r="H47" s="192"/>
      <c r="I47" s="554"/>
      <c r="J47" s="614">
        <v>165</v>
      </c>
      <c r="K47" s="614">
        <f t="shared" ref="K47" si="10">I47*J47</f>
        <v>0</v>
      </c>
      <c r="L47" s="192"/>
      <c r="M47" s="192"/>
      <c r="N47" s="623"/>
    </row>
    <row r="48" spans="1:14" s="107" customFormat="1" ht="12.75">
      <c r="A48" s="178"/>
      <c r="B48" s="178"/>
      <c r="C48" s="178"/>
      <c r="D48" s="178"/>
      <c r="E48" s="180" t="s">
        <v>9</v>
      </c>
      <c r="F48" s="622">
        <f>SUM(F43:F47)</f>
        <v>0</v>
      </c>
      <c r="G48" s="180"/>
      <c r="H48" s="180"/>
      <c r="I48" s="554"/>
      <c r="J48" s="614"/>
      <c r="K48" s="152">
        <f>SUM(K43:K47)</f>
        <v>0</v>
      </c>
      <c r="L48" s="152" t="e">
        <f>K48/F48</f>
        <v>#DIV/0!</v>
      </c>
      <c r="M48" s="192"/>
      <c r="N48" s="623"/>
    </row>
    <row r="49" spans="1:14" s="107" customFormat="1" ht="12.75">
      <c r="A49" s="178">
        <v>2</v>
      </c>
      <c r="B49" s="178" t="s">
        <v>592</v>
      </c>
      <c r="C49" s="178" t="s">
        <v>593</v>
      </c>
      <c r="D49" s="178" t="s">
        <v>510</v>
      </c>
      <c r="E49" s="180"/>
      <c r="F49" s="621"/>
      <c r="G49" s="178" t="s">
        <v>24</v>
      </c>
      <c r="H49" s="192"/>
      <c r="I49" s="554"/>
      <c r="J49" s="614">
        <v>74</v>
      </c>
      <c r="K49" s="614">
        <f t="shared" ref="K49:K51" si="11">I49*J49</f>
        <v>0</v>
      </c>
      <c r="L49" s="192"/>
      <c r="M49" s="192"/>
      <c r="N49" s="623"/>
    </row>
    <row r="50" spans="1:14" s="107" customFormat="1" ht="12.75">
      <c r="A50" s="178"/>
      <c r="B50" s="178"/>
      <c r="C50" s="178"/>
      <c r="D50" s="178"/>
      <c r="E50" s="178"/>
      <c r="F50" s="621"/>
      <c r="G50" s="178" t="s">
        <v>18</v>
      </c>
      <c r="H50" s="192"/>
      <c r="I50" s="554"/>
      <c r="J50" s="614">
        <v>46</v>
      </c>
      <c r="K50" s="614">
        <f t="shared" si="11"/>
        <v>0</v>
      </c>
      <c r="L50" s="192"/>
      <c r="M50" s="192"/>
      <c r="N50" s="623"/>
    </row>
    <row r="51" spans="1:14" s="107" customFormat="1" ht="12.75">
      <c r="A51" s="178"/>
      <c r="B51" s="178"/>
      <c r="C51" s="178"/>
      <c r="D51" s="178"/>
      <c r="E51" s="178"/>
      <c r="F51" s="621"/>
      <c r="G51" s="178" t="s">
        <v>171</v>
      </c>
      <c r="H51" s="192"/>
      <c r="I51" s="554"/>
      <c r="J51" s="614">
        <v>416</v>
      </c>
      <c r="K51" s="614">
        <f t="shared" si="11"/>
        <v>0</v>
      </c>
      <c r="L51" s="192"/>
      <c r="M51" s="192"/>
      <c r="N51" s="623"/>
    </row>
    <row r="52" spans="1:14" s="107" customFormat="1" ht="12.75">
      <c r="A52" s="178"/>
      <c r="B52" s="178"/>
      <c r="C52" s="178"/>
      <c r="D52" s="178"/>
      <c r="E52" s="178"/>
      <c r="F52" s="621"/>
      <c r="G52" s="178" t="s">
        <v>172</v>
      </c>
      <c r="H52" s="192"/>
      <c r="I52" s="554"/>
      <c r="J52" s="614">
        <v>165</v>
      </c>
      <c r="K52" s="614">
        <f>I52*J52</f>
        <v>0</v>
      </c>
      <c r="L52" s="192"/>
      <c r="M52" s="192"/>
      <c r="N52" s="623"/>
    </row>
    <row r="53" spans="1:14" s="107" customFormat="1" ht="12.75">
      <c r="A53" s="178"/>
      <c r="B53" s="178"/>
      <c r="C53" s="178"/>
      <c r="D53" s="178"/>
      <c r="E53" s="178"/>
      <c r="F53" s="621"/>
      <c r="G53" s="179" t="s">
        <v>181</v>
      </c>
      <c r="H53" s="192"/>
      <c r="I53" s="554"/>
      <c r="J53" s="614">
        <v>165</v>
      </c>
      <c r="K53" s="614">
        <f t="shared" ref="K53" si="12">I53*J53</f>
        <v>0</v>
      </c>
      <c r="L53" s="192"/>
      <c r="M53" s="192"/>
      <c r="N53" s="623"/>
    </row>
    <row r="54" spans="1:14" s="107" customFormat="1" ht="12.75">
      <c r="A54" s="178"/>
      <c r="B54" s="178"/>
      <c r="C54" s="178"/>
      <c r="D54" s="178"/>
      <c r="E54" s="180" t="s">
        <v>9</v>
      </c>
      <c r="F54" s="622">
        <f>SUM(F49:F53)</f>
        <v>0</v>
      </c>
      <c r="G54" s="180"/>
      <c r="H54" s="180"/>
      <c r="I54" s="554"/>
      <c r="J54" s="614"/>
      <c r="K54" s="152">
        <f>SUM(K49:K53)</f>
        <v>0</v>
      </c>
      <c r="L54" s="152" t="e">
        <f>K54/F54</f>
        <v>#DIV/0!</v>
      </c>
      <c r="M54" s="192"/>
      <c r="N54" s="623"/>
    </row>
    <row r="55" spans="1:14" s="107" customFormat="1" ht="12.75">
      <c r="A55" s="178">
        <v>3</v>
      </c>
      <c r="B55" s="178" t="s">
        <v>598</v>
      </c>
      <c r="C55" s="178" t="s">
        <v>626</v>
      </c>
      <c r="D55" s="178" t="s">
        <v>599</v>
      </c>
      <c r="E55" s="180"/>
      <c r="F55" s="621"/>
      <c r="G55" s="178" t="s">
        <v>24</v>
      </c>
      <c r="H55" s="192"/>
      <c r="I55" s="554"/>
      <c r="J55" s="614">
        <v>74</v>
      </c>
      <c r="K55" s="614">
        <f t="shared" ref="K55:K57" si="13">I55*J55</f>
        <v>0</v>
      </c>
      <c r="L55" s="192"/>
      <c r="M55" s="192"/>
      <c r="N55" s="623"/>
    </row>
    <row r="56" spans="1:14" s="107" customFormat="1" ht="12.75">
      <c r="A56" s="178"/>
      <c r="B56" s="178" t="s">
        <v>600</v>
      </c>
      <c r="C56" s="178" t="s">
        <v>601</v>
      </c>
      <c r="D56" s="178" t="s">
        <v>602</v>
      </c>
      <c r="E56" s="178"/>
      <c r="F56" s="621"/>
      <c r="G56" s="178" t="s">
        <v>18</v>
      </c>
      <c r="H56" s="192"/>
      <c r="I56" s="554"/>
      <c r="J56" s="614">
        <v>46</v>
      </c>
      <c r="K56" s="614">
        <f t="shared" si="13"/>
        <v>0</v>
      </c>
      <c r="L56" s="192"/>
      <c r="M56" s="192"/>
      <c r="N56" s="623"/>
    </row>
    <row r="57" spans="1:14" s="107" customFormat="1" ht="12.75">
      <c r="A57" s="178"/>
      <c r="B57" s="178" t="s">
        <v>603</v>
      </c>
      <c r="C57" s="178" t="s">
        <v>606</v>
      </c>
      <c r="D57" s="178" t="s">
        <v>607</v>
      </c>
      <c r="E57" s="178"/>
      <c r="F57" s="621"/>
      <c r="G57" s="178" t="s">
        <v>171</v>
      </c>
      <c r="H57" s="192"/>
      <c r="I57" s="554"/>
      <c r="J57" s="614">
        <v>416</v>
      </c>
      <c r="K57" s="614">
        <f t="shared" si="13"/>
        <v>0</v>
      </c>
      <c r="L57" s="192"/>
      <c r="M57" s="192"/>
      <c r="N57" s="623"/>
    </row>
    <row r="58" spans="1:14" s="107" customFormat="1" ht="12.75">
      <c r="A58" s="178"/>
      <c r="B58" s="178" t="s">
        <v>604</v>
      </c>
      <c r="C58" s="178" t="s">
        <v>121</v>
      </c>
      <c r="D58" s="178" t="s">
        <v>427</v>
      </c>
      <c r="E58" s="178"/>
      <c r="F58" s="621"/>
      <c r="G58" s="178" t="s">
        <v>172</v>
      </c>
      <c r="H58" s="192"/>
      <c r="I58" s="554"/>
      <c r="J58" s="614">
        <v>165</v>
      </c>
      <c r="K58" s="614">
        <f>I58*J58</f>
        <v>0</v>
      </c>
      <c r="L58" s="192"/>
      <c r="M58" s="192"/>
      <c r="N58" s="623"/>
    </row>
    <row r="59" spans="1:14" s="107" customFormat="1" ht="12.75">
      <c r="A59" s="178"/>
      <c r="B59" s="178" t="s">
        <v>605</v>
      </c>
      <c r="C59" s="178" t="s">
        <v>121</v>
      </c>
      <c r="D59" s="178" t="s">
        <v>427</v>
      </c>
      <c r="E59" s="178"/>
      <c r="F59" s="621"/>
      <c r="G59" s="179" t="s">
        <v>181</v>
      </c>
      <c r="H59" s="192"/>
      <c r="I59" s="554"/>
      <c r="J59" s="614">
        <v>165</v>
      </c>
      <c r="K59" s="614">
        <f t="shared" ref="K59" si="14">I59*J59</f>
        <v>0</v>
      </c>
      <c r="L59" s="192"/>
      <c r="M59" s="192"/>
      <c r="N59" s="623"/>
    </row>
    <row r="60" spans="1:14" s="107" customFormat="1" ht="12.75">
      <c r="A60" s="178"/>
      <c r="B60" s="178"/>
      <c r="C60" s="178"/>
      <c r="D60" s="178"/>
      <c r="E60" s="180" t="s">
        <v>9</v>
      </c>
      <c r="F60" s="622">
        <f>SUM(F55:F59)</f>
        <v>0</v>
      </c>
      <c r="G60" s="180"/>
      <c r="H60" s="180"/>
      <c r="I60" s="554"/>
      <c r="J60" s="614"/>
      <c r="K60" s="152">
        <f>SUM(K55:K59)</f>
        <v>0</v>
      </c>
      <c r="L60" s="152" t="e">
        <f>K60/F60</f>
        <v>#DIV/0!</v>
      </c>
      <c r="M60" s="192"/>
      <c r="N60" s="623"/>
    </row>
    <row r="61" spans="1:14" s="107" customFormat="1" ht="12.75">
      <c r="A61" s="630"/>
      <c r="B61" s="630"/>
      <c r="C61" s="630"/>
      <c r="D61" s="180" t="s">
        <v>30</v>
      </c>
      <c r="E61" s="180"/>
      <c r="F61" s="625">
        <f>F48+F54+F60</f>
        <v>0</v>
      </c>
      <c r="G61" s="631"/>
      <c r="H61" s="631"/>
      <c r="I61" s="631"/>
      <c r="J61" s="631"/>
      <c r="K61" s="625">
        <f>K48+K54+K60</f>
        <v>0</v>
      </c>
      <c r="L61" s="627" t="e">
        <f>K61/F61</f>
        <v>#DIV/0!</v>
      </c>
      <c r="M61" s="192"/>
      <c r="N61" s="623"/>
    </row>
    <row r="62" spans="1:14" s="107" customFormat="1" ht="12.75">
      <c r="A62" s="628" t="s">
        <v>22</v>
      </c>
      <c r="B62" s="628"/>
      <c r="C62" s="628"/>
      <c r="D62" s="628"/>
      <c r="E62" s="628"/>
      <c r="F62" s="623"/>
      <c r="G62" s="623"/>
      <c r="H62" s="623"/>
      <c r="I62" s="623"/>
      <c r="J62" s="623"/>
      <c r="K62" s="850" t="s">
        <v>1213</v>
      </c>
      <c r="L62" s="850"/>
      <c r="M62" s="850"/>
      <c r="N62" s="623"/>
    </row>
    <row r="63" spans="1:14" s="107" customFormat="1" ht="12.75">
      <c r="A63" s="180" t="s">
        <v>0</v>
      </c>
      <c r="B63" s="180" t="s">
        <v>7</v>
      </c>
      <c r="C63" s="180" t="s">
        <v>13</v>
      </c>
      <c r="D63" s="180" t="s">
        <v>14</v>
      </c>
      <c r="E63" s="180" t="s">
        <v>8</v>
      </c>
      <c r="F63" s="180" t="s">
        <v>1</v>
      </c>
      <c r="G63" s="180" t="s">
        <v>2</v>
      </c>
      <c r="H63" s="180" t="s">
        <v>15</v>
      </c>
      <c r="I63" s="180" t="s">
        <v>3</v>
      </c>
      <c r="J63" s="180" t="s">
        <v>4</v>
      </c>
      <c r="K63" s="180" t="s">
        <v>5</v>
      </c>
      <c r="L63" s="180" t="s">
        <v>12</v>
      </c>
      <c r="M63" s="180" t="s">
        <v>6</v>
      </c>
      <c r="N63" s="623"/>
    </row>
    <row r="64" spans="1:14" s="107" customFormat="1" ht="12.75">
      <c r="A64" s="178">
        <v>1</v>
      </c>
      <c r="B64" s="178" t="s">
        <v>565</v>
      </c>
      <c r="C64" s="178" t="s">
        <v>555</v>
      </c>
      <c r="D64" s="178" t="s">
        <v>556</v>
      </c>
      <c r="E64" s="178"/>
      <c r="F64" s="621"/>
      <c r="G64" s="178" t="s">
        <v>24</v>
      </c>
      <c r="H64" s="192"/>
      <c r="I64" s="554"/>
      <c r="J64" s="614">
        <v>74</v>
      </c>
      <c r="K64" s="614">
        <f t="shared" ref="K64:K65" si="15">I64*J64</f>
        <v>0</v>
      </c>
      <c r="L64" s="192"/>
      <c r="M64" s="162"/>
      <c r="N64" s="623"/>
    </row>
    <row r="65" spans="1:14" s="107" customFormat="1" ht="12.75">
      <c r="A65" s="178"/>
      <c r="B65" s="178"/>
      <c r="C65" s="178"/>
      <c r="D65" s="178"/>
      <c r="E65" s="178"/>
      <c r="F65" s="621"/>
      <c r="G65" s="613" t="s">
        <v>10</v>
      </c>
      <c r="H65" s="192"/>
      <c r="I65" s="554"/>
      <c r="J65" s="614">
        <v>120</v>
      </c>
      <c r="K65" s="614">
        <f t="shared" si="15"/>
        <v>0</v>
      </c>
      <c r="L65" s="192"/>
      <c r="M65" s="192"/>
      <c r="N65" s="623"/>
    </row>
    <row r="66" spans="1:14" s="107" customFormat="1" ht="12.75">
      <c r="A66" s="178"/>
      <c r="B66" s="178"/>
      <c r="C66" s="178"/>
      <c r="D66" s="178"/>
      <c r="E66" s="180" t="s">
        <v>9</v>
      </c>
      <c r="F66" s="622">
        <f>SUM(F62:F65)</f>
        <v>0</v>
      </c>
      <c r="G66" s="180"/>
      <c r="H66" s="180"/>
      <c r="I66" s="554"/>
      <c r="J66" s="614"/>
      <c r="K66" s="152">
        <f>SUM(K64:K65)</f>
        <v>0</v>
      </c>
      <c r="L66" s="152" t="e">
        <f>K66/F66</f>
        <v>#DIV/0!</v>
      </c>
      <c r="M66" s="192"/>
      <c r="N66" s="623"/>
    </row>
    <row r="67" spans="1:14" s="107" customFormat="1" ht="12.75">
      <c r="A67" s="178">
        <v>2</v>
      </c>
      <c r="B67" s="178" t="s">
        <v>592</v>
      </c>
      <c r="C67" s="178" t="s">
        <v>593</v>
      </c>
      <c r="D67" s="178" t="s">
        <v>510</v>
      </c>
      <c r="E67" s="180"/>
      <c r="F67" s="621"/>
      <c r="G67" s="178" t="s">
        <v>24</v>
      </c>
      <c r="H67" s="192"/>
      <c r="I67" s="554"/>
      <c r="J67" s="614">
        <v>74</v>
      </c>
      <c r="K67" s="614">
        <f t="shared" ref="K67:K68" si="16">I67*J67</f>
        <v>0</v>
      </c>
      <c r="L67" s="192"/>
      <c r="M67" s="192"/>
      <c r="N67" s="623"/>
    </row>
    <row r="68" spans="1:14" s="107" customFormat="1" ht="12.75">
      <c r="A68" s="178"/>
      <c r="B68" s="178"/>
      <c r="C68" s="178"/>
      <c r="D68" s="178"/>
      <c r="E68" s="178"/>
      <c r="F68" s="619"/>
      <c r="G68" s="613" t="s">
        <v>10</v>
      </c>
      <c r="H68" s="192"/>
      <c r="I68" s="554"/>
      <c r="J68" s="614">
        <v>120</v>
      </c>
      <c r="K68" s="614">
        <f t="shared" si="16"/>
        <v>0</v>
      </c>
      <c r="L68" s="192"/>
      <c r="M68" s="192"/>
      <c r="N68" s="623"/>
    </row>
    <row r="69" spans="1:14" s="107" customFormat="1" ht="12.75">
      <c r="A69" s="178"/>
      <c r="B69" s="178"/>
      <c r="C69" s="178"/>
      <c r="D69" s="178"/>
      <c r="E69" s="180" t="s">
        <v>9</v>
      </c>
      <c r="F69" s="622">
        <f>SUM(F67:F68)</f>
        <v>0</v>
      </c>
      <c r="G69" s="180"/>
      <c r="H69" s="180"/>
      <c r="I69" s="554"/>
      <c r="J69" s="614"/>
      <c r="K69" s="152">
        <f>SUM(K67:K68)</f>
        <v>0</v>
      </c>
      <c r="L69" s="152" t="e">
        <f>K69/F69</f>
        <v>#DIV/0!</v>
      </c>
      <c r="M69" s="192"/>
      <c r="N69" s="623"/>
    </row>
    <row r="70" spans="1:14" s="107" customFormat="1" ht="12.75">
      <c r="A70" s="178">
        <v>3</v>
      </c>
      <c r="B70" s="178" t="s">
        <v>511</v>
      </c>
      <c r="C70" s="178" t="s">
        <v>121</v>
      </c>
      <c r="D70" s="178" t="s">
        <v>180</v>
      </c>
      <c r="E70" s="178"/>
      <c r="F70" s="621"/>
      <c r="G70" s="178" t="s">
        <v>24</v>
      </c>
      <c r="H70" s="192"/>
      <c r="I70" s="554"/>
      <c r="J70" s="614">
        <v>74</v>
      </c>
      <c r="K70" s="614">
        <f t="shared" ref="K70:K71" si="17">I70*J70</f>
        <v>0</v>
      </c>
      <c r="L70" s="152"/>
      <c r="M70" s="192"/>
      <c r="N70" s="623"/>
    </row>
    <row r="71" spans="1:14" s="107" customFormat="1" ht="12.75">
      <c r="A71" s="178"/>
      <c r="B71" s="178"/>
      <c r="C71" s="178"/>
      <c r="D71" s="178"/>
      <c r="E71" s="180"/>
      <c r="F71" s="622"/>
      <c r="G71" s="613" t="s">
        <v>10</v>
      </c>
      <c r="H71" s="192"/>
      <c r="I71" s="554"/>
      <c r="J71" s="614">
        <v>120</v>
      </c>
      <c r="K71" s="614">
        <f t="shared" si="17"/>
        <v>0</v>
      </c>
      <c r="L71" s="152"/>
      <c r="M71" s="192"/>
      <c r="N71" s="623"/>
    </row>
    <row r="72" spans="1:14" s="107" customFormat="1" ht="12.75">
      <c r="A72" s="178"/>
      <c r="B72" s="178"/>
      <c r="C72" s="178"/>
      <c r="D72" s="178"/>
      <c r="E72" s="180" t="s">
        <v>9</v>
      </c>
      <c r="F72" s="622">
        <f>SUM(F70:F71)</f>
        <v>0</v>
      </c>
      <c r="G72" s="180"/>
      <c r="H72" s="180"/>
      <c r="I72" s="554"/>
      <c r="J72" s="614"/>
      <c r="K72" s="152">
        <f>SUM(K70:K71)</f>
        <v>0</v>
      </c>
      <c r="L72" s="152" t="e">
        <f>K72/F72</f>
        <v>#DIV/0!</v>
      </c>
      <c r="M72" s="192"/>
      <c r="N72" s="623"/>
    </row>
    <row r="73" spans="1:14" s="107" customFormat="1" ht="12.75">
      <c r="A73" s="178">
        <v>4</v>
      </c>
      <c r="B73" s="178" t="s">
        <v>522</v>
      </c>
      <c r="C73" s="178" t="s">
        <v>523</v>
      </c>
      <c r="D73" s="178" t="s">
        <v>524</v>
      </c>
      <c r="E73" s="178"/>
      <c r="F73" s="621"/>
      <c r="G73" s="178" t="s">
        <v>24</v>
      </c>
      <c r="H73" s="192"/>
      <c r="I73" s="554"/>
      <c r="J73" s="614">
        <v>74</v>
      </c>
      <c r="K73" s="614">
        <f t="shared" ref="K73:K74" si="18">I73*J73</f>
        <v>0</v>
      </c>
      <c r="L73" s="192"/>
      <c r="M73" s="192"/>
      <c r="N73" s="623"/>
    </row>
    <row r="74" spans="1:14" s="107" customFormat="1" ht="12.75">
      <c r="A74" s="178"/>
      <c r="B74" s="178"/>
      <c r="C74" s="178"/>
      <c r="D74" s="178"/>
      <c r="E74" s="178"/>
      <c r="F74" s="621"/>
      <c r="G74" s="613" t="s">
        <v>10</v>
      </c>
      <c r="H74" s="192"/>
      <c r="I74" s="554"/>
      <c r="J74" s="614">
        <v>120</v>
      </c>
      <c r="K74" s="614">
        <f t="shared" si="18"/>
        <v>0</v>
      </c>
      <c r="L74" s="192"/>
      <c r="M74" s="192"/>
      <c r="N74" s="623"/>
    </row>
    <row r="75" spans="1:14" s="107" customFormat="1" ht="12.75">
      <c r="A75" s="178"/>
      <c r="B75" s="178"/>
      <c r="C75" s="178"/>
      <c r="D75" s="178"/>
      <c r="E75" s="180" t="s">
        <v>9</v>
      </c>
      <c r="F75" s="622">
        <f>SUM(F73:F74)</f>
        <v>0</v>
      </c>
      <c r="G75" s="180"/>
      <c r="H75" s="180"/>
      <c r="I75" s="554"/>
      <c r="J75" s="614"/>
      <c r="K75" s="152">
        <f>SUM(K73:K74)</f>
        <v>0</v>
      </c>
      <c r="L75" s="152" t="e">
        <f>K75/F75</f>
        <v>#DIV/0!</v>
      </c>
      <c r="M75" s="192"/>
      <c r="N75" s="623"/>
    </row>
    <row r="76" spans="1:14" s="107" customFormat="1" ht="12.75">
      <c r="A76" s="623"/>
      <c r="B76" s="623"/>
      <c r="C76" s="623"/>
      <c r="D76" s="624" t="s">
        <v>30</v>
      </c>
      <c r="E76" s="624"/>
      <c r="F76" s="625">
        <f>F66+F69+F72+F75</f>
        <v>0</v>
      </c>
      <c r="G76" s="626"/>
      <c r="H76" s="626"/>
      <c r="I76" s="626"/>
      <c r="J76" s="626"/>
      <c r="K76" s="625">
        <f>K66+K69+K72+K75</f>
        <v>0</v>
      </c>
      <c r="L76" s="627" t="e">
        <f>K76/F76</f>
        <v>#DIV/0!</v>
      </c>
      <c r="M76" s="623"/>
      <c r="N76" s="623"/>
    </row>
    <row r="77" spans="1:14" s="107" customFormat="1" ht="12.75">
      <c r="A77" s="628" t="s">
        <v>16</v>
      </c>
      <c r="B77" s="628"/>
      <c r="C77" s="628"/>
      <c r="D77" s="628"/>
      <c r="E77" s="628"/>
      <c r="F77" s="623"/>
      <c r="G77" s="623"/>
      <c r="H77" s="623"/>
      <c r="I77" s="623"/>
      <c r="J77" s="623"/>
      <c r="K77" s="850" t="s">
        <v>1213</v>
      </c>
      <c r="L77" s="850"/>
      <c r="M77" s="850"/>
      <c r="N77" s="623"/>
    </row>
    <row r="78" spans="1:14" s="107" customFormat="1" ht="12.75">
      <c r="A78" s="180" t="s">
        <v>0</v>
      </c>
      <c r="B78" s="180" t="s">
        <v>7</v>
      </c>
      <c r="C78" s="180" t="s">
        <v>13</v>
      </c>
      <c r="D78" s="180" t="s">
        <v>14</v>
      </c>
      <c r="E78" s="180" t="s">
        <v>8</v>
      </c>
      <c r="F78" s="180" t="s">
        <v>1</v>
      </c>
      <c r="G78" s="180" t="s">
        <v>2</v>
      </c>
      <c r="H78" s="180" t="s">
        <v>15</v>
      </c>
      <c r="I78" s="180" t="s">
        <v>3</v>
      </c>
      <c r="J78" s="180" t="s">
        <v>4</v>
      </c>
      <c r="K78" s="180" t="s">
        <v>5</v>
      </c>
      <c r="L78" s="180" t="s">
        <v>12</v>
      </c>
      <c r="M78" s="180" t="s">
        <v>6</v>
      </c>
      <c r="N78" s="623"/>
    </row>
    <row r="79" spans="1:14" s="107" customFormat="1">
      <c r="A79" s="178">
        <v>5368</v>
      </c>
      <c r="B79" s="178" t="s">
        <v>589</v>
      </c>
      <c r="C79" s="178" t="s">
        <v>590</v>
      </c>
      <c r="D79" s="178" t="s">
        <v>591</v>
      </c>
      <c r="E79" s="178" t="s">
        <v>310</v>
      </c>
      <c r="F79" s="621"/>
      <c r="G79" s="722" t="s">
        <v>235</v>
      </c>
      <c r="H79" s="299"/>
      <c r="I79" s="723"/>
      <c r="J79" s="723">
        <v>672</v>
      </c>
      <c r="K79" s="723">
        <f>I79*J79</f>
        <v>0</v>
      </c>
      <c r="L79" s="491"/>
      <c r="M79" s="162"/>
      <c r="N79" s="623"/>
    </row>
    <row r="80" spans="1:14" s="107" customFormat="1" ht="15" customHeight="1">
      <c r="A80" s="178"/>
      <c r="B80" s="178"/>
      <c r="C80" s="178"/>
      <c r="D80" s="178"/>
      <c r="E80" s="180" t="s">
        <v>9</v>
      </c>
      <c r="F80" s="622">
        <f>SUM(F79)</f>
        <v>0</v>
      </c>
      <c r="G80" s="180"/>
      <c r="H80" s="180"/>
      <c r="I80" s="554"/>
      <c r="J80" s="614"/>
      <c r="K80" s="152">
        <f>SUM(K79)</f>
        <v>0</v>
      </c>
      <c r="L80" s="152" t="e">
        <f>K80/F80</f>
        <v>#DIV/0!</v>
      </c>
      <c r="M80" s="192"/>
      <c r="N80" s="623"/>
    </row>
    <row r="81" spans="1:14" s="107" customFormat="1" ht="15" customHeight="1">
      <c r="A81" s="178">
        <v>5358</v>
      </c>
      <c r="B81" s="178" t="s">
        <v>549</v>
      </c>
      <c r="C81" s="178" t="s">
        <v>470</v>
      </c>
      <c r="D81" s="178" t="s">
        <v>467</v>
      </c>
      <c r="E81" s="178" t="s">
        <v>310</v>
      </c>
      <c r="F81" s="621"/>
      <c r="G81" s="722" t="s">
        <v>235</v>
      </c>
      <c r="H81" s="299"/>
      <c r="I81" s="723"/>
      <c r="J81" s="723">
        <v>672</v>
      </c>
      <c r="K81" s="723">
        <f>I81*J81</f>
        <v>0</v>
      </c>
      <c r="L81" s="491"/>
      <c r="M81" s="192"/>
      <c r="N81" s="623"/>
    </row>
    <row r="82" spans="1:14" s="107" customFormat="1" ht="15" customHeight="1">
      <c r="A82" s="178"/>
      <c r="B82" s="178"/>
      <c r="C82" s="178"/>
      <c r="D82" s="178"/>
      <c r="E82" s="180" t="s">
        <v>9</v>
      </c>
      <c r="F82" s="622">
        <f>SUM(F81)</f>
        <v>0</v>
      </c>
      <c r="G82" s="180"/>
      <c r="H82" s="180"/>
      <c r="I82" s="554"/>
      <c r="J82" s="614"/>
      <c r="K82" s="152">
        <f>SUM(K81)</f>
        <v>0</v>
      </c>
      <c r="L82" s="152" t="e">
        <f>K82/F82</f>
        <v>#DIV/0!</v>
      </c>
      <c r="M82" s="192"/>
      <c r="N82" s="623"/>
    </row>
    <row r="83" spans="1:14" s="107" customFormat="1" ht="15" customHeight="1">
      <c r="A83" s="178">
        <v>5361</v>
      </c>
      <c r="B83" s="178" t="s">
        <v>304</v>
      </c>
      <c r="C83" s="178" t="s">
        <v>305</v>
      </c>
      <c r="D83" s="178" t="s">
        <v>306</v>
      </c>
      <c r="E83" s="178" t="s">
        <v>236</v>
      </c>
      <c r="F83" s="621"/>
      <c r="G83" s="178" t="s">
        <v>18</v>
      </c>
      <c r="H83" s="192"/>
      <c r="I83" s="554"/>
      <c r="J83" s="614">
        <v>46</v>
      </c>
      <c r="K83" s="614">
        <f t="shared" ref="K83" si="19">I83*J83</f>
        <v>0</v>
      </c>
      <c r="L83" s="192"/>
      <c r="M83" s="192"/>
      <c r="N83" s="623"/>
    </row>
    <row r="84" spans="1:14" s="107" customFormat="1" ht="15" customHeight="1">
      <c r="A84" s="178"/>
      <c r="B84" s="178"/>
      <c r="C84" s="178"/>
      <c r="D84" s="178"/>
      <c r="E84" s="180" t="s">
        <v>9</v>
      </c>
      <c r="F84" s="622">
        <f>SUM(F83)</f>
        <v>0</v>
      </c>
      <c r="G84" s="180"/>
      <c r="H84" s="180"/>
      <c r="I84" s="554"/>
      <c r="J84" s="614"/>
      <c r="K84" s="152">
        <f>SUM(K83)</f>
        <v>0</v>
      </c>
      <c r="L84" s="152" t="e">
        <f>K84/F84</f>
        <v>#DIV/0!</v>
      </c>
      <c r="M84" s="192"/>
      <c r="N84" s="623"/>
    </row>
    <row r="85" spans="1:14" s="107" customFormat="1" ht="15" customHeight="1">
      <c r="A85" s="634"/>
      <c r="B85" s="634"/>
      <c r="C85" s="634"/>
      <c r="D85" s="624" t="s">
        <v>30</v>
      </c>
      <c r="E85" s="624"/>
      <c r="F85" s="625">
        <f>F80+F82+F84</f>
        <v>0</v>
      </c>
      <c r="G85" s="626"/>
      <c r="H85" s="626"/>
      <c r="I85" s="626"/>
      <c r="J85" s="626"/>
      <c r="K85" s="625">
        <f>K80+K82+K84</f>
        <v>0</v>
      </c>
      <c r="L85" s="627" t="e">
        <f>K85/F85</f>
        <v>#DIV/0!</v>
      </c>
      <c r="M85" s="630"/>
      <c r="N85" s="623"/>
    </row>
    <row r="86" spans="1:14" s="107" customFormat="1" ht="12.75">
      <c r="A86" s="628" t="s">
        <v>72</v>
      </c>
      <c r="B86" s="628"/>
      <c r="C86" s="628"/>
      <c r="D86" s="628"/>
      <c r="E86" s="628"/>
      <c r="F86" s="623"/>
      <c r="G86" s="623"/>
      <c r="H86" s="623"/>
      <c r="I86" s="635"/>
      <c r="J86" s="623"/>
      <c r="K86" s="850" t="s">
        <v>1213</v>
      </c>
      <c r="L86" s="850"/>
      <c r="M86" s="850"/>
      <c r="N86" s="623"/>
    </row>
    <row r="87" spans="1:14" s="107" customFormat="1" ht="12.75">
      <c r="A87" s="180" t="s">
        <v>0</v>
      </c>
      <c r="B87" s="180" t="s">
        <v>7</v>
      </c>
      <c r="C87" s="180" t="s">
        <v>13</v>
      </c>
      <c r="D87" s="180" t="s">
        <v>14</v>
      </c>
      <c r="E87" s="180" t="s">
        <v>8</v>
      </c>
      <c r="F87" s="180" t="s">
        <v>1</v>
      </c>
      <c r="G87" s="180" t="s">
        <v>2</v>
      </c>
      <c r="H87" s="180" t="s">
        <v>15</v>
      </c>
      <c r="I87" s="636" t="s">
        <v>3</v>
      </c>
      <c r="J87" s="180" t="s">
        <v>4</v>
      </c>
      <c r="K87" s="180" t="s">
        <v>5</v>
      </c>
      <c r="L87" s="180" t="s">
        <v>12</v>
      </c>
      <c r="M87" s="180" t="s">
        <v>6</v>
      </c>
      <c r="N87" s="500"/>
    </row>
    <row r="88" spans="1:14" s="107" customFormat="1" ht="12.75">
      <c r="A88" s="178">
        <v>5926</v>
      </c>
      <c r="B88" s="178" t="s">
        <v>565</v>
      </c>
      <c r="C88" s="178" t="s">
        <v>555</v>
      </c>
      <c r="D88" s="178" t="s">
        <v>556</v>
      </c>
      <c r="E88" s="178" t="s">
        <v>641</v>
      </c>
      <c r="F88" s="638"/>
      <c r="G88" s="640" t="s">
        <v>196</v>
      </c>
      <c r="H88" s="192"/>
      <c r="I88" s="554"/>
      <c r="J88" s="614">
        <v>1380</v>
      </c>
      <c r="K88" s="614">
        <f t="shared" ref="K88:K92" si="20">I88*J88</f>
        <v>0</v>
      </c>
      <c r="L88" s="192"/>
      <c r="M88" s="192"/>
      <c r="N88" s="623"/>
    </row>
    <row r="89" spans="1:14" s="107" customFormat="1" ht="12.75">
      <c r="A89" s="178"/>
      <c r="B89" s="178"/>
      <c r="C89" s="178"/>
      <c r="D89" s="178"/>
      <c r="E89" s="178"/>
      <c r="F89" s="621"/>
      <c r="G89" s="640" t="s">
        <v>195</v>
      </c>
      <c r="H89" s="192"/>
      <c r="I89" s="554"/>
      <c r="J89" s="614">
        <v>932</v>
      </c>
      <c r="K89" s="614">
        <f t="shared" si="20"/>
        <v>0</v>
      </c>
      <c r="L89" s="192"/>
      <c r="M89" s="192"/>
      <c r="N89" s="623"/>
    </row>
    <row r="90" spans="1:14" s="107" customFormat="1">
      <c r="A90" s="178"/>
      <c r="B90" s="178"/>
      <c r="C90" s="178"/>
      <c r="D90" s="178"/>
      <c r="E90" s="178"/>
      <c r="F90" s="621"/>
      <c r="G90" s="179" t="s">
        <v>186</v>
      </c>
      <c r="H90" s="192"/>
      <c r="I90" s="554"/>
      <c r="J90" s="614">
        <v>2382</v>
      </c>
      <c r="K90" s="614">
        <f t="shared" si="20"/>
        <v>0</v>
      </c>
      <c r="L90" s="104"/>
      <c r="M90" s="192"/>
      <c r="N90" s="623"/>
    </row>
    <row r="91" spans="1:14" s="107" customFormat="1" ht="12.75">
      <c r="A91" s="178"/>
      <c r="B91" s="178"/>
      <c r="C91" s="178"/>
      <c r="D91" s="178"/>
      <c r="E91" s="178"/>
      <c r="F91" s="621"/>
      <c r="G91" s="178" t="s">
        <v>184</v>
      </c>
      <c r="H91" s="192"/>
      <c r="I91" s="554"/>
      <c r="J91" s="614">
        <v>396</v>
      </c>
      <c r="K91" s="614">
        <f t="shared" si="20"/>
        <v>0</v>
      </c>
      <c r="L91" s="192"/>
      <c r="M91" s="192"/>
      <c r="N91" s="623"/>
    </row>
    <row r="92" spans="1:14" s="107" customFormat="1" ht="12.75">
      <c r="A92" s="178"/>
      <c r="B92" s="178"/>
      <c r="C92" s="178"/>
      <c r="D92" s="178"/>
      <c r="E92" s="178"/>
      <c r="F92" s="621"/>
      <c r="G92" s="640" t="s">
        <v>185</v>
      </c>
      <c r="H92" s="192"/>
      <c r="I92" s="554"/>
      <c r="J92" s="614">
        <v>623</v>
      </c>
      <c r="K92" s="614">
        <f t="shared" si="20"/>
        <v>0</v>
      </c>
      <c r="L92" s="192"/>
      <c r="M92" s="192"/>
      <c r="N92" s="623"/>
    </row>
    <row r="93" spans="1:14" s="107" customFormat="1" ht="12.75">
      <c r="A93" s="178"/>
      <c r="B93" s="178"/>
      <c r="C93" s="178"/>
      <c r="D93" s="178"/>
      <c r="E93" s="180" t="s">
        <v>9</v>
      </c>
      <c r="F93" s="622">
        <f>SUM(F88:F92)</f>
        <v>0</v>
      </c>
      <c r="G93" s="180"/>
      <c r="H93" s="180"/>
      <c r="I93" s="554"/>
      <c r="J93" s="614"/>
      <c r="K93" s="152">
        <f>SUM(K88:K92)</f>
        <v>0</v>
      </c>
      <c r="L93" s="152" t="e">
        <f>K93/F93</f>
        <v>#DIV/0!</v>
      </c>
      <c r="M93" s="192"/>
      <c r="N93" s="623"/>
    </row>
    <row r="94" spans="1:14" s="107" customFormat="1" ht="12.75">
      <c r="A94" s="178">
        <v>5928</v>
      </c>
      <c r="B94" s="178" t="s">
        <v>565</v>
      </c>
      <c r="C94" s="178" t="s">
        <v>555</v>
      </c>
      <c r="D94" s="178" t="s">
        <v>556</v>
      </c>
      <c r="E94" s="178" t="s">
        <v>262</v>
      </c>
      <c r="F94" s="638"/>
      <c r="G94" s="179" t="s">
        <v>405</v>
      </c>
      <c r="H94" s="192"/>
      <c r="I94" s="554"/>
      <c r="J94" s="614">
        <v>2125</v>
      </c>
      <c r="K94" s="614">
        <f t="shared" ref="K94:K100" si="21">I94*J94</f>
        <v>0</v>
      </c>
      <c r="L94" s="192"/>
      <c r="M94" s="192"/>
      <c r="N94" s="623"/>
    </row>
    <row r="95" spans="1:14" s="107" customFormat="1">
      <c r="A95" s="178"/>
      <c r="B95" s="178"/>
      <c r="C95" s="178"/>
      <c r="D95" s="178"/>
      <c r="E95" s="178"/>
      <c r="F95" s="621"/>
      <c r="G95" s="179" t="s">
        <v>183</v>
      </c>
      <c r="H95" s="192"/>
      <c r="I95" s="554"/>
      <c r="J95" s="614">
        <v>1950</v>
      </c>
      <c r="K95" s="614">
        <f t="shared" si="21"/>
        <v>0</v>
      </c>
      <c r="L95" s="647"/>
      <c r="M95" s="192"/>
      <c r="N95" s="623"/>
    </row>
    <row r="96" spans="1:14" s="107" customFormat="1">
      <c r="A96" s="178"/>
      <c r="B96" s="178"/>
      <c r="C96" s="178"/>
      <c r="D96" s="178"/>
      <c r="E96" s="178"/>
      <c r="F96" s="621"/>
      <c r="G96" s="179" t="s">
        <v>198</v>
      </c>
      <c r="H96" s="178"/>
      <c r="I96" s="632"/>
      <c r="J96" s="614">
        <v>2852</v>
      </c>
      <c r="K96" s="633">
        <f t="shared" si="21"/>
        <v>0</v>
      </c>
      <c r="L96" s="491"/>
      <c r="M96" s="192"/>
      <c r="N96" s="623"/>
    </row>
    <row r="97" spans="1:14" s="107" customFormat="1" ht="12.75">
      <c r="A97" s="178"/>
      <c r="B97" s="178"/>
      <c r="C97" s="178"/>
      <c r="D97" s="178"/>
      <c r="E97" s="178"/>
      <c r="F97" s="621"/>
      <c r="G97" s="178" t="s">
        <v>356</v>
      </c>
      <c r="H97" s="178"/>
      <c r="I97" s="554"/>
      <c r="J97" s="614">
        <v>178</v>
      </c>
      <c r="K97" s="633">
        <f t="shared" si="21"/>
        <v>0</v>
      </c>
      <c r="L97" s="192"/>
      <c r="M97" s="192"/>
      <c r="N97" s="623"/>
    </row>
    <row r="98" spans="1:14" s="107" customFormat="1" ht="12.75">
      <c r="A98" s="178"/>
      <c r="B98" s="178"/>
      <c r="C98" s="178"/>
      <c r="D98" s="178"/>
      <c r="E98" s="178"/>
      <c r="F98" s="621"/>
      <c r="G98" s="640" t="s">
        <v>185</v>
      </c>
      <c r="H98" s="192"/>
      <c r="I98" s="554"/>
      <c r="J98" s="614">
        <v>623</v>
      </c>
      <c r="K98" s="614">
        <f t="shared" si="21"/>
        <v>0</v>
      </c>
      <c r="L98" s="192"/>
      <c r="M98" s="192"/>
      <c r="N98" s="623"/>
    </row>
    <row r="99" spans="1:14" s="107" customFormat="1" ht="12.75">
      <c r="A99" s="178"/>
      <c r="B99" s="178"/>
      <c r="C99" s="178"/>
      <c r="D99" s="178"/>
      <c r="E99" s="178"/>
      <c r="F99" s="621"/>
      <c r="G99" s="178" t="s">
        <v>28</v>
      </c>
      <c r="H99" s="192"/>
      <c r="I99" s="554"/>
      <c r="J99" s="614">
        <v>17</v>
      </c>
      <c r="K99" s="614">
        <f t="shared" si="21"/>
        <v>0</v>
      </c>
      <c r="L99" s="192"/>
      <c r="M99" s="192"/>
      <c r="N99" s="623"/>
    </row>
    <row r="100" spans="1:14" s="107" customFormat="1" ht="12.75">
      <c r="A100" s="178"/>
      <c r="B100" s="178"/>
      <c r="C100" s="178"/>
      <c r="D100" s="178"/>
      <c r="E100" s="178"/>
      <c r="F100" s="621"/>
      <c r="G100" s="178" t="s">
        <v>17</v>
      </c>
      <c r="H100" s="192"/>
      <c r="I100" s="554"/>
      <c r="J100" s="614">
        <v>34</v>
      </c>
      <c r="K100" s="614">
        <f t="shared" si="21"/>
        <v>0</v>
      </c>
      <c r="L100" s="192"/>
      <c r="M100" s="192"/>
      <c r="N100" s="623"/>
    </row>
    <row r="101" spans="1:14" s="107" customFormat="1" ht="12.75">
      <c r="A101" s="178"/>
      <c r="B101" s="178"/>
      <c r="C101" s="178"/>
      <c r="D101" s="178"/>
      <c r="E101" s="180" t="s">
        <v>9</v>
      </c>
      <c r="F101" s="622">
        <f>SUM(F94:F100)</f>
        <v>0</v>
      </c>
      <c r="G101" s="180"/>
      <c r="H101" s="180"/>
      <c r="I101" s="554"/>
      <c r="J101" s="614"/>
      <c r="K101" s="152">
        <f>SUM(K94:K100)</f>
        <v>0</v>
      </c>
      <c r="L101" s="152" t="e">
        <f>K101/F101</f>
        <v>#DIV/0!</v>
      </c>
      <c r="M101" s="192"/>
      <c r="N101" s="623"/>
    </row>
    <row r="102" spans="1:14" s="107" customFormat="1">
      <c r="A102" s="178">
        <v>5913</v>
      </c>
      <c r="B102" s="178" t="s">
        <v>392</v>
      </c>
      <c r="C102" s="178" t="s">
        <v>643</v>
      </c>
      <c r="D102" s="178" t="s">
        <v>274</v>
      </c>
      <c r="E102" s="178" t="s">
        <v>644</v>
      </c>
      <c r="F102" s="638"/>
      <c r="G102" s="639" t="s">
        <v>190</v>
      </c>
      <c r="H102" s="192"/>
      <c r="I102" s="554"/>
      <c r="J102" s="614">
        <v>890</v>
      </c>
      <c r="K102" s="614">
        <f t="shared" ref="K102:K104" si="22">I102*J102</f>
        <v>0</v>
      </c>
      <c r="L102" s="104"/>
      <c r="M102" s="192"/>
      <c r="N102" s="623"/>
    </row>
    <row r="103" spans="1:14" s="107" customFormat="1">
      <c r="A103" s="178"/>
      <c r="B103" s="178"/>
      <c r="C103" s="178"/>
      <c r="D103" s="178"/>
      <c r="E103" s="178"/>
      <c r="F103" s="621"/>
      <c r="G103" s="640" t="s">
        <v>192</v>
      </c>
      <c r="H103" s="192"/>
      <c r="I103" s="554"/>
      <c r="J103" s="614">
        <v>1742</v>
      </c>
      <c r="K103" s="614">
        <f t="shared" si="22"/>
        <v>0</v>
      </c>
      <c r="L103" s="104"/>
      <c r="M103" s="192"/>
      <c r="N103" s="623"/>
    </row>
    <row r="104" spans="1:14" s="107" customFormat="1">
      <c r="A104" s="178"/>
      <c r="B104" s="178"/>
      <c r="C104" s="178"/>
      <c r="D104" s="178"/>
      <c r="E104" s="178"/>
      <c r="F104" s="621"/>
      <c r="G104" s="179" t="s">
        <v>244</v>
      </c>
      <c r="H104" s="192"/>
      <c r="I104" s="554"/>
      <c r="J104" s="614">
        <v>1341</v>
      </c>
      <c r="K104" s="614">
        <f t="shared" si="22"/>
        <v>0</v>
      </c>
      <c r="L104" s="104"/>
      <c r="M104" s="192"/>
      <c r="N104" s="623"/>
    </row>
    <row r="105" spans="1:14" s="107" customFormat="1" ht="12.75">
      <c r="A105" s="178"/>
      <c r="B105" s="178"/>
      <c r="C105" s="178"/>
      <c r="D105" s="178"/>
      <c r="E105" s="178"/>
      <c r="F105" s="621"/>
      <c r="G105" s="178" t="s">
        <v>356</v>
      </c>
      <c r="H105" s="178"/>
      <c r="I105" s="554"/>
      <c r="J105" s="614">
        <v>178</v>
      </c>
      <c r="K105" s="633">
        <f t="shared" ref="K105:K106" si="23">I105*J105</f>
        <v>0</v>
      </c>
      <c r="L105" s="192"/>
      <c r="M105" s="192"/>
      <c r="N105" s="623"/>
    </row>
    <row r="106" spans="1:14" s="107" customFormat="1" ht="12.75">
      <c r="A106" s="178"/>
      <c r="B106" s="178"/>
      <c r="C106" s="178"/>
      <c r="D106" s="178"/>
      <c r="E106" s="178"/>
      <c r="F106" s="621"/>
      <c r="G106" s="640" t="s">
        <v>185</v>
      </c>
      <c r="H106" s="192"/>
      <c r="I106" s="554"/>
      <c r="J106" s="614">
        <v>623</v>
      </c>
      <c r="K106" s="614">
        <f t="shared" si="23"/>
        <v>0</v>
      </c>
      <c r="L106" s="192"/>
      <c r="M106" s="192"/>
      <c r="N106" s="623"/>
    </row>
    <row r="107" spans="1:14" s="107" customFormat="1" ht="12.75">
      <c r="A107" s="178"/>
      <c r="B107" s="178"/>
      <c r="C107" s="178"/>
      <c r="D107" s="178"/>
      <c r="E107" s="180" t="s">
        <v>9</v>
      </c>
      <c r="F107" s="622">
        <f>SUM(F102:F106)</f>
        <v>0</v>
      </c>
      <c r="G107" s="180"/>
      <c r="H107" s="180"/>
      <c r="I107" s="554"/>
      <c r="J107" s="614"/>
      <c r="K107" s="152">
        <f>SUM(K102:K106)</f>
        <v>0</v>
      </c>
      <c r="L107" s="152" t="e">
        <f>K107/F107</f>
        <v>#DIV/0!</v>
      </c>
      <c r="M107" s="192"/>
      <c r="N107" s="623"/>
    </row>
    <row r="108" spans="1:14" s="107" customFormat="1" ht="12.75">
      <c r="A108" s="178">
        <v>5919</v>
      </c>
      <c r="B108" s="178" t="s">
        <v>551</v>
      </c>
      <c r="C108" s="178" t="s">
        <v>121</v>
      </c>
      <c r="D108" s="178" t="s">
        <v>442</v>
      </c>
      <c r="E108" s="178" t="s">
        <v>270</v>
      </c>
      <c r="F108" s="638"/>
      <c r="G108" s="639" t="s">
        <v>258</v>
      </c>
      <c r="H108" s="192"/>
      <c r="I108" s="554"/>
      <c r="J108" s="614">
        <v>3562</v>
      </c>
      <c r="K108" s="614">
        <f t="shared" ref="K108:K112" si="24">I108*J108</f>
        <v>0</v>
      </c>
      <c r="L108" s="192"/>
      <c r="M108" s="192"/>
      <c r="N108" s="623"/>
    </row>
    <row r="109" spans="1:14" s="107" customFormat="1" ht="12.75">
      <c r="A109" s="178"/>
      <c r="B109" s="178"/>
      <c r="C109" s="178"/>
      <c r="D109" s="178"/>
      <c r="E109" s="178"/>
      <c r="F109" s="621"/>
      <c r="G109" s="639" t="s">
        <v>259</v>
      </c>
      <c r="H109" s="192"/>
      <c r="I109" s="554"/>
      <c r="J109" s="614">
        <v>3520</v>
      </c>
      <c r="K109" s="614">
        <f t="shared" si="24"/>
        <v>0</v>
      </c>
      <c r="L109" s="192"/>
      <c r="M109" s="192"/>
      <c r="N109" s="623"/>
    </row>
    <row r="110" spans="1:14" s="107" customFormat="1" ht="12.75">
      <c r="A110" s="178"/>
      <c r="B110" s="178"/>
      <c r="C110" s="178"/>
      <c r="D110" s="178"/>
      <c r="E110" s="178"/>
      <c r="F110" s="621"/>
      <c r="G110" s="640" t="s">
        <v>260</v>
      </c>
      <c r="H110" s="192"/>
      <c r="I110" s="554"/>
      <c r="J110" s="614">
        <v>4545</v>
      </c>
      <c r="K110" s="614">
        <f t="shared" si="24"/>
        <v>0</v>
      </c>
      <c r="L110" s="192"/>
      <c r="M110" s="192"/>
      <c r="N110" s="623"/>
    </row>
    <row r="111" spans="1:14" s="107" customFormat="1" ht="12.75">
      <c r="A111" s="178"/>
      <c r="B111" s="178"/>
      <c r="C111" s="178"/>
      <c r="D111" s="178"/>
      <c r="E111" s="178"/>
      <c r="F111" s="621"/>
      <c r="G111" s="178" t="s">
        <v>184</v>
      </c>
      <c r="H111" s="192"/>
      <c r="I111" s="554"/>
      <c r="J111" s="614">
        <v>396</v>
      </c>
      <c r="K111" s="614">
        <f t="shared" si="24"/>
        <v>0</v>
      </c>
      <c r="L111" s="192"/>
      <c r="M111" s="192"/>
      <c r="N111" s="623"/>
    </row>
    <row r="112" spans="1:14" s="107" customFormat="1" ht="12.75">
      <c r="A112" s="178"/>
      <c r="B112" s="178"/>
      <c r="C112" s="178"/>
      <c r="D112" s="178"/>
      <c r="E112" s="178"/>
      <c r="F112" s="621"/>
      <c r="G112" s="640" t="s">
        <v>185</v>
      </c>
      <c r="H112" s="192"/>
      <c r="I112" s="632"/>
      <c r="J112" s="614">
        <v>623</v>
      </c>
      <c r="K112" s="614">
        <f t="shared" si="24"/>
        <v>0</v>
      </c>
      <c r="L112" s="192"/>
      <c r="M112" s="192"/>
      <c r="N112" s="623"/>
    </row>
    <row r="113" spans="1:14" s="107" customFormat="1" ht="12.75">
      <c r="A113" s="178"/>
      <c r="B113" s="178"/>
      <c r="C113" s="178"/>
      <c r="D113" s="178"/>
      <c r="E113" s="180" t="s">
        <v>9</v>
      </c>
      <c r="F113" s="622">
        <f>SUM(F108:F112)</f>
        <v>0</v>
      </c>
      <c r="G113" s="180"/>
      <c r="H113" s="180"/>
      <c r="I113" s="554"/>
      <c r="J113" s="614"/>
      <c r="K113" s="152">
        <f>SUM(K108:K112)</f>
        <v>0</v>
      </c>
      <c r="L113" s="152" t="e">
        <f>K113/F113</f>
        <v>#DIV/0!</v>
      </c>
      <c r="M113" s="192"/>
      <c r="N113" s="623"/>
    </row>
    <row r="114" spans="1:14" s="107" customFormat="1" ht="12.75">
      <c r="A114" s="178">
        <v>5929</v>
      </c>
      <c r="B114" s="178" t="s">
        <v>476</v>
      </c>
      <c r="C114" s="178" t="s">
        <v>268</v>
      </c>
      <c r="D114" s="178" t="s">
        <v>124</v>
      </c>
      <c r="E114" s="178" t="s">
        <v>232</v>
      </c>
      <c r="F114" s="638"/>
      <c r="G114" s="639" t="s">
        <v>190</v>
      </c>
      <c r="H114" s="192"/>
      <c r="I114" s="554"/>
      <c r="J114" s="614">
        <v>890</v>
      </c>
      <c r="K114" s="614">
        <f t="shared" ref="K114:K118" si="25">I114*J114</f>
        <v>0</v>
      </c>
      <c r="L114" s="192"/>
      <c r="M114" s="192"/>
      <c r="N114" s="623"/>
    </row>
    <row r="115" spans="1:14" s="107" customFormat="1" ht="12.75">
      <c r="A115" s="178"/>
      <c r="B115" s="178"/>
      <c r="C115" s="178"/>
      <c r="D115" s="178"/>
      <c r="E115" s="178"/>
      <c r="F115" s="621"/>
      <c r="G115" s="640" t="s">
        <v>192</v>
      </c>
      <c r="H115" s="192"/>
      <c r="I115" s="554"/>
      <c r="J115" s="614">
        <v>1742</v>
      </c>
      <c r="K115" s="614">
        <f t="shared" si="25"/>
        <v>0</v>
      </c>
      <c r="L115" s="192"/>
      <c r="M115" s="192"/>
      <c r="N115" s="623"/>
    </row>
    <row r="116" spans="1:14" s="107" customFormat="1" ht="12.75">
      <c r="A116" s="178"/>
      <c r="B116" s="178"/>
      <c r="C116" s="178"/>
      <c r="D116" s="178"/>
      <c r="E116" s="178"/>
      <c r="F116" s="621"/>
      <c r="G116" s="640" t="s">
        <v>199</v>
      </c>
      <c r="H116" s="192"/>
      <c r="I116" s="554"/>
      <c r="J116" s="614">
        <v>674</v>
      </c>
      <c r="K116" s="614">
        <f t="shared" si="25"/>
        <v>0</v>
      </c>
      <c r="L116" s="192"/>
      <c r="M116" s="192"/>
      <c r="N116" s="623"/>
    </row>
    <row r="117" spans="1:14" s="107" customFormat="1" ht="12.75">
      <c r="A117" s="178"/>
      <c r="B117" s="178"/>
      <c r="C117" s="178"/>
      <c r="D117" s="178"/>
      <c r="E117" s="178"/>
      <c r="F117" s="621"/>
      <c r="G117" s="178" t="s">
        <v>184</v>
      </c>
      <c r="H117" s="192"/>
      <c r="I117" s="554"/>
      <c r="J117" s="614">
        <v>396</v>
      </c>
      <c r="K117" s="614">
        <f t="shared" si="25"/>
        <v>0</v>
      </c>
      <c r="L117" s="192"/>
      <c r="M117" s="192"/>
      <c r="N117" s="623"/>
    </row>
    <row r="118" spans="1:14" s="71" customFormat="1">
      <c r="A118" s="153"/>
      <c r="B118" s="153"/>
      <c r="C118" s="153"/>
      <c r="D118" s="153"/>
      <c r="E118" s="153"/>
      <c r="F118" s="645"/>
      <c r="G118" s="724" t="s">
        <v>185</v>
      </c>
      <c r="H118" s="104"/>
      <c r="I118" s="725"/>
      <c r="J118" s="660">
        <v>623</v>
      </c>
      <c r="K118" s="660">
        <f t="shared" si="25"/>
        <v>0</v>
      </c>
      <c r="L118" s="104"/>
      <c r="M118" s="104"/>
      <c r="N118" s="618"/>
    </row>
    <row r="119" spans="1:14" s="71" customFormat="1">
      <c r="A119" s="153"/>
      <c r="B119" s="153"/>
      <c r="C119" s="153"/>
      <c r="D119" s="153"/>
      <c r="E119" s="593" t="s">
        <v>9</v>
      </c>
      <c r="F119" s="726">
        <f>SUM(F114:F118)</f>
        <v>0</v>
      </c>
      <c r="G119" s="593"/>
      <c r="H119" s="593"/>
      <c r="I119" s="725"/>
      <c r="J119" s="660"/>
      <c r="K119" s="175">
        <f>SUM(K114:K118)</f>
        <v>0</v>
      </c>
      <c r="L119" s="175" t="e">
        <f>K119/F119</f>
        <v>#DIV/0!</v>
      </c>
      <c r="M119" s="104"/>
      <c r="N119" s="618"/>
    </row>
    <row r="120" spans="1:14" s="71" customFormat="1" ht="15" customHeight="1">
      <c r="A120" s="153">
        <v>5916</v>
      </c>
      <c r="B120" s="153" t="s">
        <v>277</v>
      </c>
      <c r="C120" s="178" t="s">
        <v>121</v>
      </c>
      <c r="D120" s="153" t="s">
        <v>124</v>
      </c>
      <c r="E120" s="153" t="s">
        <v>132</v>
      </c>
      <c r="F120" s="645"/>
      <c r="G120" s="640" t="s">
        <v>192</v>
      </c>
      <c r="H120" s="192"/>
      <c r="I120" s="554"/>
      <c r="J120" s="614">
        <v>1742</v>
      </c>
      <c r="K120" s="614">
        <f t="shared" ref="K120:K122" si="26">I120*J120</f>
        <v>0</v>
      </c>
      <c r="L120" s="192"/>
      <c r="M120" s="104"/>
      <c r="N120" s="618"/>
    </row>
    <row r="121" spans="1:14" s="71" customFormat="1" ht="15" customHeight="1">
      <c r="A121" s="153"/>
      <c r="B121" s="153"/>
      <c r="C121" s="153"/>
      <c r="D121" s="153"/>
      <c r="E121" s="593"/>
      <c r="F121" s="726"/>
      <c r="G121" s="640" t="s">
        <v>199</v>
      </c>
      <c r="H121" s="192"/>
      <c r="I121" s="554"/>
      <c r="J121" s="614">
        <v>674</v>
      </c>
      <c r="K121" s="614">
        <f t="shared" si="26"/>
        <v>0</v>
      </c>
      <c r="L121" s="192"/>
      <c r="M121" s="104"/>
      <c r="N121" s="618"/>
    </row>
    <row r="122" spans="1:14" s="71" customFormat="1" ht="15" customHeight="1">
      <c r="A122" s="153"/>
      <c r="B122" s="153"/>
      <c r="C122" s="153"/>
      <c r="D122" s="153"/>
      <c r="E122" s="593"/>
      <c r="F122" s="726"/>
      <c r="G122" s="640" t="s">
        <v>193</v>
      </c>
      <c r="H122" s="192"/>
      <c r="I122" s="554"/>
      <c r="J122" s="614">
        <v>1545</v>
      </c>
      <c r="K122" s="614">
        <f t="shared" si="26"/>
        <v>0</v>
      </c>
      <c r="L122" s="192"/>
      <c r="M122" s="104"/>
      <c r="N122" s="618"/>
    </row>
    <row r="123" spans="1:14" s="64" customFormat="1" ht="15" customHeight="1">
      <c r="A123" s="121"/>
      <c r="B123" s="121"/>
      <c r="C123" s="121"/>
      <c r="D123" s="121"/>
      <c r="E123" s="647"/>
      <c r="F123" s="706"/>
      <c r="G123" s="178" t="s">
        <v>184</v>
      </c>
      <c r="H123" s="192"/>
      <c r="I123" s="554"/>
      <c r="J123" s="614">
        <v>396</v>
      </c>
      <c r="K123" s="614">
        <f t="shared" ref="K123:K124" si="27">I123*J123</f>
        <v>0</v>
      </c>
      <c r="L123" s="104"/>
      <c r="M123" s="491"/>
      <c r="N123" s="657"/>
    </row>
    <row r="124" spans="1:14" s="64" customFormat="1" ht="15" customHeight="1">
      <c r="A124" s="121"/>
      <c r="B124" s="121"/>
      <c r="C124" s="121"/>
      <c r="D124" s="121"/>
      <c r="E124" s="647"/>
      <c r="F124" s="706"/>
      <c r="G124" s="724" t="s">
        <v>185</v>
      </c>
      <c r="H124" s="104"/>
      <c r="I124" s="725"/>
      <c r="J124" s="660">
        <v>623</v>
      </c>
      <c r="K124" s="660">
        <f t="shared" si="27"/>
        <v>0</v>
      </c>
      <c r="L124" s="491"/>
      <c r="M124" s="491"/>
      <c r="N124" s="657"/>
    </row>
    <row r="125" spans="1:14" s="64" customFormat="1" ht="15" customHeight="1">
      <c r="A125" s="121"/>
      <c r="B125" s="121"/>
      <c r="C125" s="121"/>
      <c r="D125" s="121"/>
      <c r="E125" s="647" t="s">
        <v>9</v>
      </c>
      <c r="F125" s="706">
        <f>SUM(F120:F124)</f>
        <v>0</v>
      </c>
      <c r="G125" s="647"/>
      <c r="H125" s="647"/>
      <c r="I125" s="707"/>
      <c r="J125" s="708"/>
      <c r="K125" s="60">
        <f>SUM(K120:K124)</f>
        <v>0</v>
      </c>
      <c r="L125" s="60" t="e">
        <f>K125/F125</f>
        <v>#DIV/0!</v>
      </c>
      <c r="M125" s="491"/>
      <c r="N125" s="657"/>
    </row>
    <row r="126" spans="1:14" s="64" customFormat="1" ht="15" customHeight="1">
      <c r="A126" s="178">
        <v>5917</v>
      </c>
      <c r="B126" s="178" t="s">
        <v>645</v>
      </c>
      <c r="C126" s="178" t="s">
        <v>233</v>
      </c>
      <c r="D126" s="178" t="s">
        <v>646</v>
      </c>
      <c r="E126" s="178" t="s">
        <v>647</v>
      </c>
      <c r="F126" s="621"/>
      <c r="G126" s="639" t="s">
        <v>190</v>
      </c>
      <c r="H126" s="192"/>
      <c r="I126" s="554"/>
      <c r="J126" s="614">
        <v>890</v>
      </c>
      <c r="K126" s="614">
        <f t="shared" ref="K126:K128" si="28">I126*J126</f>
        <v>0</v>
      </c>
      <c r="L126" s="192"/>
      <c r="M126" s="491"/>
      <c r="N126" s="657"/>
    </row>
    <row r="127" spans="1:14" s="64" customFormat="1" ht="15" customHeight="1">
      <c r="A127" s="121"/>
      <c r="B127" s="121"/>
      <c r="C127" s="121"/>
      <c r="D127" s="121"/>
      <c r="E127" s="121"/>
      <c r="F127" s="703"/>
      <c r="G127" s="640" t="s">
        <v>192</v>
      </c>
      <c r="H127" s="192"/>
      <c r="I127" s="554"/>
      <c r="J127" s="614">
        <v>1742</v>
      </c>
      <c r="K127" s="614">
        <f t="shared" si="28"/>
        <v>0</v>
      </c>
      <c r="L127" s="192"/>
      <c r="M127" s="491"/>
      <c r="N127" s="657"/>
    </row>
    <row r="128" spans="1:14" s="64" customFormat="1" ht="15" customHeight="1">
      <c r="A128" s="121"/>
      <c r="B128" s="121"/>
      <c r="C128" s="121"/>
      <c r="D128" s="121"/>
      <c r="E128" s="121"/>
      <c r="F128" s="703"/>
      <c r="G128" s="639" t="s">
        <v>315</v>
      </c>
      <c r="H128" s="192"/>
      <c r="I128" s="554"/>
      <c r="J128" s="614">
        <v>2151</v>
      </c>
      <c r="K128" s="614">
        <f t="shared" si="28"/>
        <v>0</v>
      </c>
      <c r="L128" s="192"/>
      <c r="M128" s="491"/>
      <c r="N128" s="657"/>
    </row>
    <row r="129" spans="1:14" s="64" customFormat="1" ht="15" customHeight="1">
      <c r="A129" s="121"/>
      <c r="B129" s="121"/>
      <c r="C129" s="121"/>
      <c r="D129" s="121"/>
      <c r="E129" s="121"/>
      <c r="F129" s="703"/>
      <c r="G129" s="178" t="s">
        <v>184</v>
      </c>
      <c r="H129" s="192"/>
      <c r="I129" s="554"/>
      <c r="J129" s="614">
        <v>396</v>
      </c>
      <c r="K129" s="614">
        <f t="shared" ref="K129:K130" si="29">I129*J129</f>
        <v>0</v>
      </c>
      <c r="L129" s="104"/>
      <c r="M129" s="491"/>
      <c r="N129" s="657"/>
    </row>
    <row r="130" spans="1:14" s="64" customFormat="1" ht="15" customHeight="1">
      <c r="A130" s="121"/>
      <c r="B130" s="121"/>
      <c r="C130" s="121"/>
      <c r="D130" s="121"/>
      <c r="E130" s="121"/>
      <c r="F130" s="703"/>
      <c r="G130" s="640" t="s">
        <v>185</v>
      </c>
      <c r="H130" s="192"/>
      <c r="I130" s="554"/>
      <c r="J130" s="614">
        <v>623</v>
      </c>
      <c r="K130" s="614">
        <f t="shared" si="29"/>
        <v>0</v>
      </c>
      <c r="L130" s="641"/>
      <c r="M130" s="491"/>
      <c r="N130" s="657"/>
    </row>
    <row r="131" spans="1:14" s="64" customFormat="1" ht="15" customHeight="1">
      <c r="A131" s="121"/>
      <c r="B131" s="121"/>
      <c r="C131" s="121"/>
      <c r="D131" s="121"/>
      <c r="E131" s="647" t="s">
        <v>9</v>
      </c>
      <c r="F131" s="706">
        <f>SUM(F126:F130)</f>
        <v>0</v>
      </c>
      <c r="G131" s="647"/>
      <c r="H131" s="647"/>
      <c r="I131" s="707"/>
      <c r="J131" s="708"/>
      <c r="K131" s="60">
        <f>SUM(K126:K130)</f>
        <v>0</v>
      </c>
      <c r="L131" s="60" t="e">
        <f>K131/F131</f>
        <v>#DIV/0!</v>
      </c>
      <c r="M131" s="491"/>
      <c r="N131" s="657"/>
    </row>
    <row r="132" spans="1:14" s="64" customFormat="1" ht="15" customHeight="1">
      <c r="A132" s="121">
        <v>5925</v>
      </c>
      <c r="B132" s="178" t="s">
        <v>444</v>
      </c>
      <c r="C132" s="178" t="s">
        <v>256</v>
      </c>
      <c r="D132" s="178" t="s">
        <v>322</v>
      </c>
      <c r="E132" s="178" t="s">
        <v>410</v>
      </c>
      <c r="F132" s="621"/>
      <c r="G132" s="639" t="s">
        <v>190</v>
      </c>
      <c r="H132" s="192"/>
      <c r="I132" s="554"/>
      <c r="J132" s="614">
        <v>890</v>
      </c>
      <c r="K132" s="614">
        <f t="shared" ref="K132:K136" si="30">I132*J132</f>
        <v>0</v>
      </c>
      <c r="L132" s="192"/>
      <c r="M132" s="491"/>
      <c r="N132" s="657"/>
    </row>
    <row r="133" spans="1:14" s="64" customFormat="1" ht="15" customHeight="1">
      <c r="A133" s="121"/>
      <c r="B133" s="121"/>
      <c r="C133" s="121"/>
      <c r="D133" s="121"/>
      <c r="E133" s="121"/>
      <c r="F133" s="703"/>
      <c r="G133" s="640" t="s">
        <v>281</v>
      </c>
      <c r="H133" s="192"/>
      <c r="I133" s="554"/>
      <c r="J133" s="614">
        <v>1484</v>
      </c>
      <c r="K133" s="614">
        <f t="shared" si="30"/>
        <v>0</v>
      </c>
      <c r="L133" s="192"/>
      <c r="M133" s="491"/>
      <c r="N133" s="657"/>
    </row>
    <row r="134" spans="1:14" s="64" customFormat="1" ht="15" customHeight="1">
      <c r="A134" s="121"/>
      <c r="B134" s="121"/>
      <c r="C134" s="121"/>
      <c r="D134" s="121"/>
      <c r="E134" s="121"/>
      <c r="F134" s="703"/>
      <c r="G134" s="640" t="s">
        <v>191</v>
      </c>
      <c r="H134" s="192"/>
      <c r="I134" s="554"/>
      <c r="J134" s="614">
        <v>1638</v>
      </c>
      <c r="K134" s="614">
        <f t="shared" si="30"/>
        <v>0</v>
      </c>
      <c r="L134" s="192"/>
      <c r="M134" s="491"/>
      <c r="N134" s="657"/>
    </row>
    <row r="135" spans="1:14" s="64" customFormat="1" ht="15" customHeight="1">
      <c r="A135" s="121"/>
      <c r="B135" s="121"/>
      <c r="C135" s="121"/>
      <c r="D135" s="121"/>
      <c r="E135" s="121"/>
      <c r="F135" s="703"/>
      <c r="G135" s="178" t="s">
        <v>184</v>
      </c>
      <c r="H135" s="192"/>
      <c r="I135" s="554"/>
      <c r="J135" s="614">
        <v>396</v>
      </c>
      <c r="K135" s="614">
        <f t="shared" si="30"/>
        <v>0</v>
      </c>
      <c r="L135" s="104"/>
      <c r="M135" s="491"/>
      <c r="N135" s="657"/>
    </row>
    <row r="136" spans="1:14" s="64" customFormat="1" ht="15" customHeight="1">
      <c r="A136" s="121"/>
      <c r="B136" s="121"/>
      <c r="C136" s="121"/>
      <c r="D136" s="121"/>
      <c r="E136" s="121"/>
      <c r="F136" s="703"/>
      <c r="G136" s="640" t="s">
        <v>185</v>
      </c>
      <c r="H136" s="192"/>
      <c r="I136" s="554"/>
      <c r="J136" s="614">
        <v>623</v>
      </c>
      <c r="K136" s="614">
        <f t="shared" si="30"/>
        <v>0</v>
      </c>
      <c r="L136" s="641"/>
      <c r="M136" s="491"/>
      <c r="N136" s="657"/>
    </row>
    <row r="137" spans="1:14" s="64" customFormat="1" ht="15" customHeight="1">
      <c r="A137" s="121"/>
      <c r="B137" s="121"/>
      <c r="C137" s="121"/>
      <c r="D137" s="121"/>
      <c r="E137" s="647" t="s">
        <v>9</v>
      </c>
      <c r="F137" s="706">
        <f>SUM(F132:F136)</f>
        <v>0</v>
      </c>
      <c r="G137" s="647"/>
      <c r="H137" s="647"/>
      <c r="I137" s="707"/>
      <c r="J137" s="708"/>
      <c r="K137" s="60">
        <f>SUM(K132:K136)</f>
        <v>0</v>
      </c>
      <c r="L137" s="60" t="e">
        <f>K137/F137</f>
        <v>#DIV/0!</v>
      </c>
      <c r="M137" s="491"/>
      <c r="N137" s="657"/>
    </row>
    <row r="138" spans="1:14" s="64" customFormat="1" ht="15" customHeight="1">
      <c r="A138" s="121">
        <v>5923</v>
      </c>
      <c r="B138" s="153" t="s">
        <v>645</v>
      </c>
      <c r="C138" s="153" t="s">
        <v>233</v>
      </c>
      <c r="D138" s="153" t="s">
        <v>648</v>
      </c>
      <c r="E138" s="153" t="s">
        <v>114</v>
      </c>
      <c r="F138" s="621"/>
      <c r="G138" s="179" t="s">
        <v>405</v>
      </c>
      <c r="H138" s="192"/>
      <c r="I138" s="554"/>
      <c r="J138" s="614">
        <v>2125</v>
      </c>
      <c r="K138" s="614">
        <f t="shared" ref="K138" si="31">I138*J138</f>
        <v>0</v>
      </c>
      <c r="L138" s="192"/>
      <c r="M138" s="491"/>
      <c r="N138" s="657"/>
    </row>
    <row r="139" spans="1:14" s="64" customFormat="1" ht="15" customHeight="1">
      <c r="A139" s="121"/>
      <c r="B139" s="121"/>
      <c r="C139" s="121"/>
      <c r="D139" s="121"/>
      <c r="E139" s="121"/>
      <c r="F139" s="703"/>
      <c r="G139" s="179" t="s">
        <v>183</v>
      </c>
      <c r="H139" s="192"/>
      <c r="I139" s="554"/>
      <c r="J139" s="614">
        <v>1950</v>
      </c>
      <c r="K139" s="614">
        <f t="shared" ref="K139:K142" si="32">I139*J139</f>
        <v>0</v>
      </c>
      <c r="L139" s="647"/>
      <c r="M139" s="491"/>
      <c r="N139" s="657"/>
    </row>
    <row r="140" spans="1:14" s="64" customFormat="1" ht="15" customHeight="1">
      <c r="A140" s="121"/>
      <c r="B140" s="121"/>
      <c r="C140" s="121"/>
      <c r="D140" s="121"/>
      <c r="E140" s="121"/>
      <c r="F140" s="703"/>
      <c r="G140" s="179" t="s">
        <v>473</v>
      </c>
      <c r="H140" s="178"/>
      <c r="I140" s="632"/>
      <c r="J140" s="614">
        <v>3232</v>
      </c>
      <c r="K140" s="633">
        <f t="shared" si="32"/>
        <v>0</v>
      </c>
      <c r="L140" s="491"/>
      <c r="M140" s="491"/>
      <c r="N140" s="657"/>
    </row>
    <row r="141" spans="1:14" s="64" customFormat="1" ht="15" customHeight="1">
      <c r="A141" s="121"/>
      <c r="B141" s="121"/>
      <c r="C141" s="121"/>
      <c r="D141" s="121"/>
      <c r="E141" s="121"/>
      <c r="F141" s="703"/>
      <c r="G141" s="178" t="s">
        <v>184</v>
      </c>
      <c r="H141" s="192"/>
      <c r="I141" s="554"/>
      <c r="J141" s="614">
        <v>396</v>
      </c>
      <c r="K141" s="614">
        <f t="shared" si="32"/>
        <v>0</v>
      </c>
      <c r="L141" s="104"/>
      <c r="M141" s="491"/>
      <c r="N141" s="657"/>
    </row>
    <row r="142" spans="1:14" s="64" customFormat="1" ht="15" customHeight="1">
      <c r="A142" s="121"/>
      <c r="B142" s="121"/>
      <c r="C142" s="121"/>
      <c r="D142" s="121"/>
      <c r="E142" s="121"/>
      <c r="F142" s="703"/>
      <c r="G142" s="640" t="s">
        <v>185</v>
      </c>
      <c r="H142" s="192"/>
      <c r="I142" s="554"/>
      <c r="J142" s="614">
        <v>623</v>
      </c>
      <c r="K142" s="614">
        <f t="shared" si="32"/>
        <v>0</v>
      </c>
      <c r="L142" s="641"/>
      <c r="M142" s="491"/>
      <c r="N142" s="657"/>
    </row>
    <row r="143" spans="1:14" s="64" customFormat="1" ht="15" customHeight="1">
      <c r="A143" s="121"/>
      <c r="B143" s="121"/>
      <c r="C143" s="121"/>
      <c r="D143" s="121"/>
      <c r="E143" s="647" t="s">
        <v>9</v>
      </c>
      <c r="F143" s="706">
        <f>SUM(F138:F142)</f>
        <v>0</v>
      </c>
      <c r="G143" s="647"/>
      <c r="H143" s="647"/>
      <c r="I143" s="707"/>
      <c r="J143" s="708"/>
      <c r="K143" s="60">
        <f>SUM(K138:K142)</f>
        <v>0</v>
      </c>
      <c r="L143" s="60" t="e">
        <f>K143/F143</f>
        <v>#DIV/0!</v>
      </c>
      <c r="M143" s="491"/>
      <c r="N143" s="657"/>
    </row>
    <row r="144" spans="1:14" s="64" customFormat="1" ht="15" customHeight="1">
      <c r="A144" s="178">
        <v>5921</v>
      </c>
      <c r="B144" s="178" t="s">
        <v>627</v>
      </c>
      <c r="C144" s="178" t="s">
        <v>121</v>
      </c>
      <c r="D144" s="178" t="s">
        <v>442</v>
      </c>
      <c r="E144" s="178" t="s">
        <v>443</v>
      </c>
      <c r="F144" s="621"/>
      <c r="G144" s="179" t="s">
        <v>405</v>
      </c>
      <c r="H144" s="192"/>
      <c r="I144" s="554"/>
      <c r="J144" s="614">
        <v>2125</v>
      </c>
      <c r="K144" s="614">
        <f t="shared" ref="K144:K150" si="33">I144*J144</f>
        <v>0</v>
      </c>
      <c r="L144" s="192"/>
      <c r="M144" s="491"/>
      <c r="N144" s="657"/>
    </row>
    <row r="145" spans="1:14" s="64" customFormat="1" ht="15" customHeight="1">
      <c r="A145" s="121"/>
      <c r="B145" s="121"/>
      <c r="C145" s="121"/>
      <c r="D145" s="121"/>
      <c r="E145" s="121"/>
      <c r="F145" s="703"/>
      <c r="G145" s="179" t="s">
        <v>183</v>
      </c>
      <c r="H145" s="192"/>
      <c r="I145" s="554"/>
      <c r="J145" s="614">
        <v>1950</v>
      </c>
      <c r="K145" s="614">
        <f t="shared" si="33"/>
        <v>0</v>
      </c>
      <c r="L145" s="647"/>
      <c r="M145" s="491"/>
      <c r="N145" s="657"/>
    </row>
    <row r="146" spans="1:14" s="64" customFormat="1" ht="15" customHeight="1">
      <c r="A146" s="121"/>
      <c r="B146" s="121"/>
      <c r="C146" s="121"/>
      <c r="D146" s="121"/>
      <c r="E146" s="121"/>
      <c r="F146" s="703"/>
      <c r="G146" s="179" t="s">
        <v>198</v>
      </c>
      <c r="H146" s="178"/>
      <c r="I146" s="632"/>
      <c r="J146" s="614">
        <v>2852</v>
      </c>
      <c r="K146" s="633">
        <f t="shared" si="33"/>
        <v>0</v>
      </c>
      <c r="L146" s="491"/>
      <c r="M146" s="491"/>
      <c r="N146" s="657"/>
    </row>
    <row r="147" spans="1:14" s="64" customFormat="1" ht="15" customHeight="1">
      <c r="A147" s="121"/>
      <c r="B147" s="121"/>
      <c r="C147" s="121"/>
      <c r="D147" s="121"/>
      <c r="E147" s="121"/>
      <c r="F147" s="703"/>
      <c r="G147" s="178" t="s">
        <v>184</v>
      </c>
      <c r="H147" s="192"/>
      <c r="I147" s="554"/>
      <c r="J147" s="614">
        <v>396</v>
      </c>
      <c r="K147" s="614">
        <f t="shared" si="33"/>
        <v>0</v>
      </c>
      <c r="L147" s="104"/>
      <c r="M147" s="491"/>
      <c r="N147" s="657"/>
    </row>
    <row r="148" spans="1:14" s="64" customFormat="1" ht="15" customHeight="1">
      <c r="A148" s="121"/>
      <c r="B148" s="121"/>
      <c r="C148" s="121"/>
      <c r="D148" s="121"/>
      <c r="E148" s="121"/>
      <c r="F148" s="703"/>
      <c r="G148" s="640" t="s">
        <v>185</v>
      </c>
      <c r="H148" s="192"/>
      <c r="I148" s="554"/>
      <c r="J148" s="614">
        <v>623</v>
      </c>
      <c r="K148" s="614">
        <f t="shared" si="33"/>
        <v>0</v>
      </c>
      <c r="L148" s="641"/>
      <c r="M148" s="491"/>
      <c r="N148" s="657"/>
    </row>
    <row r="149" spans="1:14" s="64" customFormat="1" ht="15" customHeight="1">
      <c r="A149" s="121"/>
      <c r="B149" s="121"/>
      <c r="C149" s="121"/>
      <c r="D149" s="121"/>
      <c r="E149" s="121"/>
      <c r="F149" s="703"/>
      <c r="G149" s="178" t="s">
        <v>28</v>
      </c>
      <c r="H149" s="192"/>
      <c r="I149" s="554"/>
      <c r="J149" s="614">
        <v>17</v>
      </c>
      <c r="K149" s="614">
        <f t="shared" si="33"/>
        <v>0</v>
      </c>
      <c r="L149" s="192"/>
      <c r="M149" s="491"/>
      <c r="N149" s="657"/>
    </row>
    <row r="150" spans="1:14" s="64" customFormat="1" ht="15" customHeight="1">
      <c r="A150" s="121"/>
      <c r="B150" s="121"/>
      <c r="C150" s="121"/>
      <c r="D150" s="121"/>
      <c r="E150" s="121"/>
      <c r="F150" s="703"/>
      <c r="G150" s="178" t="s">
        <v>17</v>
      </c>
      <c r="H150" s="192"/>
      <c r="I150" s="554"/>
      <c r="J150" s="614">
        <v>34</v>
      </c>
      <c r="K150" s="614">
        <f t="shared" si="33"/>
        <v>0</v>
      </c>
      <c r="L150" s="192"/>
      <c r="M150" s="491"/>
      <c r="N150" s="657"/>
    </row>
    <row r="151" spans="1:14" s="71" customFormat="1" ht="15" customHeight="1">
      <c r="A151" s="153"/>
      <c r="B151" s="153"/>
      <c r="C151" s="153"/>
      <c r="D151" s="153"/>
      <c r="E151" s="593" t="s">
        <v>9</v>
      </c>
      <c r="F151" s="726">
        <f>SUM(F144:F148)</f>
        <v>0</v>
      </c>
      <c r="G151" s="593"/>
      <c r="H151" s="593"/>
      <c r="I151" s="725"/>
      <c r="J151" s="660"/>
      <c r="K151" s="175">
        <f>SUM(K144:K150)</f>
        <v>0</v>
      </c>
      <c r="L151" s="175" t="e">
        <f>K151/F151</f>
        <v>#DIV/0!</v>
      </c>
      <c r="M151" s="104"/>
      <c r="N151" s="618"/>
    </row>
    <row r="152" spans="1:14" s="71" customFormat="1" ht="15" customHeight="1">
      <c r="A152" s="727"/>
      <c r="B152" s="727"/>
      <c r="C152" s="727"/>
      <c r="D152" s="728" t="s">
        <v>30</v>
      </c>
      <c r="E152" s="728"/>
      <c r="F152" s="729">
        <f>F93+F101+F107+F113+F119+F125+F131+F137+F143+F151</f>
        <v>0</v>
      </c>
      <c r="G152" s="730"/>
      <c r="H152" s="730"/>
      <c r="I152" s="730"/>
      <c r="J152" s="730"/>
      <c r="K152" s="729">
        <f>K93+K101+K107+K113+K119+K125+K131+K137+K143+K151</f>
        <v>0</v>
      </c>
      <c r="L152" s="731" t="e">
        <f>K152/F152</f>
        <v>#DIV/0!</v>
      </c>
      <c r="M152" s="732"/>
      <c r="N152" s="618"/>
    </row>
    <row r="153" spans="1:14" s="64" customFormat="1" ht="15" customHeight="1">
      <c r="A153" s="702" t="s">
        <v>40</v>
      </c>
      <c r="B153" s="702"/>
      <c r="C153" s="702"/>
      <c r="D153" s="702"/>
      <c r="E153" s="702"/>
      <c r="F153" s="657"/>
      <c r="G153" s="657"/>
      <c r="H153" s="657"/>
      <c r="I153" s="714"/>
      <c r="J153" s="657"/>
      <c r="K153" s="850" t="s">
        <v>1213</v>
      </c>
      <c r="L153" s="850"/>
      <c r="M153" s="850"/>
      <c r="N153" s="657"/>
    </row>
    <row r="154" spans="1:14" s="64" customFormat="1" ht="15" customHeight="1">
      <c r="A154" s="647" t="s">
        <v>0</v>
      </c>
      <c r="B154" s="647" t="s">
        <v>7</v>
      </c>
      <c r="C154" s="647" t="s">
        <v>13</v>
      </c>
      <c r="D154" s="647" t="s">
        <v>14</v>
      </c>
      <c r="E154" s="647" t="s">
        <v>8</v>
      </c>
      <c r="F154" s="647" t="s">
        <v>1</v>
      </c>
      <c r="G154" s="647" t="s">
        <v>2</v>
      </c>
      <c r="H154" s="647" t="s">
        <v>15</v>
      </c>
      <c r="I154" s="715" t="s">
        <v>3</v>
      </c>
      <c r="J154" s="647" t="s">
        <v>4</v>
      </c>
      <c r="K154" s="647" t="s">
        <v>5</v>
      </c>
      <c r="L154" s="647" t="s">
        <v>12</v>
      </c>
      <c r="M154" s="647" t="s">
        <v>6</v>
      </c>
      <c r="N154" s="658"/>
    </row>
    <row r="155" spans="1:14" s="64" customFormat="1">
      <c r="A155" s="178">
        <v>5497</v>
      </c>
      <c r="B155" s="178" t="s">
        <v>627</v>
      </c>
      <c r="C155" s="178" t="s">
        <v>121</v>
      </c>
      <c r="D155" s="178" t="s">
        <v>442</v>
      </c>
      <c r="E155" s="178" t="s">
        <v>443</v>
      </c>
      <c r="F155" s="621"/>
      <c r="G155" s="153" t="s">
        <v>27</v>
      </c>
      <c r="H155" s="104"/>
      <c r="I155" s="725"/>
      <c r="J155" s="660">
        <v>22</v>
      </c>
      <c r="K155" s="660">
        <f t="shared" ref="K155:K157" si="34">I155*J155</f>
        <v>0</v>
      </c>
      <c r="L155" s="121"/>
      <c r="M155" s="121"/>
      <c r="N155" s="648"/>
    </row>
    <row r="156" spans="1:14" s="64" customFormat="1">
      <c r="A156" s="121"/>
      <c r="B156" s="153"/>
      <c r="C156" s="153"/>
      <c r="D156" s="153"/>
      <c r="E156" s="153"/>
      <c r="F156" s="726"/>
      <c r="G156" s="143" t="s">
        <v>49</v>
      </c>
      <c r="H156" s="104"/>
      <c r="I156" s="725"/>
      <c r="J156" s="660">
        <v>34</v>
      </c>
      <c r="K156" s="660">
        <f t="shared" si="34"/>
        <v>0</v>
      </c>
      <c r="L156" s="121"/>
      <c r="M156" s="121"/>
      <c r="N156" s="648"/>
    </row>
    <row r="157" spans="1:14" s="64" customFormat="1">
      <c r="A157" s="121"/>
      <c r="B157" s="121"/>
      <c r="C157" s="121"/>
      <c r="D157" s="121"/>
      <c r="E157" s="121"/>
      <c r="F157" s="121"/>
      <c r="G157" s="153" t="s">
        <v>19</v>
      </c>
      <c r="H157" s="104"/>
      <c r="I157" s="725"/>
      <c r="J157" s="660">
        <v>80</v>
      </c>
      <c r="K157" s="660">
        <f t="shared" si="34"/>
        <v>0</v>
      </c>
      <c r="L157" s="121"/>
      <c r="M157" s="121"/>
      <c r="N157" s="648"/>
    </row>
    <row r="158" spans="1:14" s="64" customFormat="1">
      <c r="A158" s="121"/>
      <c r="B158" s="121"/>
      <c r="C158" s="121"/>
      <c r="D158" s="121"/>
      <c r="E158" s="647" t="s">
        <v>9</v>
      </c>
      <c r="F158" s="706">
        <f>SUM(F155:F157)</f>
        <v>0</v>
      </c>
      <c r="G158" s="647"/>
      <c r="H158" s="647"/>
      <c r="I158" s="707"/>
      <c r="J158" s="708"/>
      <c r="K158" s="60">
        <f>SUM(K155:K157)</f>
        <v>0</v>
      </c>
      <c r="L158" s="60" t="e">
        <f>K158/F158</f>
        <v>#DIV/0!</v>
      </c>
      <c r="M158" s="491"/>
      <c r="N158" s="657"/>
    </row>
    <row r="159" spans="1:14" s="64" customFormat="1">
      <c r="A159" s="178">
        <v>5497</v>
      </c>
      <c r="B159" s="178" t="s">
        <v>642</v>
      </c>
      <c r="C159" s="178" t="s">
        <v>555</v>
      </c>
      <c r="D159" s="178" t="s">
        <v>556</v>
      </c>
      <c r="E159" s="178" t="s">
        <v>262</v>
      </c>
      <c r="F159" s="638"/>
      <c r="G159" s="153" t="s">
        <v>27</v>
      </c>
      <c r="H159" s="104"/>
      <c r="I159" s="725"/>
      <c r="J159" s="660">
        <v>22</v>
      </c>
      <c r="K159" s="660">
        <f t="shared" ref="K159:K161" si="35">I159*J159</f>
        <v>0</v>
      </c>
      <c r="L159" s="121"/>
      <c r="M159" s="121"/>
      <c r="N159" s="648"/>
    </row>
    <row r="160" spans="1:14" s="64" customFormat="1">
      <c r="A160" s="121"/>
      <c r="B160" s="153"/>
      <c r="C160" s="153"/>
      <c r="D160" s="153"/>
      <c r="E160" s="153"/>
      <c r="F160" s="703"/>
      <c r="G160" s="143" t="s">
        <v>49</v>
      </c>
      <c r="H160" s="104"/>
      <c r="I160" s="725"/>
      <c r="J160" s="660">
        <v>34</v>
      </c>
      <c r="K160" s="660">
        <f t="shared" si="35"/>
        <v>0</v>
      </c>
      <c r="L160" s="121"/>
      <c r="M160" s="121"/>
      <c r="N160" s="648"/>
    </row>
    <row r="161" spans="1:14" s="64" customFormat="1">
      <c r="A161" s="121"/>
      <c r="B161" s="121"/>
      <c r="C161" s="121"/>
      <c r="D161" s="121"/>
      <c r="E161" s="121"/>
      <c r="F161" s="121"/>
      <c r="G161" s="153" t="s">
        <v>19</v>
      </c>
      <c r="H161" s="104"/>
      <c r="I161" s="725"/>
      <c r="J161" s="660">
        <v>80</v>
      </c>
      <c r="K161" s="660">
        <f t="shared" si="35"/>
        <v>0</v>
      </c>
      <c r="L161" s="121"/>
      <c r="M161" s="121"/>
      <c r="N161" s="648"/>
    </row>
    <row r="162" spans="1:14" s="64" customFormat="1">
      <c r="A162" s="121"/>
      <c r="B162" s="121"/>
      <c r="C162" s="121"/>
      <c r="D162" s="121"/>
      <c r="E162" s="647" t="s">
        <v>9</v>
      </c>
      <c r="F162" s="706">
        <f>SUM(F159:F161)</f>
        <v>0</v>
      </c>
      <c r="G162" s="647"/>
      <c r="H162" s="647"/>
      <c r="I162" s="707"/>
      <c r="J162" s="708"/>
      <c r="K162" s="60">
        <f>SUM(K159:K161)</f>
        <v>0</v>
      </c>
      <c r="L162" s="60" t="e">
        <f>K162/F162</f>
        <v>#DIV/0!</v>
      </c>
      <c r="M162" s="491"/>
      <c r="N162" s="657"/>
    </row>
    <row r="163" spans="1:14" s="64" customFormat="1">
      <c r="A163" s="121">
        <v>5108</v>
      </c>
      <c r="B163" s="178" t="s">
        <v>570</v>
      </c>
      <c r="C163" s="178" t="s">
        <v>121</v>
      </c>
      <c r="D163" s="178" t="s">
        <v>74</v>
      </c>
      <c r="E163" s="178" t="s">
        <v>129</v>
      </c>
      <c r="F163" s="638"/>
      <c r="G163" s="153" t="s">
        <v>27</v>
      </c>
      <c r="H163" s="104"/>
      <c r="I163" s="725"/>
      <c r="J163" s="660">
        <v>22</v>
      </c>
      <c r="K163" s="660">
        <f t="shared" ref="K163:K165" si="36">I163*J163</f>
        <v>0</v>
      </c>
      <c r="L163" s="121"/>
      <c r="M163" s="121"/>
      <c r="N163" s="648"/>
    </row>
    <row r="164" spans="1:14" s="64" customFormat="1">
      <c r="A164" s="121"/>
      <c r="B164" s="121"/>
      <c r="C164" s="121"/>
      <c r="D164" s="121"/>
      <c r="E164" s="153"/>
      <c r="F164" s="703"/>
      <c r="G164" s="143" t="s">
        <v>49</v>
      </c>
      <c r="H164" s="104"/>
      <c r="I164" s="725"/>
      <c r="J164" s="660">
        <v>34</v>
      </c>
      <c r="K164" s="660">
        <f t="shared" si="36"/>
        <v>0</v>
      </c>
      <c r="L164" s="121"/>
      <c r="M164" s="121"/>
      <c r="N164" s="648"/>
    </row>
    <row r="165" spans="1:14" s="64" customFormat="1">
      <c r="A165" s="121"/>
      <c r="B165" s="121"/>
      <c r="C165" s="121"/>
      <c r="D165" s="121"/>
      <c r="E165" s="121"/>
      <c r="F165" s="121"/>
      <c r="G165" s="153" t="s">
        <v>19</v>
      </c>
      <c r="H165" s="104"/>
      <c r="I165" s="725"/>
      <c r="J165" s="660">
        <v>80</v>
      </c>
      <c r="K165" s="660">
        <f t="shared" si="36"/>
        <v>0</v>
      </c>
      <c r="L165" s="121"/>
      <c r="M165" s="121"/>
      <c r="N165" s="648"/>
    </row>
    <row r="166" spans="1:14" s="64" customFormat="1">
      <c r="A166" s="121"/>
      <c r="B166" s="121"/>
      <c r="C166" s="121"/>
      <c r="D166" s="121"/>
      <c r="E166" s="647" t="s">
        <v>9</v>
      </c>
      <c r="F166" s="706">
        <f>SUM(F163:F165)</f>
        <v>0</v>
      </c>
      <c r="G166" s="647"/>
      <c r="H166" s="647"/>
      <c r="I166" s="707"/>
      <c r="J166" s="708"/>
      <c r="K166" s="60">
        <f>SUM(K163:K165)</f>
        <v>0</v>
      </c>
      <c r="L166" s="60" t="e">
        <f>K166/F166</f>
        <v>#DIV/0!</v>
      </c>
      <c r="M166" s="121"/>
      <c r="N166" s="648"/>
    </row>
    <row r="167" spans="1:14" s="64" customFormat="1">
      <c r="A167" s="709"/>
      <c r="B167" s="709"/>
      <c r="C167" s="709"/>
      <c r="D167" s="611" t="s">
        <v>30</v>
      </c>
      <c r="E167" s="716"/>
      <c r="F167" s="710">
        <f>F158+F162+F166</f>
        <v>0</v>
      </c>
      <c r="G167" s="711"/>
      <c r="H167" s="711"/>
      <c r="I167" s="711"/>
      <c r="J167" s="711"/>
      <c r="K167" s="710">
        <f>K158+K162+K166</f>
        <v>0</v>
      </c>
      <c r="L167" s="712" t="e">
        <f>K167/F167</f>
        <v>#DIV/0!</v>
      </c>
      <c r="M167" s="713"/>
      <c r="N167" s="657"/>
    </row>
    <row r="168" spans="1:14">
      <c r="A168" s="702" t="s">
        <v>11</v>
      </c>
      <c r="B168" s="702"/>
      <c r="C168" s="702"/>
      <c r="D168" s="702"/>
      <c r="E168" s="702"/>
      <c r="F168" s="657"/>
      <c r="G168" s="657"/>
      <c r="H168" s="657"/>
      <c r="I168" s="657"/>
      <c r="J168" s="657"/>
      <c r="K168" s="850" t="s">
        <v>1213</v>
      </c>
      <c r="L168" s="850"/>
      <c r="M168" s="850"/>
      <c r="N168" s="657"/>
    </row>
    <row r="169" spans="1:14">
      <c r="A169" s="647" t="s">
        <v>0</v>
      </c>
      <c r="B169" s="647" t="s">
        <v>7</v>
      </c>
      <c r="C169" s="647" t="s">
        <v>13</v>
      </c>
      <c r="D169" s="647" t="s">
        <v>14</v>
      </c>
      <c r="E169" s="647" t="s">
        <v>8</v>
      </c>
      <c r="F169" s="647" t="s">
        <v>1</v>
      </c>
      <c r="G169" s="647" t="s">
        <v>2</v>
      </c>
      <c r="H169" s="647" t="s">
        <v>15</v>
      </c>
      <c r="I169" s="647" t="s">
        <v>3</v>
      </c>
      <c r="J169" s="647" t="s">
        <v>4</v>
      </c>
      <c r="K169" s="647" t="s">
        <v>5</v>
      </c>
      <c r="L169" s="647" t="s">
        <v>12</v>
      </c>
      <c r="M169" s="647" t="s">
        <v>6</v>
      </c>
      <c r="N169" s="658"/>
    </row>
    <row r="170" spans="1:14">
      <c r="A170" s="178">
        <v>5690</v>
      </c>
      <c r="B170" s="178" t="s">
        <v>477</v>
      </c>
      <c r="C170" s="178" t="s">
        <v>121</v>
      </c>
      <c r="D170" s="178" t="s">
        <v>113</v>
      </c>
      <c r="E170" s="178" t="s">
        <v>132</v>
      </c>
      <c r="F170" s="638"/>
      <c r="G170" s="179" t="s">
        <v>298</v>
      </c>
      <c r="H170" s="192"/>
      <c r="I170" s="554"/>
      <c r="J170" s="614">
        <v>435</v>
      </c>
      <c r="K170" s="633">
        <f t="shared" ref="K170:K172" si="37">I170*J170</f>
        <v>0</v>
      </c>
      <c r="L170" s="491"/>
      <c r="M170" s="491"/>
      <c r="N170" s="657"/>
    </row>
    <row r="171" spans="1:14">
      <c r="A171" s="121"/>
      <c r="B171" s="121"/>
      <c r="C171" s="121"/>
      <c r="D171" s="121"/>
      <c r="E171" s="121"/>
      <c r="F171" s="703"/>
      <c r="G171" s="179" t="s">
        <v>206</v>
      </c>
      <c r="H171" s="192"/>
      <c r="I171" s="614"/>
      <c r="J171" s="614">
        <v>375</v>
      </c>
      <c r="K171" s="614">
        <f t="shared" si="37"/>
        <v>0</v>
      </c>
      <c r="L171" s="491"/>
      <c r="M171" s="491"/>
      <c r="N171" s="657"/>
    </row>
    <row r="172" spans="1:14">
      <c r="A172" s="121"/>
      <c r="B172" s="121"/>
      <c r="C172" s="121"/>
      <c r="D172" s="121"/>
      <c r="E172" s="121"/>
      <c r="F172" s="703"/>
      <c r="G172" s="179" t="s">
        <v>512</v>
      </c>
      <c r="H172" s="192"/>
      <c r="I172" s="554"/>
      <c r="J172" s="614">
        <v>248</v>
      </c>
      <c r="K172" s="614">
        <f t="shared" si="37"/>
        <v>0</v>
      </c>
      <c r="L172" s="104"/>
      <c r="M172" s="491"/>
      <c r="N172" s="657"/>
    </row>
    <row r="173" spans="1:14">
      <c r="A173" s="121"/>
      <c r="B173" s="121"/>
      <c r="C173" s="121"/>
      <c r="D173" s="121"/>
      <c r="E173" s="647" t="s">
        <v>9</v>
      </c>
      <c r="F173" s="706">
        <f>SUM(F170:F170)</f>
        <v>0</v>
      </c>
      <c r="G173" s="647"/>
      <c r="H173" s="647"/>
      <c r="I173" s="708"/>
      <c r="J173" s="708"/>
      <c r="K173" s="60">
        <f>SUM(K170:K172)</f>
        <v>0</v>
      </c>
      <c r="L173" s="60" t="e">
        <f>K173/F173</f>
        <v>#DIV/0!</v>
      </c>
      <c r="M173" s="491"/>
      <c r="N173" s="657"/>
    </row>
    <row r="174" spans="1:14">
      <c r="A174" s="178">
        <v>5691</v>
      </c>
      <c r="B174" s="178" t="s">
        <v>581</v>
      </c>
      <c r="C174" s="178" t="s">
        <v>531</v>
      </c>
      <c r="D174" s="178" t="s">
        <v>274</v>
      </c>
      <c r="E174" s="178" t="s">
        <v>102</v>
      </c>
      <c r="F174" s="621"/>
      <c r="G174" s="179" t="s">
        <v>298</v>
      </c>
      <c r="H174" s="192"/>
      <c r="I174" s="554"/>
      <c r="J174" s="614">
        <v>435</v>
      </c>
      <c r="K174" s="633">
        <f t="shared" ref="K174:K175" si="38">I174*J174</f>
        <v>0</v>
      </c>
      <c r="L174" s="491"/>
      <c r="M174" s="491"/>
      <c r="N174" s="657"/>
    </row>
    <row r="175" spans="1:14">
      <c r="A175" s="121"/>
      <c r="B175" s="121"/>
      <c r="C175" s="121"/>
      <c r="D175" s="121"/>
      <c r="E175" s="121"/>
      <c r="F175" s="621"/>
      <c r="G175" s="179" t="s">
        <v>206</v>
      </c>
      <c r="H175" s="192"/>
      <c r="I175" s="614"/>
      <c r="J175" s="614">
        <v>375</v>
      </c>
      <c r="K175" s="614">
        <f t="shared" si="38"/>
        <v>0</v>
      </c>
      <c r="L175" s="491"/>
      <c r="M175" s="491"/>
      <c r="N175" s="657"/>
    </row>
    <row r="176" spans="1:14">
      <c r="A176" s="121"/>
      <c r="B176" s="121"/>
      <c r="C176" s="121"/>
      <c r="D176" s="121"/>
      <c r="E176" s="647" t="s">
        <v>9</v>
      </c>
      <c r="F176" s="706">
        <f>SUM(F174:F175)</f>
        <v>0</v>
      </c>
      <c r="G176" s="647"/>
      <c r="H176" s="647"/>
      <c r="I176" s="708"/>
      <c r="J176" s="708"/>
      <c r="K176" s="60">
        <f>SUM(K174:K175)</f>
        <v>0</v>
      </c>
      <c r="L176" s="60" t="e">
        <f>K176/F176</f>
        <v>#DIV/0!</v>
      </c>
      <c r="M176" s="491"/>
      <c r="N176" s="657"/>
    </row>
    <row r="177" spans="1:14">
      <c r="A177" s="121">
        <v>5692</v>
      </c>
      <c r="B177" s="178" t="s">
        <v>533</v>
      </c>
      <c r="C177" s="178" t="s">
        <v>121</v>
      </c>
      <c r="D177" s="178" t="s">
        <v>74</v>
      </c>
      <c r="E177" s="178" t="s">
        <v>316</v>
      </c>
      <c r="F177" s="638"/>
      <c r="G177" s="179" t="s">
        <v>206</v>
      </c>
      <c r="H177" s="192"/>
      <c r="I177" s="614"/>
      <c r="J177" s="614">
        <v>375</v>
      </c>
      <c r="K177" s="614">
        <f t="shared" ref="K177:K180" si="39">I177*J177</f>
        <v>0</v>
      </c>
      <c r="L177" s="192"/>
      <c r="M177" s="491"/>
      <c r="N177" s="657"/>
    </row>
    <row r="178" spans="1:14">
      <c r="A178" s="121"/>
      <c r="B178" s="121"/>
      <c r="C178" s="121"/>
      <c r="D178" s="121"/>
      <c r="E178" s="121"/>
      <c r="F178" s="621"/>
      <c r="G178" s="178" t="s">
        <v>202</v>
      </c>
      <c r="H178" s="192"/>
      <c r="I178" s="614"/>
      <c r="J178" s="152">
        <v>386</v>
      </c>
      <c r="K178" s="614">
        <f t="shared" si="39"/>
        <v>0</v>
      </c>
      <c r="L178" s="192"/>
      <c r="M178" s="491"/>
      <c r="N178" s="657"/>
    </row>
    <row r="179" spans="1:14">
      <c r="A179" s="121"/>
      <c r="B179" s="121"/>
      <c r="C179" s="121"/>
      <c r="D179" s="121"/>
      <c r="E179" s="121"/>
      <c r="F179" s="621"/>
      <c r="G179" s="179" t="s">
        <v>512</v>
      </c>
      <c r="H179" s="192"/>
      <c r="I179" s="554"/>
      <c r="J179" s="614">
        <v>248</v>
      </c>
      <c r="K179" s="614">
        <f t="shared" si="39"/>
        <v>0</v>
      </c>
      <c r="L179" s="104"/>
      <c r="M179" s="491"/>
      <c r="N179" s="657"/>
    </row>
    <row r="180" spans="1:14">
      <c r="A180" s="121"/>
      <c r="B180" s="121"/>
      <c r="C180" s="121"/>
      <c r="D180" s="121"/>
      <c r="E180" s="121"/>
      <c r="F180" s="621"/>
      <c r="G180" s="179" t="s">
        <v>298</v>
      </c>
      <c r="H180" s="192"/>
      <c r="I180" s="554"/>
      <c r="J180" s="614">
        <v>435</v>
      </c>
      <c r="K180" s="633">
        <f t="shared" si="39"/>
        <v>0</v>
      </c>
      <c r="L180" s="192"/>
      <c r="M180" s="491"/>
      <c r="N180" s="657"/>
    </row>
    <row r="181" spans="1:14">
      <c r="A181" s="121"/>
      <c r="B181" s="121"/>
      <c r="C181" s="121"/>
      <c r="D181" s="121"/>
      <c r="E181" s="647" t="s">
        <v>9</v>
      </c>
      <c r="F181" s="706">
        <f>SUM(F177:F180)</f>
        <v>0</v>
      </c>
      <c r="G181" s="647"/>
      <c r="H181" s="647"/>
      <c r="I181" s="708"/>
      <c r="J181" s="708"/>
      <c r="K181" s="60">
        <f>SUM(K177:K180)</f>
        <v>0</v>
      </c>
      <c r="L181" s="60" t="e">
        <f>K181/F181</f>
        <v>#DIV/0!</v>
      </c>
      <c r="M181" s="491"/>
      <c r="N181" s="657"/>
    </row>
    <row r="182" spans="1:14">
      <c r="A182" s="657"/>
      <c r="B182" s="657"/>
      <c r="C182" s="657"/>
      <c r="D182" s="611" t="s">
        <v>30</v>
      </c>
      <c r="E182" s="611"/>
      <c r="F182" s="710">
        <f>F173+F176+F181</f>
        <v>0</v>
      </c>
      <c r="G182" s="711"/>
      <c r="H182" s="711"/>
      <c r="I182" s="711"/>
      <c r="J182" s="711"/>
      <c r="K182" s="710">
        <f>K173+K176+K181</f>
        <v>0</v>
      </c>
      <c r="L182" s="712" t="e">
        <f>K182/F182</f>
        <v>#DIV/0!</v>
      </c>
      <c r="M182" s="657"/>
      <c r="N182" s="657"/>
    </row>
    <row r="183" spans="1:14">
      <c r="A183" s="702" t="s">
        <v>42</v>
      </c>
      <c r="B183" s="702"/>
      <c r="C183" s="702"/>
      <c r="D183" s="702"/>
      <c r="E183" s="702"/>
      <c r="F183" s="657"/>
      <c r="G183" s="657"/>
      <c r="H183" s="657"/>
      <c r="I183" s="657"/>
      <c r="J183" s="657"/>
      <c r="K183" s="850" t="s">
        <v>1213</v>
      </c>
      <c r="L183" s="850"/>
      <c r="M183" s="850"/>
      <c r="N183" s="657"/>
    </row>
    <row r="184" spans="1:14">
      <c r="A184" s="647" t="s">
        <v>0</v>
      </c>
      <c r="B184" s="647" t="s">
        <v>7</v>
      </c>
      <c r="C184" s="647" t="s">
        <v>13</v>
      </c>
      <c r="D184" s="647" t="s">
        <v>14</v>
      </c>
      <c r="E184" s="647" t="s">
        <v>8</v>
      </c>
      <c r="F184" s="647" t="s">
        <v>1</v>
      </c>
      <c r="G184" s="647" t="s">
        <v>2</v>
      </c>
      <c r="H184" s="647" t="s">
        <v>15</v>
      </c>
      <c r="I184" s="647" t="s">
        <v>3</v>
      </c>
      <c r="J184" s="647" t="s">
        <v>4</v>
      </c>
      <c r="K184" s="647" t="s">
        <v>5</v>
      </c>
      <c r="L184" s="647" t="s">
        <v>12</v>
      </c>
      <c r="M184" s="647" t="s">
        <v>6</v>
      </c>
      <c r="N184" s="658"/>
    </row>
    <row r="185" spans="1:14">
      <c r="A185" s="121">
        <v>4811</v>
      </c>
      <c r="B185" s="178" t="s">
        <v>374</v>
      </c>
      <c r="C185" s="178" t="s">
        <v>675</v>
      </c>
      <c r="D185" s="178" t="s">
        <v>636</v>
      </c>
      <c r="E185" s="178" t="s">
        <v>93</v>
      </c>
      <c r="F185" s="638"/>
      <c r="G185" s="640" t="s">
        <v>209</v>
      </c>
      <c r="H185" s="192"/>
      <c r="I185" s="554"/>
      <c r="J185" s="614">
        <v>350</v>
      </c>
      <c r="K185" s="614">
        <f t="shared" ref="K185:K186" si="40">I185*J185</f>
        <v>0</v>
      </c>
      <c r="L185" s="192"/>
      <c r="M185" s="491"/>
      <c r="N185" s="657"/>
    </row>
    <row r="186" spans="1:14">
      <c r="A186" s="121"/>
      <c r="B186" s="121"/>
      <c r="C186" s="121"/>
      <c r="D186" s="121"/>
      <c r="E186" s="121"/>
      <c r="F186" s="703"/>
      <c r="G186" s="178" t="s">
        <v>80</v>
      </c>
      <c r="H186" s="192"/>
      <c r="I186" s="554"/>
      <c r="J186" s="614">
        <v>720</v>
      </c>
      <c r="K186" s="614">
        <f t="shared" si="40"/>
        <v>0</v>
      </c>
      <c r="L186" s="192"/>
      <c r="M186" s="491"/>
      <c r="N186" s="657"/>
    </row>
    <row r="187" spans="1:14">
      <c r="A187" s="121"/>
      <c r="B187" s="121"/>
      <c r="C187" s="121"/>
      <c r="D187" s="121"/>
      <c r="E187" s="121"/>
      <c r="F187" s="703"/>
      <c r="G187" s="179" t="s">
        <v>211</v>
      </c>
      <c r="H187" s="192"/>
      <c r="I187" s="554"/>
      <c r="J187" s="614">
        <v>120</v>
      </c>
      <c r="K187" s="614">
        <f>I187*J187</f>
        <v>0</v>
      </c>
      <c r="L187" s="192"/>
      <c r="M187" s="491"/>
      <c r="N187" s="657"/>
    </row>
    <row r="188" spans="1:14">
      <c r="A188" s="121"/>
      <c r="B188" s="121"/>
      <c r="C188" s="121"/>
      <c r="D188" s="121"/>
      <c r="E188" s="121"/>
      <c r="F188" s="703"/>
      <c r="G188" s="179" t="s">
        <v>212</v>
      </c>
      <c r="H188" s="192"/>
      <c r="I188" s="554"/>
      <c r="J188" s="614">
        <v>280</v>
      </c>
      <c r="K188" s="614">
        <f t="shared" ref="K188:K190" si="41">I188*J188</f>
        <v>0</v>
      </c>
      <c r="L188" s="192"/>
      <c r="M188" s="491"/>
      <c r="N188" s="657"/>
    </row>
    <row r="189" spans="1:14">
      <c r="A189" s="121"/>
      <c r="B189" s="121"/>
      <c r="C189" s="121"/>
      <c r="D189" s="121"/>
      <c r="E189" s="121"/>
      <c r="F189" s="703"/>
      <c r="G189" s="179" t="s">
        <v>213</v>
      </c>
      <c r="H189" s="192"/>
      <c r="I189" s="554"/>
      <c r="J189" s="614">
        <v>348</v>
      </c>
      <c r="K189" s="614">
        <f t="shared" si="41"/>
        <v>0</v>
      </c>
      <c r="L189" s="192"/>
      <c r="M189" s="491"/>
      <c r="N189" s="657"/>
    </row>
    <row r="190" spans="1:14">
      <c r="A190" s="121"/>
      <c r="B190" s="121"/>
      <c r="C190" s="121"/>
      <c r="D190" s="121"/>
      <c r="E190" s="121"/>
      <c r="F190" s="703"/>
      <c r="G190" s="179" t="s">
        <v>45</v>
      </c>
      <c r="H190" s="192"/>
      <c r="I190" s="554"/>
      <c r="J190" s="614">
        <v>45</v>
      </c>
      <c r="K190" s="614">
        <f t="shared" si="41"/>
        <v>0</v>
      </c>
      <c r="L190" s="192"/>
      <c r="M190" s="491"/>
      <c r="N190" s="657"/>
    </row>
    <row r="191" spans="1:14">
      <c r="A191" s="121"/>
      <c r="B191" s="121"/>
      <c r="C191" s="121"/>
      <c r="D191" s="121"/>
      <c r="E191" s="647" t="s">
        <v>9</v>
      </c>
      <c r="F191" s="706">
        <f>SUM(F185:F190)</f>
        <v>0</v>
      </c>
      <c r="G191" s="647"/>
      <c r="H191" s="647"/>
      <c r="I191" s="708"/>
      <c r="J191" s="708"/>
      <c r="K191" s="60">
        <f>SUM(K185:K190)</f>
        <v>0</v>
      </c>
      <c r="L191" s="60" t="e">
        <f>K191/F191</f>
        <v>#DIV/0!</v>
      </c>
      <c r="M191" s="491"/>
      <c r="N191" s="657"/>
    </row>
    <row r="192" spans="1:14">
      <c r="A192" s="121">
        <v>4812</v>
      </c>
      <c r="B192" s="178" t="s">
        <v>676</v>
      </c>
      <c r="C192" s="178" t="s">
        <v>256</v>
      </c>
      <c r="D192" s="178" t="s">
        <v>274</v>
      </c>
      <c r="E192" s="178" t="s">
        <v>93</v>
      </c>
      <c r="F192" s="638"/>
      <c r="G192" s="640" t="s">
        <v>209</v>
      </c>
      <c r="H192" s="192"/>
      <c r="I192" s="554"/>
      <c r="J192" s="614">
        <v>350</v>
      </c>
      <c r="K192" s="614">
        <f t="shared" ref="K192:K194" si="42">I192*J192</f>
        <v>0</v>
      </c>
      <c r="L192" s="192"/>
      <c r="M192" s="491"/>
      <c r="N192" s="657"/>
    </row>
    <row r="193" spans="1:14">
      <c r="A193" s="121"/>
      <c r="B193" s="121"/>
      <c r="C193" s="121"/>
      <c r="D193" s="121"/>
      <c r="E193" s="121"/>
      <c r="F193" s="703"/>
      <c r="G193" s="640" t="s">
        <v>466</v>
      </c>
      <c r="H193" s="162"/>
      <c r="I193" s="554"/>
      <c r="J193" s="614">
        <v>790</v>
      </c>
      <c r="K193" s="614">
        <f t="shared" si="42"/>
        <v>0</v>
      </c>
      <c r="L193" s="192"/>
      <c r="M193" s="491"/>
      <c r="N193" s="657"/>
    </row>
    <row r="194" spans="1:14">
      <c r="A194" s="121"/>
      <c r="B194" s="121"/>
      <c r="C194" s="121"/>
      <c r="D194" s="121"/>
      <c r="E194" s="121"/>
      <c r="F194" s="703"/>
      <c r="G194" s="640" t="s">
        <v>123</v>
      </c>
      <c r="H194" s="192"/>
      <c r="I194" s="554"/>
      <c r="J194" s="614">
        <v>750</v>
      </c>
      <c r="K194" s="614">
        <f t="shared" si="42"/>
        <v>0</v>
      </c>
      <c r="L194" s="491"/>
      <c r="M194" s="491"/>
      <c r="N194" s="657"/>
    </row>
    <row r="195" spans="1:14">
      <c r="A195" s="121"/>
      <c r="B195" s="121"/>
      <c r="C195" s="121"/>
      <c r="D195" s="121"/>
      <c r="E195" s="121"/>
      <c r="F195" s="703"/>
      <c r="G195" s="179" t="s">
        <v>211</v>
      </c>
      <c r="H195" s="192"/>
      <c r="I195" s="554"/>
      <c r="J195" s="614">
        <v>120</v>
      </c>
      <c r="K195" s="614">
        <f>I195*J195</f>
        <v>0</v>
      </c>
      <c r="L195" s="491"/>
      <c r="M195" s="491"/>
      <c r="N195" s="657"/>
    </row>
    <row r="196" spans="1:14">
      <c r="A196" s="121"/>
      <c r="B196" s="121"/>
      <c r="C196" s="121"/>
      <c r="D196" s="121"/>
      <c r="E196" s="121"/>
      <c r="F196" s="703"/>
      <c r="G196" s="179" t="s">
        <v>212</v>
      </c>
      <c r="H196" s="192"/>
      <c r="I196" s="554"/>
      <c r="J196" s="614">
        <v>527</v>
      </c>
      <c r="K196" s="614">
        <f t="shared" ref="K196:K198" si="43">I196*J196</f>
        <v>0</v>
      </c>
      <c r="L196" s="491"/>
      <c r="M196" s="491"/>
      <c r="N196" s="657"/>
    </row>
    <row r="197" spans="1:14">
      <c r="A197" s="121"/>
      <c r="B197" s="121"/>
      <c r="C197" s="121"/>
      <c r="D197" s="121"/>
      <c r="E197" s="121"/>
      <c r="F197" s="703"/>
      <c r="G197" s="179" t="s">
        <v>45</v>
      </c>
      <c r="H197" s="192"/>
      <c r="I197" s="554"/>
      <c r="J197" s="614">
        <v>45</v>
      </c>
      <c r="K197" s="614">
        <f t="shared" si="43"/>
        <v>0</v>
      </c>
      <c r="L197" s="491"/>
      <c r="M197" s="491"/>
      <c r="N197" s="657"/>
    </row>
    <row r="198" spans="1:14">
      <c r="A198" s="121"/>
      <c r="B198" s="121"/>
      <c r="C198" s="121"/>
      <c r="D198" s="121"/>
      <c r="E198" s="121"/>
      <c r="F198" s="703"/>
      <c r="G198" s="179" t="s">
        <v>213</v>
      </c>
      <c r="H198" s="192"/>
      <c r="I198" s="554"/>
      <c r="J198" s="614">
        <v>348</v>
      </c>
      <c r="K198" s="614">
        <f t="shared" si="43"/>
        <v>0</v>
      </c>
      <c r="L198" s="491"/>
      <c r="M198" s="491"/>
      <c r="N198" s="657"/>
    </row>
    <row r="199" spans="1:14">
      <c r="A199" s="121"/>
      <c r="B199" s="121"/>
      <c r="C199" s="121"/>
      <c r="D199" s="121"/>
      <c r="E199" s="647" t="s">
        <v>9</v>
      </c>
      <c r="F199" s="706">
        <f>SUM(F192:F198)</f>
        <v>0</v>
      </c>
      <c r="G199" s="647"/>
      <c r="H199" s="647"/>
      <c r="I199" s="708"/>
      <c r="J199" s="708"/>
      <c r="K199" s="60">
        <f>SUM(K192:K198)</f>
        <v>0</v>
      </c>
      <c r="L199" s="60" t="e">
        <f>K199/F199</f>
        <v>#DIV/0!</v>
      </c>
      <c r="M199" s="491"/>
      <c r="N199" s="657"/>
    </row>
    <row r="200" spans="1:14">
      <c r="A200" s="121">
        <v>4813</v>
      </c>
      <c r="B200" s="178" t="s">
        <v>392</v>
      </c>
      <c r="C200" s="121" t="s">
        <v>375</v>
      </c>
      <c r="D200" s="121" t="s">
        <v>274</v>
      </c>
      <c r="E200" s="121" t="s">
        <v>93</v>
      </c>
      <c r="F200" s="703"/>
      <c r="G200" s="640" t="s">
        <v>677</v>
      </c>
      <c r="H200" s="192"/>
      <c r="I200" s="554"/>
      <c r="J200" s="614">
        <v>680</v>
      </c>
      <c r="K200" s="614">
        <f t="shared" ref="K200:K202" si="44">I200*J200</f>
        <v>0</v>
      </c>
      <c r="L200" s="192"/>
      <c r="M200" s="491"/>
      <c r="N200" s="657"/>
    </row>
    <row r="201" spans="1:14">
      <c r="A201" s="121"/>
      <c r="B201" s="121"/>
      <c r="C201" s="121"/>
      <c r="D201" s="121"/>
      <c r="E201" s="121"/>
      <c r="F201" s="703"/>
      <c r="G201" s="178" t="s">
        <v>80</v>
      </c>
      <c r="H201" s="192"/>
      <c r="I201" s="554"/>
      <c r="J201" s="614">
        <v>720</v>
      </c>
      <c r="K201" s="614">
        <f t="shared" si="44"/>
        <v>0</v>
      </c>
      <c r="L201" s="192"/>
      <c r="M201" s="491"/>
      <c r="N201" s="657"/>
    </row>
    <row r="202" spans="1:14">
      <c r="A202" s="121"/>
      <c r="B202" s="121"/>
      <c r="C202" s="121"/>
      <c r="D202" s="121"/>
      <c r="E202" s="121"/>
      <c r="F202" s="703"/>
      <c r="G202" s="640" t="s">
        <v>221</v>
      </c>
      <c r="H202" s="661"/>
      <c r="I202" s="662"/>
      <c r="J202" s="614">
        <v>980</v>
      </c>
      <c r="K202" s="614">
        <f t="shared" si="44"/>
        <v>0</v>
      </c>
      <c r="L202" s="104"/>
      <c r="M202" s="491"/>
      <c r="N202" s="657"/>
    </row>
    <row r="203" spans="1:14">
      <c r="A203" s="121"/>
      <c r="B203" s="121"/>
      <c r="C203" s="121"/>
      <c r="D203" s="121"/>
      <c r="E203" s="121"/>
      <c r="F203" s="703"/>
      <c r="G203" s="179" t="s">
        <v>211</v>
      </c>
      <c r="H203" s="192"/>
      <c r="I203" s="554"/>
      <c r="J203" s="614">
        <v>120</v>
      </c>
      <c r="K203" s="614">
        <f>I203*J203</f>
        <v>0</v>
      </c>
      <c r="L203" s="491"/>
      <c r="M203" s="491"/>
      <c r="N203" s="657"/>
    </row>
    <row r="204" spans="1:14">
      <c r="A204" s="121"/>
      <c r="B204" s="121"/>
      <c r="C204" s="121"/>
      <c r="D204" s="121"/>
      <c r="E204" s="121"/>
      <c r="F204" s="703"/>
      <c r="G204" s="179" t="s">
        <v>212</v>
      </c>
      <c r="H204" s="192"/>
      <c r="I204" s="554"/>
      <c r="J204" s="614">
        <v>527</v>
      </c>
      <c r="K204" s="614">
        <f t="shared" ref="K204:K206" si="45">I204*J204</f>
        <v>0</v>
      </c>
      <c r="L204" s="491"/>
      <c r="M204" s="491"/>
      <c r="N204" s="657"/>
    </row>
    <row r="205" spans="1:14">
      <c r="A205" s="121"/>
      <c r="B205" s="121"/>
      <c r="C205" s="121"/>
      <c r="D205" s="121"/>
      <c r="E205" s="121"/>
      <c r="F205" s="703"/>
      <c r="G205" s="179" t="s">
        <v>45</v>
      </c>
      <c r="H205" s="192"/>
      <c r="I205" s="554"/>
      <c r="J205" s="614">
        <v>45</v>
      </c>
      <c r="K205" s="614">
        <f t="shared" si="45"/>
        <v>0</v>
      </c>
      <c r="L205" s="491"/>
      <c r="M205" s="491"/>
      <c r="N205" s="657"/>
    </row>
    <row r="206" spans="1:14">
      <c r="A206" s="121"/>
      <c r="B206" s="121"/>
      <c r="C206" s="121"/>
      <c r="D206" s="121"/>
      <c r="E206" s="121"/>
      <c r="F206" s="703"/>
      <c r="G206" s="179" t="s">
        <v>213</v>
      </c>
      <c r="H206" s="192"/>
      <c r="I206" s="554"/>
      <c r="J206" s="614">
        <v>348</v>
      </c>
      <c r="K206" s="614">
        <f t="shared" si="45"/>
        <v>0</v>
      </c>
      <c r="L206" s="491"/>
      <c r="M206" s="491"/>
      <c r="N206" s="657"/>
    </row>
    <row r="207" spans="1:14">
      <c r="A207" s="121"/>
      <c r="B207" s="121"/>
      <c r="C207" s="121"/>
      <c r="D207" s="121"/>
      <c r="E207" s="121"/>
      <c r="F207" s="703"/>
      <c r="G207" s="179" t="s">
        <v>214</v>
      </c>
      <c r="H207" s="192"/>
      <c r="I207" s="554"/>
      <c r="J207" s="614">
        <v>360</v>
      </c>
      <c r="K207" s="614">
        <f t="shared" ref="K207" si="46">I207*J207</f>
        <v>0</v>
      </c>
      <c r="L207" s="192"/>
      <c r="M207" s="491"/>
      <c r="N207" s="657"/>
    </row>
    <row r="208" spans="1:14">
      <c r="A208" s="121"/>
      <c r="B208" s="121"/>
      <c r="C208" s="121"/>
      <c r="D208" s="121"/>
      <c r="E208" s="647" t="s">
        <v>9</v>
      </c>
      <c r="F208" s="706">
        <f>SUM(F200:F207)</f>
        <v>0</v>
      </c>
      <c r="G208" s="647"/>
      <c r="H208" s="647"/>
      <c r="I208" s="708"/>
      <c r="J208" s="708"/>
      <c r="K208" s="60">
        <f>SUM(K200:K207)</f>
        <v>0</v>
      </c>
      <c r="L208" s="60" t="e">
        <f>K208/F208</f>
        <v>#DIV/0!</v>
      </c>
      <c r="M208" s="491"/>
      <c r="N208" s="657"/>
    </row>
    <row r="209" spans="1:14">
      <c r="A209" s="657"/>
      <c r="B209" s="657"/>
      <c r="C209" s="657"/>
      <c r="D209" s="611" t="s">
        <v>30</v>
      </c>
      <c r="E209" s="611"/>
      <c r="F209" s="710">
        <f>F191+F199+F208</f>
        <v>0</v>
      </c>
      <c r="G209" s="711"/>
      <c r="H209" s="711"/>
      <c r="I209" s="711"/>
      <c r="J209" s="711"/>
      <c r="K209" s="710">
        <f>K191+K199+K208</f>
        <v>0</v>
      </c>
      <c r="L209" s="712" t="e">
        <f>K209/F209</f>
        <v>#DIV/0!</v>
      </c>
      <c r="M209" s="657"/>
      <c r="N209" s="657"/>
    </row>
    <row r="210" spans="1:14" s="71" customFormat="1" ht="15" customHeight="1">
      <c r="A210" s="618"/>
      <c r="B210" s="618"/>
      <c r="C210" s="618"/>
      <c r="D210" s="618"/>
      <c r="E210" s="618"/>
      <c r="F210" s="618"/>
      <c r="G210" s="618"/>
      <c r="H210" s="618"/>
      <c r="I210" s="618"/>
      <c r="J210" s="618"/>
      <c r="K210" s="618"/>
      <c r="L210" s="618"/>
      <c r="M210" s="618"/>
      <c r="N210" s="618"/>
    </row>
    <row r="211" spans="1:14" ht="15" customHeight="1">
      <c r="A211" s="657"/>
      <c r="B211" s="657"/>
      <c r="C211" s="657"/>
      <c r="D211" s="657"/>
      <c r="E211" s="657"/>
      <c r="F211" s="657"/>
      <c r="G211" s="657"/>
      <c r="H211" s="657"/>
      <c r="I211" s="657"/>
      <c r="J211" s="657"/>
      <c r="K211" s="657"/>
      <c r="L211" s="657"/>
      <c r="M211" s="657"/>
      <c r="N211" s="657"/>
    </row>
    <row r="212" spans="1:14" ht="15" customHeight="1">
      <c r="A212" s="657"/>
      <c r="B212" s="31"/>
      <c r="C212" s="31"/>
      <c r="D212" s="624" t="s">
        <v>1009</v>
      </c>
      <c r="E212" s="665">
        <f>F209</f>
        <v>0</v>
      </c>
      <c r="F212" s="624"/>
      <c r="G212" s="625">
        <f>K209</f>
        <v>0</v>
      </c>
      <c r="H212" s="626"/>
      <c r="I212" s="626"/>
      <c r="J212" s="626"/>
      <c r="K212" s="626"/>
      <c r="L212" s="625" t="e">
        <f>G212/E212</f>
        <v>#DIV/0!</v>
      </c>
      <c r="M212" s="657"/>
      <c r="N212" s="657"/>
    </row>
    <row r="213" spans="1:14" ht="15" customHeight="1">
      <c r="A213" s="657"/>
      <c r="B213" s="31"/>
      <c r="C213" s="31"/>
      <c r="D213" s="162" t="s">
        <v>855</v>
      </c>
      <c r="E213" s="666"/>
      <c r="F213" s="162"/>
      <c r="G213" s="667">
        <f>K200</f>
        <v>0</v>
      </c>
      <c r="H213" s="668"/>
      <c r="I213" s="667">
        <f>'01'!G241+'02'!G288+'03'!G381+'04'!G291</f>
        <v>0</v>
      </c>
      <c r="J213" s="669">
        <f>G213+M226</f>
        <v>0</v>
      </c>
      <c r="K213" s="670"/>
      <c r="L213" s="671"/>
      <c r="M213" s="657"/>
      <c r="N213" s="657"/>
    </row>
    <row r="214" spans="1:14" ht="15" customHeight="1">
      <c r="A214" s="657"/>
      <c r="B214" s="31"/>
      <c r="C214" s="31"/>
      <c r="D214" s="672" t="s">
        <v>854</v>
      </c>
      <c r="E214" s="673"/>
      <c r="F214" s="672"/>
      <c r="G214" s="674">
        <f>G212-G213</f>
        <v>0</v>
      </c>
      <c r="H214" s="675"/>
      <c r="I214" s="676">
        <f>'01'!G242+'02'!G289+'03'!G382+'04'!G292</f>
        <v>0</v>
      </c>
      <c r="J214" s="677"/>
      <c r="K214" s="677"/>
      <c r="L214" s="678"/>
      <c r="M214" s="657"/>
      <c r="N214" s="657"/>
    </row>
    <row r="215" spans="1:14" ht="15" customHeight="1">
      <c r="A215" s="657"/>
      <c r="B215" s="31"/>
      <c r="C215" s="31"/>
      <c r="D215" s="162" t="s">
        <v>853</v>
      </c>
      <c r="E215" s="679"/>
      <c r="F215" s="162"/>
      <c r="G215" s="680">
        <f>SUM(G213:G214)</f>
        <v>0</v>
      </c>
      <c r="H215" s="681"/>
      <c r="I215" s="682">
        <f>'01'!G240+'02'!G287+'03'!G380+'04'!G290</f>
        <v>0</v>
      </c>
      <c r="J215" s="681"/>
      <c r="K215" s="681"/>
      <c r="L215" s="683" t="e">
        <f>G215/E212</f>
        <v>#DIV/0!</v>
      </c>
      <c r="M215" s="657"/>
      <c r="N215" s="657"/>
    </row>
    <row r="216" spans="1:14" ht="15" customHeight="1">
      <c r="A216" s="657"/>
      <c r="B216" s="31"/>
      <c r="C216" s="31"/>
      <c r="D216" s="684" t="s">
        <v>906</v>
      </c>
      <c r="E216" s="685"/>
      <c r="F216" s="162"/>
      <c r="G216" s="409">
        <f>M226</f>
        <v>0</v>
      </c>
      <c r="H216" s="686"/>
      <c r="I216" s="687"/>
      <c r="J216" s="687"/>
      <c r="K216" s="688"/>
      <c r="L216" s="657"/>
      <c r="M216" s="657"/>
      <c r="N216" s="657"/>
    </row>
    <row r="217" spans="1:14" ht="15" customHeight="1">
      <c r="A217" s="657"/>
      <c r="B217" s="31"/>
      <c r="C217" s="31"/>
      <c r="D217" s="616"/>
      <c r="E217" s="616"/>
      <c r="F217" s="616"/>
      <c r="G217" s="616"/>
      <c r="H217" s="689"/>
      <c r="I217" s="616"/>
      <c r="J217" s="616"/>
      <c r="K217" s="616"/>
      <c r="L217" s="616"/>
      <c r="M217" s="657"/>
      <c r="N217" s="657"/>
    </row>
    <row r="218" spans="1:14" ht="15" customHeight="1">
      <c r="A218" s="657"/>
      <c r="B218" s="31"/>
      <c r="C218" s="31"/>
      <c r="D218" s="854" t="s">
        <v>852</v>
      </c>
      <c r="E218" s="854"/>
      <c r="F218" s="690">
        <f>G234</f>
        <v>0</v>
      </c>
      <c r="G218" s="616"/>
      <c r="H218" s="500" t="s">
        <v>908</v>
      </c>
      <c r="I218" s="855" t="s">
        <v>199</v>
      </c>
      <c r="J218" s="856"/>
      <c r="K218" s="554"/>
      <c r="L218" s="614">
        <v>530</v>
      </c>
      <c r="M218" s="614">
        <f t="shared" ref="M218:M223" si="47">K218*L218</f>
        <v>0</v>
      </c>
      <c r="N218" s="657"/>
    </row>
    <row r="219" spans="1:14" ht="15" customHeight="1">
      <c r="A219" s="657"/>
      <c r="B219" s="31"/>
      <c r="C219" s="31"/>
      <c r="D219" s="854" t="s">
        <v>835</v>
      </c>
      <c r="E219" s="854"/>
      <c r="F219" s="690">
        <f>G224+G225</f>
        <v>0</v>
      </c>
      <c r="G219" s="616"/>
      <c r="H219" s="500" t="s">
        <v>909</v>
      </c>
      <c r="I219" s="855" t="s">
        <v>196</v>
      </c>
      <c r="J219" s="856"/>
      <c r="K219" s="554"/>
      <c r="L219" s="614">
        <v>888</v>
      </c>
      <c r="M219" s="614">
        <f t="shared" si="47"/>
        <v>0</v>
      </c>
      <c r="N219" s="657"/>
    </row>
    <row r="220" spans="1:14" ht="15" customHeight="1">
      <c r="A220" s="657"/>
      <c r="B220" s="31"/>
      <c r="C220" s="31"/>
      <c r="D220" s="854" t="s">
        <v>836</v>
      </c>
      <c r="E220" s="854"/>
      <c r="F220" s="690">
        <f>SUM(F218:F219)</f>
        <v>0</v>
      </c>
      <c r="G220" s="616"/>
      <c r="H220" s="500" t="s">
        <v>910</v>
      </c>
      <c r="I220" s="855" t="s">
        <v>192</v>
      </c>
      <c r="J220" s="856"/>
      <c r="K220" s="554"/>
      <c r="L220" s="614">
        <v>1126</v>
      </c>
      <c r="M220" s="614">
        <f t="shared" si="47"/>
        <v>0</v>
      </c>
      <c r="N220" s="657"/>
    </row>
    <row r="221" spans="1:14" ht="15" customHeight="1">
      <c r="A221" s="657"/>
      <c r="B221" s="31"/>
      <c r="C221" s="31"/>
      <c r="D221" s="691" t="s">
        <v>847</v>
      </c>
      <c r="E221" s="691"/>
      <c r="F221" s="690">
        <f>F218-G214</f>
        <v>0</v>
      </c>
      <c r="G221" s="616"/>
      <c r="H221" s="500" t="s">
        <v>908</v>
      </c>
      <c r="I221" s="857" t="s">
        <v>460</v>
      </c>
      <c r="J221" s="858"/>
      <c r="K221" s="554"/>
      <c r="L221" s="614">
        <v>920</v>
      </c>
      <c r="M221" s="614">
        <f t="shared" si="47"/>
        <v>0</v>
      </c>
      <c r="N221" s="657"/>
    </row>
    <row r="222" spans="1:14" ht="15" customHeight="1">
      <c r="A222" s="657"/>
      <c r="B222" s="31"/>
      <c r="C222" s="31"/>
      <c r="D222" s="616"/>
      <c r="E222" s="616"/>
      <c r="F222" s="616"/>
      <c r="G222" s="616"/>
      <c r="H222" s="500" t="s">
        <v>912</v>
      </c>
      <c r="I222" s="859" t="s">
        <v>315</v>
      </c>
      <c r="J222" s="860"/>
      <c r="K222" s="554"/>
      <c r="L222" s="614">
        <v>2184</v>
      </c>
      <c r="M222" s="614">
        <f t="shared" si="47"/>
        <v>0</v>
      </c>
      <c r="N222" s="657"/>
    </row>
    <row r="223" spans="1:14" ht="15" customHeight="1">
      <c r="A223" s="657"/>
      <c r="B223" s="861" t="s">
        <v>833</v>
      </c>
      <c r="C223" s="862"/>
      <c r="D223" s="180" t="s">
        <v>844</v>
      </c>
      <c r="E223" s="180" t="s">
        <v>845</v>
      </c>
      <c r="F223" s="180" t="s">
        <v>846</v>
      </c>
      <c r="G223" s="180" t="s">
        <v>5</v>
      </c>
      <c r="H223" s="500" t="s">
        <v>911</v>
      </c>
      <c r="I223" s="855" t="s">
        <v>286</v>
      </c>
      <c r="J223" s="856"/>
      <c r="K223" s="554"/>
      <c r="L223" s="614">
        <v>2065</v>
      </c>
      <c r="M223" s="614">
        <f t="shared" si="47"/>
        <v>0</v>
      </c>
      <c r="N223" s="657"/>
    </row>
    <row r="224" spans="1:14" ht="15" customHeight="1">
      <c r="A224" s="657"/>
      <c r="B224" s="31"/>
      <c r="C224" s="31"/>
      <c r="D224" s="180" t="s">
        <v>837</v>
      </c>
      <c r="E224" s="162">
        <v>15.5</v>
      </c>
      <c r="F224" s="692"/>
      <c r="G224" s="693">
        <f>F224*E224</f>
        <v>0</v>
      </c>
      <c r="H224" s="500" t="s">
        <v>909</v>
      </c>
      <c r="I224" s="844"/>
      <c r="J224" s="845"/>
      <c r="K224" s="491"/>
      <c r="L224" s="491"/>
      <c r="M224" s="489"/>
      <c r="N224" s="657"/>
    </row>
    <row r="225" spans="1:14" ht="15" customHeight="1">
      <c r="A225" s="657"/>
      <c r="B225" s="31"/>
      <c r="C225" s="31"/>
      <c r="D225" s="180" t="s">
        <v>1062</v>
      </c>
      <c r="E225" s="162">
        <v>34</v>
      </c>
      <c r="F225" s="692"/>
      <c r="G225" s="693">
        <f t="shared" ref="G225:G231" si="48">F225*E225</f>
        <v>0</v>
      </c>
      <c r="H225" s="500" t="s">
        <v>911</v>
      </c>
      <c r="I225" s="864"/>
      <c r="J225" s="865"/>
      <c r="K225" s="352"/>
      <c r="L225" s="352"/>
      <c r="M225" s="491"/>
      <c r="N225" s="657"/>
    </row>
    <row r="226" spans="1:14" ht="15" customHeight="1">
      <c r="A226" s="648"/>
      <c r="B226" s="616"/>
      <c r="C226" s="616"/>
      <c r="D226" s="694" t="s">
        <v>843</v>
      </c>
      <c r="E226" s="124"/>
      <c r="F226" s="488">
        <f>SUM(F224:F225)</f>
        <v>0</v>
      </c>
      <c r="G226" s="695">
        <f>SUM(G224:G225)</f>
        <v>0</v>
      </c>
      <c r="H226" s="616"/>
      <c r="I226" s="844" t="s">
        <v>906</v>
      </c>
      <c r="J226" s="845"/>
      <c r="K226" s="490">
        <f>SUM(K218:K225)</f>
        <v>0</v>
      </c>
      <c r="L226" s="491"/>
      <c r="M226" s="489">
        <f>SUM(M218:M225)</f>
        <v>0</v>
      </c>
      <c r="N226" s="657"/>
    </row>
    <row r="227" spans="1:14" ht="15" customHeight="1">
      <c r="A227" s="657"/>
      <c r="B227" s="31"/>
      <c r="C227" s="31"/>
      <c r="D227" s="180" t="s">
        <v>1070</v>
      </c>
      <c r="E227" s="162">
        <v>227</v>
      </c>
      <c r="F227" s="692"/>
      <c r="G227" s="693">
        <f t="shared" si="48"/>
        <v>0</v>
      </c>
      <c r="H227" s="616"/>
      <c r="I227" s="616"/>
      <c r="J227" s="616"/>
      <c r="K227" s="616"/>
      <c r="L227" s="616"/>
      <c r="M227" s="696">
        <f>G213+M226</f>
        <v>0</v>
      </c>
      <c r="N227" s="657"/>
    </row>
    <row r="228" spans="1:14" ht="15" customHeight="1">
      <c r="A228" s="657"/>
      <c r="B228" s="31"/>
      <c r="C228" s="31"/>
      <c r="D228" s="180" t="s">
        <v>1065</v>
      </c>
      <c r="E228" s="615">
        <v>165</v>
      </c>
      <c r="F228" s="692"/>
      <c r="G228" s="693">
        <f t="shared" si="48"/>
        <v>0</v>
      </c>
      <c r="H228" s="616"/>
      <c r="I228" s="616"/>
      <c r="J228" s="616"/>
      <c r="K228" s="616"/>
      <c r="L228" s="616"/>
      <c r="M228" s="657"/>
      <c r="N228" s="657"/>
    </row>
    <row r="229" spans="1:14" ht="15" customHeight="1">
      <c r="A229" s="657"/>
      <c r="B229" s="31"/>
      <c r="C229" s="31"/>
      <c r="D229" s="697" t="s">
        <v>1066</v>
      </c>
      <c r="E229" s="615">
        <v>165</v>
      </c>
      <c r="F229" s="692"/>
      <c r="G229" s="693">
        <f t="shared" si="48"/>
        <v>0</v>
      </c>
      <c r="H229" s="616"/>
      <c r="I229" s="616"/>
      <c r="J229" s="616"/>
      <c r="K229" s="616"/>
      <c r="L229" s="616"/>
      <c r="M229" s="657"/>
      <c r="N229" s="657"/>
    </row>
    <row r="230" spans="1:14" ht="15" customHeight="1">
      <c r="A230" s="657"/>
      <c r="B230" s="31"/>
      <c r="C230" s="31"/>
      <c r="D230" s="180" t="s">
        <v>1067</v>
      </c>
      <c r="E230" s="615">
        <v>416</v>
      </c>
      <c r="F230" s="698"/>
      <c r="G230" s="693">
        <f t="shared" si="48"/>
        <v>0</v>
      </c>
      <c r="H230" s="616"/>
      <c r="I230" s="616"/>
      <c r="J230" s="616"/>
      <c r="K230" s="616"/>
      <c r="L230" s="616"/>
      <c r="M230" s="657"/>
      <c r="N230" s="657"/>
    </row>
    <row r="231" spans="1:14" ht="15" customHeight="1">
      <c r="A231" s="657"/>
      <c r="B231" s="31"/>
      <c r="C231" s="31"/>
      <c r="D231" s="180" t="s">
        <v>907</v>
      </c>
      <c r="E231" s="615">
        <v>46</v>
      </c>
      <c r="F231" s="692"/>
      <c r="G231" s="693">
        <f t="shared" si="48"/>
        <v>0</v>
      </c>
      <c r="H231" s="31"/>
      <c r="I231" s="31"/>
      <c r="J231" s="31"/>
      <c r="K231" s="31"/>
      <c r="L231" s="31"/>
      <c r="M231" s="657"/>
      <c r="N231" s="657"/>
    </row>
    <row r="232" spans="1:14" ht="15" customHeight="1">
      <c r="A232" s="657"/>
      <c r="B232" s="31"/>
      <c r="C232" s="31"/>
      <c r="D232" s="180" t="s">
        <v>27</v>
      </c>
      <c r="E232" s="162">
        <v>22</v>
      </c>
      <c r="F232" s="692"/>
      <c r="G232" s="693"/>
      <c r="H232" s="657"/>
      <c r="I232" s="657"/>
      <c r="J232" s="657"/>
      <c r="K232" s="657"/>
      <c r="L232" s="657"/>
      <c r="M232" s="657"/>
      <c r="N232" s="657"/>
    </row>
    <row r="233" spans="1:14" ht="15" customHeight="1">
      <c r="A233" s="657"/>
      <c r="B233" s="31"/>
      <c r="C233" s="31"/>
      <c r="D233" s="180" t="s">
        <v>1062</v>
      </c>
      <c r="E233" s="162">
        <v>34</v>
      </c>
      <c r="F233" s="692"/>
      <c r="G233" s="693"/>
      <c r="H233" s="657"/>
      <c r="I233" s="657"/>
      <c r="J233" s="657"/>
      <c r="K233" s="657"/>
      <c r="L233" s="657"/>
      <c r="M233" s="657"/>
      <c r="N233" s="657"/>
    </row>
    <row r="234" spans="1:14" ht="15" customHeight="1">
      <c r="A234" s="657"/>
      <c r="B234" s="31"/>
      <c r="C234" s="31"/>
      <c r="D234" s="180" t="s">
        <v>24</v>
      </c>
      <c r="E234" s="162">
        <v>74</v>
      </c>
      <c r="F234" s="692"/>
      <c r="G234" s="693"/>
      <c r="H234" s="657"/>
      <c r="I234" s="657"/>
      <c r="J234" s="657"/>
      <c r="K234" s="657"/>
      <c r="L234" s="657"/>
      <c r="M234" s="657"/>
      <c r="N234" s="657"/>
    </row>
    <row r="235" spans="1:14" ht="15" customHeight="1">
      <c r="A235" s="657"/>
      <c r="B235" s="31"/>
      <c r="C235" s="31"/>
      <c r="D235" s="699" t="s">
        <v>185</v>
      </c>
      <c r="E235" s="162">
        <v>490</v>
      </c>
      <c r="F235" s="692"/>
      <c r="G235" s="693"/>
      <c r="H235" s="657"/>
      <c r="I235" s="657"/>
      <c r="J235" s="657"/>
      <c r="K235" s="657"/>
      <c r="L235" s="657"/>
      <c r="M235" s="657"/>
      <c r="N235" s="657"/>
    </row>
    <row r="236" spans="1:14" ht="15" customHeight="1">
      <c r="A236" s="657"/>
      <c r="B236" s="657"/>
      <c r="C236" s="657"/>
      <c r="D236" s="180" t="s">
        <v>184</v>
      </c>
      <c r="E236" s="162">
        <v>336</v>
      </c>
      <c r="F236" s="692"/>
      <c r="G236" s="693"/>
      <c r="H236" s="657"/>
      <c r="I236" s="657"/>
      <c r="J236" s="657"/>
      <c r="K236" s="657"/>
      <c r="L236" s="657"/>
      <c r="M236" s="657"/>
      <c r="N236" s="657"/>
    </row>
    <row r="237" spans="1:14" ht="15" customHeight="1">
      <c r="A237" s="657"/>
      <c r="B237" s="657"/>
      <c r="C237" s="657"/>
      <c r="D237" s="697" t="s">
        <v>968</v>
      </c>
      <c r="E237" s="162">
        <v>360</v>
      </c>
      <c r="F237" s="692"/>
      <c r="G237" s="693"/>
      <c r="H237" s="657"/>
      <c r="I237" s="657"/>
      <c r="J237" s="657"/>
      <c r="K237" s="657"/>
      <c r="L237" s="657"/>
      <c r="M237" s="657"/>
      <c r="N237" s="657"/>
    </row>
    <row r="238" spans="1:14" ht="15" customHeight="1">
      <c r="A238" s="657"/>
      <c r="B238" s="657"/>
      <c r="C238" s="657"/>
      <c r="D238" s="700" t="s">
        <v>843</v>
      </c>
      <c r="E238" s="162"/>
      <c r="F238" s="692">
        <f>SUM(F227:F231)</f>
        <v>0</v>
      </c>
      <c r="G238" s="693">
        <f>SUM(G227:G231)</f>
        <v>0</v>
      </c>
      <c r="H238" s="657"/>
      <c r="I238" s="657"/>
      <c r="J238" s="657"/>
      <c r="K238" s="657"/>
      <c r="L238" s="657"/>
      <c r="M238" s="657"/>
      <c r="N238" s="657"/>
    </row>
    <row r="239" spans="1:14" ht="15" customHeight="1">
      <c r="A239" s="657"/>
      <c r="B239" s="657"/>
      <c r="C239" s="657"/>
      <c r="D239" s="694" t="s">
        <v>969</v>
      </c>
      <c r="E239" s="124"/>
      <c r="F239" s="488">
        <f>F226+F238</f>
        <v>0</v>
      </c>
      <c r="G239" s="695">
        <f>G226+G238</f>
        <v>0</v>
      </c>
      <c r="H239" s="657"/>
      <c r="I239" s="657"/>
      <c r="J239" s="657"/>
      <c r="K239" s="657"/>
      <c r="L239" s="657"/>
      <c r="M239" s="657"/>
      <c r="N239" s="657"/>
    </row>
    <row r="240" spans="1:14" ht="15" customHeight="1">
      <c r="A240" s="657"/>
      <c r="B240" s="657"/>
      <c r="C240" s="657"/>
      <c r="D240" s="657"/>
      <c r="E240" s="657"/>
      <c r="F240" s="657"/>
      <c r="G240" s="657"/>
      <c r="H240" s="657"/>
      <c r="I240" s="657"/>
      <c r="J240" s="657"/>
      <c r="K240" s="657"/>
      <c r="L240" s="657"/>
      <c r="M240" s="657"/>
      <c r="N240" s="657"/>
    </row>
    <row r="241" spans="1:14" ht="15" customHeight="1">
      <c r="A241" s="657"/>
      <c r="B241" s="657"/>
      <c r="C241" s="657"/>
      <c r="D241" s="657"/>
      <c r="E241" s="657"/>
      <c r="F241" s="657"/>
      <c r="G241" s="657"/>
      <c r="H241" s="657"/>
      <c r="I241" s="657"/>
      <c r="J241" s="657"/>
      <c r="K241" s="657"/>
      <c r="L241" s="657"/>
      <c r="M241" s="657"/>
      <c r="N241" s="657"/>
    </row>
    <row r="242" spans="1:14" ht="15" customHeight="1">
      <c r="A242" s="657"/>
      <c r="B242" s="657"/>
      <c r="C242" s="657"/>
      <c r="D242" s="657"/>
      <c r="E242" s="657"/>
      <c r="F242" s="657"/>
      <c r="G242" s="657"/>
      <c r="H242" s="657"/>
      <c r="I242" s="657"/>
      <c r="J242" s="657"/>
      <c r="K242" s="657"/>
      <c r="L242" s="657"/>
      <c r="M242" s="657"/>
      <c r="N242" s="657"/>
    </row>
    <row r="243" spans="1:14" ht="15" customHeight="1">
      <c r="A243" s="657"/>
      <c r="B243" s="657"/>
      <c r="C243" s="657"/>
      <c r="D243" s="657"/>
      <c r="E243" s="657"/>
      <c r="F243" s="657"/>
      <c r="G243" s="657"/>
      <c r="H243" s="657"/>
      <c r="I243" s="657"/>
      <c r="J243" s="657"/>
      <c r="K243" s="657"/>
      <c r="L243" s="657"/>
      <c r="M243" s="657"/>
      <c r="N243" s="657"/>
    </row>
    <row r="244" spans="1:14" ht="15" customHeight="1">
      <c r="A244" s="657"/>
      <c r="B244" s="657"/>
      <c r="C244" s="657"/>
      <c r="D244" s="657"/>
      <c r="E244" s="657"/>
      <c r="F244" s="657"/>
      <c r="G244" s="657"/>
      <c r="H244" s="657"/>
      <c r="I244" s="657"/>
      <c r="J244" s="657"/>
      <c r="K244" s="657"/>
      <c r="L244" s="657"/>
      <c r="M244" s="657"/>
      <c r="N244" s="657"/>
    </row>
    <row r="245" spans="1:14" ht="15" customHeight="1">
      <c r="A245" s="657"/>
      <c r="B245" s="657"/>
      <c r="C245" s="657"/>
      <c r="D245" s="657"/>
      <c r="E245" s="657"/>
      <c r="F245" s="657"/>
      <c r="G245" s="657"/>
      <c r="H245" s="657"/>
      <c r="I245" s="657"/>
      <c r="J245" s="657"/>
      <c r="K245" s="657"/>
      <c r="L245" s="657"/>
      <c r="M245" s="657"/>
      <c r="N245" s="657"/>
    </row>
    <row r="246" spans="1:14" ht="15" customHeight="1">
      <c r="A246" s="657"/>
      <c r="B246" s="657"/>
      <c r="C246" s="657"/>
      <c r="D246" s="657"/>
      <c r="E246" s="657"/>
      <c r="F246" s="657"/>
      <c r="G246" s="657"/>
      <c r="H246" s="657"/>
      <c r="I246" s="657"/>
      <c r="J246" s="657"/>
      <c r="K246" s="657"/>
      <c r="L246" s="657"/>
      <c r="M246" s="657"/>
      <c r="N246" s="657"/>
    </row>
    <row r="247" spans="1:14" ht="15" customHeight="1">
      <c r="A247" s="657"/>
      <c r="B247" s="657"/>
      <c r="C247" s="657"/>
      <c r="D247" s="657"/>
      <c r="E247" s="657"/>
      <c r="F247" s="657"/>
      <c r="G247" s="657"/>
      <c r="H247" s="657"/>
      <c r="I247" s="657"/>
      <c r="J247" s="657"/>
      <c r="K247" s="657"/>
      <c r="L247" s="657"/>
      <c r="M247" s="657"/>
      <c r="N247" s="657"/>
    </row>
    <row r="248" spans="1:14" ht="15" customHeight="1">
      <c r="A248" s="657"/>
      <c r="B248" s="657"/>
      <c r="C248" s="657"/>
      <c r="D248" s="657"/>
      <c r="E248" s="657"/>
      <c r="F248" s="657"/>
      <c r="G248" s="657"/>
      <c r="H248" s="657"/>
      <c r="I248" s="657"/>
      <c r="J248" s="657"/>
      <c r="K248" s="657"/>
      <c r="L248" s="657"/>
      <c r="M248" s="657"/>
      <c r="N248" s="657"/>
    </row>
    <row r="249" spans="1:14" s="64" customFormat="1" ht="15" customHeight="1">
      <c r="A249" s="863" t="s">
        <v>240</v>
      </c>
      <c r="B249" s="863"/>
      <c r="C249" s="863" t="s">
        <v>765</v>
      </c>
      <c r="D249" s="863"/>
      <c r="E249" s="863" t="s">
        <v>764</v>
      </c>
      <c r="F249" s="863"/>
      <c r="G249" s="701" t="s">
        <v>66</v>
      </c>
      <c r="H249" s="863" t="s">
        <v>411</v>
      </c>
      <c r="I249" s="863"/>
      <c r="J249" s="863"/>
      <c r="K249" s="863" t="s">
        <v>68</v>
      </c>
      <c r="L249" s="863"/>
      <c r="M249" s="863"/>
      <c r="N249" s="657"/>
    </row>
  </sheetData>
  <mergeCells count="29">
    <mergeCell ref="K249:M249"/>
    <mergeCell ref="I224:J224"/>
    <mergeCell ref="I225:J225"/>
    <mergeCell ref="I226:J226"/>
    <mergeCell ref="A249:B249"/>
    <mergeCell ref="C249:D249"/>
    <mergeCell ref="E249:F249"/>
    <mergeCell ref="H249:J249"/>
    <mergeCell ref="D220:E220"/>
    <mergeCell ref="I220:J220"/>
    <mergeCell ref="I221:J221"/>
    <mergeCell ref="I222:J222"/>
    <mergeCell ref="B223:C223"/>
    <mergeCell ref="I223:J223"/>
    <mergeCell ref="D218:E218"/>
    <mergeCell ref="D219:E219"/>
    <mergeCell ref="I218:J218"/>
    <mergeCell ref="I219:J219"/>
    <mergeCell ref="K62:M62"/>
    <mergeCell ref="K77:M77"/>
    <mergeCell ref="K86:M86"/>
    <mergeCell ref="K153:M153"/>
    <mergeCell ref="K168:M168"/>
    <mergeCell ref="K183:M183"/>
    <mergeCell ref="A1:N1"/>
    <mergeCell ref="A2:N2"/>
    <mergeCell ref="A3:N3"/>
    <mergeCell ref="K4:M4"/>
    <mergeCell ref="K41:M41"/>
  </mergeCells>
  <pageMargins left="0.45" right="0.45" top="0.5" bottom="0.5" header="0.3" footer="0.3"/>
  <pageSetup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O437"/>
  <sheetViews>
    <sheetView topLeftCell="A241" workbookViewId="0">
      <selection sqref="A1:N1"/>
    </sheetView>
  </sheetViews>
  <sheetFormatPr defaultRowHeight="15"/>
  <cols>
    <col min="2" max="2" width="13.42578125" bestFit="1" customWidth="1"/>
    <col min="3" max="3" width="12.5703125" bestFit="1" customWidth="1"/>
    <col min="4" max="4" width="19.42578125" customWidth="1"/>
    <col min="5" max="5" width="12.7109375" bestFit="1" customWidth="1"/>
    <col min="6" max="6" width="10.5703125" bestFit="1" customWidth="1"/>
    <col min="7" max="7" width="24.42578125" bestFit="1" customWidth="1"/>
    <col min="8" max="8" width="6.42578125" bestFit="1" customWidth="1"/>
    <col min="9" max="9" width="10.5703125" bestFit="1" customWidth="1"/>
    <col min="10" max="10" width="9.5703125" bestFit="1" customWidth="1"/>
    <col min="11" max="11" width="11.5703125" bestFit="1" customWidth="1"/>
    <col min="12" max="12" width="9.42578125" customWidth="1"/>
    <col min="13" max="13" width="11.85546875" bestFit="1" customWidth="1"/>
    <col min="14" max="14" width="11.42578125" customWidth="1"/>
  </cols>
  <sheetData>
    <row r="1" spans="1:14" ht="23.25" customHeight="1">
      <c r="A1" s="851" t="s">
        <v>146</v>
      </c>
      <c r="B1" s="851"/>
      <c r="C1" s="851"/>
      <c r="D1" s="851"/>
      <c r="E1" s="851"/>
      <c r="F1" s="851"/>
      <c r="G1" s="851"/>
      <c r="H1" s="851"/>
      <c r="I1" s="851"/>
      <c r="J1" s="851"/>
      <c r="K1" s="851"/>
      <c r="L1" s="851"/>
      <c r="M1" s="851"/>
      <c r="N1" s="851"/>
    </row>
    <row r="2" spans="1:14">
      <c r="A2" s="852" t="s">
        <v>147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</row>
    <row r="3" spans="1:14" s="9" customFormat="1">
      <c r="A3" s="853" t="s">
        <v>148</v>
      </c>
      <c r="B3" s="853"/>
      <c r="C3" s="853"/>
      <c r="D3" s="853"/>
      <c r="E3" s="853"/>
      <c r="F3" s="853"/>
      <c r="G3" s="853"/>
      <c r="H3" s="853"/>
      <c r="I3" s="853"/>
      <c r="J3" s="853"/>
      <c r="K3" s="853"/>
      <c r="L3" s="853"/>
      <c r="M3" s="853"/>
      <c r="N3" s="853"/>
    </row>
    <row r="4" spans="1:14">
      <c r="A4" s="617" t="s">
        <v>21</v>
      </c>
      <c r="B4" s="617"/>
      <c r="C4" s="617"/>
      <c r="D4" s="617"/>
      <c r="E4" s="617"/>
      <c r="F4" s="618"/>
      <c r="G4" s="618"/>
      <c r="H4" s="618"/>
      <c r="I4" s="618"/>
      <c r="J4" s="618"/>
      <c r="K4" s="849" t="s">
        <v>1211</v>
      </c>
      <c r="L4" s="849"/>
      <c r="M4" s="849"/>
      <c r="N4" s="618"/>
    </row>
    <row r="5" spans="1:14">
      <c r="A5" s="647" t="s">
        <v>0</v>
      </c>
      <c r="B5" s="647" t="s">
        <v>7</v>
      </c>
      <c r="C5" s="647" t="s">
        <v>13</v>
      </c>
      <c r="D5" s="647" t="s">
        <v>14</v>
      </c>
      <c r="E5" s="647" t="s">
        <v>8</v>
      </c>
      <c r="F5" s="647" t="s">
        <v>1</v>
      </c>
      <c r="G5" s="647" t="s">
        <v>2</v>
      </c>
      <c r="H5" s="647" t="s">
        <v>15</v>
      </c>
      <c r="I5" s="647" t="s">
        <v>3</v>
      </c>
      <c r="J5" s="647" t="s">
        <v>4</v>
      </c>
      <c r="K5" s="647" t="s">
        <v>5</v>
      </c>
      <c r="L5" s="647" t="s">
        <v>12</v>
      </c>
      <c r="M5" s="647" t="s">
        <v>6</v>
      </c>
      <c r="N5" s="657"/>
    </row>
    <row r="6" spans="1:14">
      <c r="A6" s="178">
        <v>1</v>
      </c>
      <c r="B6" s="178" t="s">
        <v>592</v>
      </c>
      <c r="C6" s="178" t="s">
        <v>593</v>
      </c>
      <c r="D6" s="178" t="s">
        <v>510</v>
      </c>
      <c r="E6" s="180"/>
      <c r="F6" s="621"/>
      <c r="G6" s="178" t="s">
        <v>170</v>
      </c>
      <c r="H6" s="192"/>
      <c r="I6" s="554"/>
      <c r="J6" s="614">
        <v>227</v>
      </c>
      <c r="K6" s="614">
        <f t="shared" ref="K6:K7" si="0">I6*J6</f>
        <v>0</v>
      </c>
      <c r="L6" s="192"/>
      <c r="M6" s="620">
        <f>I6+I10+I14+I36</f>
        <v>0</v>
      </c>
      <c r="N6" s="178" t="s">
        <v>173</v>
      </c>
    </row>
    <row r="7" spans="1:14">
      <c r="A7" s="178"/>
      <c r="B7" s="178"/>
      <c r="C7" s="178"/>
      <c r="D7" s="178"/>
      <c r="E7" s="180"/>
      <c r="F7" s="622"/>
      <c r="G7" s="178" t="s">
        <v>171</v>
      </c>
      <c r="H7" s="192"/>
      <c r="I7" s="554"/>
      <c r="J7" s="614">
        <v>416</v>
      </c>
      <c r="K7" s="614">
        <f t="shared" si="0"/>
        <v>0</v>
      </c>
      <c r="L7" s="192"/>
      <c r="M7" s="620">
        <f>I7+I11+I15+I20+I26+I32+I37+I46+I52+I58+I64+I70</f>
        <v>0</v>
      </c>
      <c r="N7" s="178" t="s">
        <v>174</v>
      </c>
    </row>
    <row r="8" spans="1:14">
      <c r="A8" s="178"/>
      <c r="B8" s="178"/>
      <c r="C8" s="178"/>
      <c r="D8" s="178"/>
      <c r="E8" s="180"/>
      <c r="F8" s="622"/>
      <c r="G8" s="178" t="s">
        <v>172</v>
      </c>
      <c r="H8" s="192"/>
      <c r="I8" s="554"/>
      <c r="J8" s="614">
        <v>165</v>
      </c>
      <c r="K8" s="614">
        <f>I8*J8</f>
        <v>0</v>
      </c>
      <c r="L8" s="192"/>
      <c r="M8" s="620">
        <f>I8+I12+I16+I21+I27+I33+I38+I47+I53+I59+I65+I71</f>
        <v>0</v>
      </c>
      <c r="N8" s="178" t="s">
        <v>172</v>
      </c>
    </row>
    <row r="9" spans="1:14">
      <c r="A9" s="178"/>
      <c r="B9" s="178"/>
      <c r="C9" s="178"/>
      <c r="D9" s="178"/>
      <c r="E9" s="180" t="s">
        <v>9</v>
      </c>
      <c r="F9" s="622">
        <f>SUM(F6:F8)</f>
        <v>0</v>
      </c>
      <c r="G9" s="180"/>
      <c r="H9" s="180"/>
      <c r="I9" s="554"/>
      <c r="J9" s="614"/>
      <c r="K9" s="152">
        <f>SUM(K6:K8)</f>
        <v>0</v>
      </c>
      <c r="L9" s="152" t="e">
        <f>K9/F9</f>
        <v>#DIV/0!</v>
      </c>
      <c r="M9" s="620">
        <f>I18+I24+I30+I44+I50+I56+I62+I68+I77+I80+I83+I86+I89</f>
        <v>0</v>
      </c>
      <c r="N9" s="178" t="s">
        <v>24</v>
      </c>
    </row>
    <row r="10" spans="1:14">
      <c r="A10" s="178">
        <v>2</v>
      </c>
      <c r="B10" s="178" t="s">
        <v>588</v>
      </c>
      <c r="C10" s="178" t="s">
        <v>121</v>
      </c>
      <c r="D10" s="178" t="s">
        <v>324</v>
      </c>
      <c r="E10" s="178"/>
      <c r="F10" s="621"/>
      <c r="G10" s="178" t="s">
        <v>170</v>
      </c>
      <c r="H10" s="192"/>
      <c r="I10" s="554"/>
      <c r="J10" s="614">
        <v>227</v>
      </c>
      <c r="K10" s="614">
        <f t="shared" ref="K10:K11" si="1">I10*J10</f>
        <v>0</v>
      </c>
      <c r="L10" s="152"/>
      <c r="M10" s="620">
        <f>I19+I25+I31+I45+I51+I57+I63+I69</f>
        <v>0</v>
      </c>
      <c r="N10" s="178" t="s">
        <v>175</v>
      </c>
    </row>
    <row r="11" spans="1:14">
      <c r="A11" s="178"/>
      <c r="B11" s="178"/>
      <c r="C11" s="178"/>
      <c r="D11" s="178"/>
      <c r="E11" s="180"/>
      <c r="F11" s="622"/>
      <c r="G11" s="178" t="s">
        <v>171</v>
      </c>
      <c r="H11" s="192"/>
      <c r="I11" s="554"/>
      <c r="J11" s="614">
        <v>416</v>
      </c>
      <c r="K11" s="614">
        <f t="shared" si="1"/>
        <v>0</v>
      </c>
      <c r="L11" s="152"/>
      <c r="M11" s="620">
        <f>I22+I28+I34+I48+I54+I60+I66+I72</f>
        <v>0</v>
      </c>
      <c r="N11" s="179" t="s">
        <v>176</v>
      </c>
    </row>
    <row r="12" spans="1:14">
      <c r="A12" s="178"/>
      <c r="B12" s="178"/>
      <c r="C12" s="178"/>
      <c r="D12" s="178"/>
      <c r="E12" s="180"/>
      <c r="F12" s="622"/>
      <c r="G12" s="178" t="s">
        <v>172</v>
      </c>
      <c r="H12" s="192"/>
      <c r="I12" s="554"/>
      <c r="J12" s="614">
        <v>165</v>
      </c>
      <c r="K12" s="614">
        <f>I12*J12</f>
        <v>0</v>
      </c>
      <c r="L12" s="152"/>
      <c r="M12" s="620">
        <f>I78+I81+I84+I87+I90</f>
        <v>0</v>
      </c>
      <c r="N12" s="613" t="s">
        <v>10</v>
      </c>
    </row>
    <row r="13" spans="1:14">
      <c r="A13" s="178"/>
      <c r="B13" s="178"/>
      <c r="C13" s="178"/>
      <c r="D13" s="178"/>
      <c r="E13" s="180" t="s">
        <v>9</v>
      </c>
      <c r="F13" s="622">
        <f>SUM(F10:F12)</f>
        <v>0</v>
      </c>
      <c r="G13" s="180"/>
      <c r="H13" s="180"/>
      <c r="I13" s="554"/>
      <c r="J13" s="614"/>
      <c r="K13" s="152">
        <f>SUM(K10:K12)</f>
        <v>0</v>
      </c>
      <c r="L13" s="152" t="e">
        <f>K13/F13</f>
        <v>#DIV/0!</v>
      </c>
      <c r="M13" s="192"/>
      <c r="N13" s="613" t="s">
        <v>1201</v>
      </c>
    </row>
    <row r="14" spans="1:14">
      <c r="A14" s="178">
        <v>3</v>
      </c>
      <c r="B14" s="178" t="s">
        <v>596</v>
      </c>
      <c r="C14" s="178" t="s">
        <v>234</v>
      </c>
      <c r="D14" s="178" t="s">
        <v>597</v>
      </c>
      <c r="E14" s="178"/>
      <c r="F14" s="621"/>
      <c r="G14" s="178" t="s">
        <v>170</v>
      </c>
      <c r="H14" s="192"/>
      <c r="I14" s="554"/>
      <c r="J14" s="614">
        <v>227</v>
      </c>
      <c r="K14" s="614">
        <f t="shared" ref="K14:K15" si="2">I14*J14</f>
        <v>0</v>
      </c>
      <c r="L14" s="152"/>
      <c r="M14" s="192"/>
      <c r="N14" s="613" t="s">
        <v>1202</v>
      </c>
    </row>
    <row r="15" spans="1:14">
      <c r="A15" s="178"/>
      <c r="B15" s="178"/>
      <c r="C15" s="178"/>
      <c r="D15" s="178"/>
      <c r="E15" s="180"/>
      <c r="F15" s="622"/>
      <c r="G15" s="178" t="s">
        <v>171</v>
      </c>
      <c r="H15" s="192"/>
      <c r="I15" s="554"/>
      <c r="J15" s="614">
        <v>416</v>
      </c>
      <c r="K15" s="614">
        <f t="shared" si="2"/>
        <v>0</v>
      </c>
      <c r="L15" s="152"/>
      <c r="M15" s="192"/>
      <c r="N15" s="613" t="s">
        <v>1203</v>
      </c>
    </row>
    <row r="16" spans="1:14">
      <c r="A16" s="178"/>
      <c r="B16" s="178"/>
      <c r="C16" s="178"/>
      <c r="D16" s="178"/>
      <c r="E16" s="180"/>
      <c r="F16" s="622"/>
      <c r="G16" s="178" t="s">
        <v>172</v>
      </c>
      <c r="H16" s="192"/>
      <c r="I16" s="554"/>
      <c r="J16" s="614">
        <v>165</v>
      </c>
      <c r="K16" s="614">
        <f>I16*J16</f>
        <v>0</v>
      </c>
      <c r="L16" s="152"/>
      <c r="M16" s="192"/>
      <c r="N16" s="613" t="s">
        <v>1204</v>
      </c>
    </row>
    <row r="17" spans="1:14">
      <c r="A17" s="178"/>
      <c r="B17" s="178"/>
      <c r="C17" s="178"/>
      <c r="D17" s="178"/>
      <c r="E17" s="180" t="s">
        <v>9</v>
      </c>
      <c r="F17" s="622">
        <f>SUM(F14:F16)</f>
        <v>0</v>
      </c>
      <c r="G17" s="180"/>
      <c r="H17" s="180"/>
      <c r="I17" s="554"/>
      <c r="J17" s="614"/>
      <c r="K17" s="152">
        <f>SUM(K14:K16)</f>
        <v>0</v>
      </c>
      <c r="L17" s="152" t="e">
        <f>K17/F17</f>
        <v>#DIV/0!</v>
      </c>
      <c r="M17" s="192"/>
      <c r="N17" s="153" t="s">
        <v>1205</v>
      </c>
    </row>
    <row r="18" spans="1:14">
      <c r="A18" s="178">
        <v>4</v>
      </c>
      <c r="B18" s="178" t="s">
        <v>598</v>
      </c>
      <c r="C18" s="178" t="s">
        <v>626</v>
      </c>
      <c r="D18" s="178" t="s">
        <v>599</v>
      </c>
      <c r="E18" s="180"/>
      <c r="F18" s="621"/>
      <c r="G18" s="178" t="s">
        <v>24</v>
      </c>
      <c r="H18" s="192"/>
      <c r="I18" s="554"/>
      <c r="J18" s="614">
        <v>74</v>
      </c>
      <c r="K18" s="614">
        <f t="shared" ref="K18:K20" si="3">I18*J18</f>
        <v>0</v>
      </c>
      <c r="L18" s="192"/>
      <c r="M18" s="192"/>
      <c r="N18" s="153" t="s">
        <v>1206</v>
      </c>
    </row>
    <row r="19" spans="1:14">
      <c r="A19" s="178"/>
      <c r="B19" s="178"/>
      <c r="C19" s="178"/>
      <c r="D19" s="178"/>
      <c r="E19" s="178"/>
      <c r="F19" s="621"/>
      <c r="G19" s="178" t="s">
        <v>18</v>
      </c>
      <c r="H19" s="192"/>
      <c r="I19" s="554"/>
      <c r="J19" s="614">
        <v>46</v>
      </c>
      <c r="K19" s="614">
        <f t="shared" si="3"/>
        <v>0</v>
      </c>
      <c r="L19" s="192"/>
      <c r="M19" s="192"/>
      <c r="N19" s="153" t="s">
        <v>1207</v>
      </c>
    </row>
    <row r="20" spans="1:14">
      <c r="A20" s="178"/>
      <c r="B20" s="178"/>
      <c r="C20" s="178"/>
      <c r="D20" s="178"/>
      <c r="E20" s="178"/>
      <c r="F20" s="621"/>
      <c r="G20" s="178" t="s">
        <v>171</v>
      </c>
      <c r="H20" s="192"/>
      <c r="I20" s="554"/>
      <c r="J20" s="614">
        <v>416</v>
      </c>
      <c r="K20" s="614">
        <f t="shared" si="3"/>
        <v>0</v>
      </c>
      <c r="L20" s="192"/>
      <c r="M20" s="192"/>
      <c r="N20" s="153" t="s">
        <v>1208</v>
      </c>
    </row>
    <row r="21" spans="1:14">
      <c r="A21" s="178"/>
      <c r="B21" s="178"/>
      <c r="C21" s="178"/>
      <c r="D21" s="178"/>
      <c r="E21" s="178"/>
      <c r="F21" s="621"/>
      <c r="G21" s="178" t="s">
        <v>172</v>
      </c>
      <c r="H21" s="192"/>
      <c r="I21" s="554"/>
      <c r="J21" s="614">
        <v>165</v>
      </c>
      <c r="K21" s="614">
        <f>I21*J21</f>
        <v>0</v>
      </c>
      <c r="L21" s="192"/>
      <c r="M21" s="192"/>
      <c r="N21" s="153" t="s">
        <v>912</v>
      </c>
    </row>
    <row r="22" spans="1:14">
      <c r="A22" s="178"/>
      <c r="B22" s="178"/>
      <c r="C22" s="178"/>
      <c r="D22" s="178"/>
      <c r="E22" s="178"/>
      <c r="F22" s="621"/>
      <c r="G22" s="179" t="s">
        <v>181</v>
      </c>
      <c r="H22" s="192"/>
      <c r="I22" s="554"/>
      <c r="J22" s="614">
        <v>165</v>
      </c>
      <c r="K22" s="614">
        <f t="shared" ref="K22" si="4">I22*J22</f>
        <v>0</v>
      </c>
      <c r="L22" s="192"/>
      <c r="M22" s="192"/>
      <c r="N22" s="153" t="s">
        <v>1209</v>
      </c>
    </row>
    <row r="23" spans="1:14">
      <c r="A23" s="178"/>
      <c r="B23" s="178"/>
      <c r="C23" s="178"/>
      <c r="D23" s="178"/>
      <c r="E23" s="180" t="s">
        <v>9</v>
      </c>
      <c r="F23" s="622">
        <f>SUM(F18:F22)</f>
        <v>0</v>
      </c>
      <c r="G23" s="180"/>
      <c r="H23" s="180"/>
      <c r="I23" s="554"/>
      <c r="J23" s="614"/>
      <c r="K23" s="152">
        <f>SUM(K18:K22)</f>
        <v>0</v>
      </c>
      <c r="L23" s="152" t="e">
        <f>K23/F23</f>
        <v>#DIV/0!</v>
      </c>
      <c r="M23" s="192"/>
      <c r="N23" s="657"/>
    </row>
    <row r="24" spans="1:14">
      <c r="A24" s="178">
        <v>5</v>
      </c>
      <c r="B24" s="178" t="s">
        <v>511</v>
      </c>
      <c r="C24" s="178" t="s">
        <v>121</v>
      </c>
      <c r="D24" s="178" t="s">
        <v>180</v>
      </c>
      <c r="E24" s="178"/>
      <c r="F24" s="621"/>
      <c r="G24" s="178" t="s">
        <v>24</v>
      </c>
      <c r="H24" s="192"/>
      <c r="I24" s="554"/>
      <c r="J24" s="614">
        <v>74</v>
      </c>
      <c r="K24" s="614">
        <f t="shared" ref="K24:K26" si="5">I24*J24</f>
        <v>0</v>
      </c>
      <c r="L24" s="192"/>
      <c r="M24" s="192"/>
      <c r="N24" s="657"/>
    </row>
    <row r="25" spans="1:14">
      <c r="A25" s="178"/>
      <c r="B25" s="178"/>
      <c r="C25" s="178"/>
      <c r="D25" s="178"/>
      <c r="E25" s="178"/>
      <c r="F25" s="621"/>
      <c r="G25" s="178" t="s">
        <v>18</v>
      </c>
      <c r="H25" s="192"/>
      <c r="I25" s="554"/>
      <c r="J25" s="614">
        <v>46</v>
      </c>
      <c r="K25" s="614">
        <f t="shared" si="5"/>
        <v>0</v>
      </c>
      <c r="L25" s="192"/>
      <c r="M25" s="192"/>
      <c r="N25" s="657"/>
    </row>
    <row r="26" spans="1:14">
      <c r="A26" s="178"/>
      <c r="B26" s="178"/>
      <c r="C26" s="178"/>
      <c r="D26" s="178"/>
      <c r="E26" s="178"/>
      <c r="F26" s="621"/>
      <c r="G26" s="178" t="s">
        <v>171</v>
      </c>
      <c r="H26" s="192"/>
      <c r="I26" s="554"/>
      <c r="J26" s="614">
        <v>416</v>
      </c>
      <c r="K26" s="614">
        <f t="shared" si="5"/>
        <v>0</v>
      </c>
      <c r="L26" s="192"/>
      <c r="M26" s="192"/>
      <c r="N26" s="657"/>
    </row>
    <row r="27" spans="1:14">
      <c r="A27" s="178"/>
      <c r="B27" s="178"/>
      <c r="C27" s="178"/>
      <c r="D27" s="178"/>
      <c r="E27" s="178"/>
      <c r="F27" s="621"/>
      <c r="G27" s="178" t="s">
        <v>172</v>
      </c>
      <c r="H27" s="192"/>
      <c r="I27" s="554"/>
      <c r="J27" s="614">
        <v>165</v>
      </c>
      <c r="K27" s="614">
        <f>I27*J27</f>
        <v>0</v>
      </c>
      <c r="L27" s="192"/>
      <c r="M27" s="192"/>
      <c r="N27" s="657"/>
    </row>
    <row r="28" spans="1:14">
      <c r="A28" s="178"/>
      <c r="B28" s="178"/>
      <c r="C28" s="178"/>
      <c r="D28" s="178"/>
      <c r="E28" s="178"/>
      <c r="F28" s="621"/>
      <c r="G28" s="179" t="s">
        <v>181</v>
      </c>
      <c r="H28" s="192"/>
      <c r="I28" s="554"/>
      <c r="J28" s="614">
        <v>165</v>
      </c>
      <c r="K28" s="614">
        <f t="shared" ref="K28" si="6">I28*J28</f>
        <v>0</v>
      </c>
      <c r="L28" s="192"/>
      <c r="M28" s="192"/>
      <c r="N28" s="657"/>
    </row>
    <row r="29" spans="1:14">
      <c r="A29" s="178"/>
      <c r="B29" s="178"/>
      <c r="C29" s="178"/>
      <c r="D29" s="178"/>
      <c r="E29" s="180" t="s">
        <v>9</v>
      </c>
      <c r="F29" s="622">
        <f>SUM(F24:F28)</f>
        <v>0</v>
      </c>
      <c r="G29" s="180"/>
      <c r="H29" s="180"/>
      <c r="I29" s="554"/>
      <c r="J29" s="614"/>
      <c r="K29" s="152">
        <f>SUM(K24:K28)</f>
        <v>0</v>
      </c>
      <c r="L29" s="152" t="e">
        <f>K29/F29</f>
        <v>#DIV/0!</v>
      </c>
      <c r="M29" s="192"/>
      <c r="N29" s="657"/>
    </row>
    <row r="30" spans="1:14">
      <c r="A30" s="178">
        <v>6</v>
      </c>
      <c r="B30" s="178" t="s">
        <v>277</v>
      </c>
      <c r="C30" s="178" t="s">
        <v>121</v>
      </c>
      <c r="D30" s="178" t="s">
        <v>124</v>
      </c>
      <c r="E30" s="178"/>
      <c r="F30" s="621"/>
      <c r="G30" s="178" t="s">
        <v>24</v>
      </c>
      <c r="H30" s="192"/>
      <c r="I30" s="554"/>
      <c r="J30" s="614">
        <v>74</v>
      </c>
      <c r="K30" s="614">
        <f t="shared" ref="K30:K32" si="7">I30*J30</f>
        <v>0</v>
      </c>
      <c r="L30" s="192"/>
      <c r="M30" s="192"/>
      <c r="N30" s="657"/>
    </row>
    <row r="31" spans="1:14">
      <c r="A31" s="178"/>
      <c r="B31" s="178"/>
      <c r="C31" s="178"/>
      <c r="D31" s="178"/>
      <c r="E31" s="178"/>
      <c r="F31" s="621"/>
      <c r="G31" s="178" t="s">
        <v>18</v>
      </c>
      <c r="H31" s="192"/>
      <c r="I31" s="554"/>
      <c r="J31" s="614">
        <v>46</v>
      </c>
      <c r="K31" s="614">
        <f t="shared" si="7"/>
        <v>0</v>
      </c>
      <c r="L31" s="192"/>
      <c r="M31" s="192"/>
      <c r="N31" s="657"/>
    </row>
    <row r="32" spans="1:14">
      <c r="A32" s="178"/>
      <c r="B32" s="178"/>
      <c r="C32" s="178"/>
      <c r="D32" s="178"/>
      <c r="E32" s="178"/>
      <c r="F32" s="621"/>
      <c r="G32" s="178" t="s">
        <v>171</v>
      </c>
      <c r="H32" s="192"/>
      <c r="I32" s="554"/>
      <c r="J32" s="614">
        <v>416</v>
      </c>
      <c r="K32" s="614">
        <f t="shared" si="7"/>
        <v>0</v>
      </c>
      <c r="L32" s="192"/>
      <c r="M32" s="192"/>
      <c r="N32" s="657"/>
    </row>
    <row r="33" spans="1:14">
      <c r="A33" s="178"/>
      <c r="B33" s="178"/>
      <c r="C33" s="178"/>
      <c r="D33" s="178"/>
      <c r="E33" s="178"/>
      <c r="F33" s="621"/>
      <c r="G33" s="178" t="s">
        <v>172</v>
      </c>
      <c r="H33" s="192"/>
      <c r="I33" s="554"/>
      <c r="J33" s="614">
        <v>165</v>
      </c>
      <c r="K33" s="614">
        <f>I33*J33</f>
        <v>0</v>
      </c>
      <c r="L33" s="192"/>
      <c r="M33" s="192"/>
      <c r="N33" s="657"/>
    </row>
    <row r="34" spans="1:14">
      <c r="A34" s="178"/>
      <c r="B34" s="178"/>
      <c r="C34" s="178"/>
      <c r="D34" s="178"/>
      <c r="E34" s="178"/>
      <c r="F34" s="621"/>
      <c r="G34" s="179" t="s">
        <v>181</v>
      </c>
      <c r="H34" s="192"/>
      <c r="I34" s="554"/>
      <c r="J34" s="614">
        <v>165</v>
      </c>
      <c r="K34" s="614">
        <f t="shared" ref="K34" si="8">I34*J34</f>
        <v>0</v>
      </c>
      <c r="L34" s="192"/>
      <c r="M34" s="192"/>
      <c r="N34" s="657"/>
    </row>
    <row r="35" spans="1:14">
      <c r="A35" s="178"/>
      <c r="B35" s="178"/>
      <c r="C35" s="178"/>
      <c r="D35" s="178"/>
      <c r="E35" s="180" t="s">
        <v>9</v>
      </c>
      <c r="F35" s="622">
        <f>SUM(F30:F34)</f>
        <v>0</v>
      </c>
      <c r="G35" s="180"/>
      <c r="H35" s="180"/>
      <c r="I35" s="554"/>
      <c r="J35" s="614"/>
      <c r="K35" s="152">
        <f>SUM(K30:K34)</f>
        <v>0</v>
      </c>
      <c r="L35" s="152" t="e">
        <f>K35/F35</f>
        <v>#DIV/0!</v>
      </c>
      <c r="M35" s="192"/>
      <c r="N35" s="657"/>
    </row>
    <row r="36" spans="1:14">
      <c r="A36" s="178">
        <v>7</v>
      </c>
      <c r="B36" s="178" t="s">
        <v>600</v>
      </c>
      <c r="C36" s="178" t="s">
        <v>601</v>
      </c>
      <c r="D36" s="178" t="s">
        <v>602</v>
      </c>
      <c r="E36" s="178"/>
      <c r="F36" s="621"/>
      <c r="G36" s="178" t="s">
        <v>170</v>
      </c>
      <c r="H36" s="192"/>
      <c r="I36" s="554"/>
      <c r="J36" s="614">
        <v>227</v>
      </c>
      <c r="K36" s="614">
        <f t="shared" ref="K36:K37" si="9">I36*J36</f>
        <v>0</v>
      </c>
      <c r="L36" s="192"/>
      <c r="M36" s="192"/>
      <c r="N36" s="657"/>
    </row>
    <row r="37" spans="1:14">
      <c r="A37" s="178"/>
      <c r="B37" s="178" t="s">
        <v>603</v>
      </c>
      <c r="C37" s="178" t="s">
        <v>606</v>
      </c>
      <c r="D37" s="178" t="s">
        <v>607</v>
      </c>
      <c r="E37" s="178"/>
      <c r="F37" s="621"/>
      <c r="G37" s="178" t="s">
        <v>171</v>
      </c>
      <c r="H37" s="192"/>
      <c r="I37" s="554"/>
      <c r="J37" s="614">
        <v>416</v>
      </c>
      <c r="K37" s="614">
        <f t="shared" si="9"/>
        <v>0</v>
      </c>
      <c r="L37" s="192"/>
      <c r="M37" s="192"/>
      <c r="N37" s="657"/>
    </row>
    <row r="38" spans="1:14">
      <c r="A38" s="178"/>
      <c r="B38" s="178" t="s">
        <v>604</v>
      </c>
      <c r="C38" s="178" t="s">
        <v>121</v>
      </c>
      <c r="D38" s="178" t="s">
        <v>427</v>
      </c>
      <c r="E38" s="178"/>
      <c r="F38" s="621"/>
      <c r="G38" s="178" t="s">
        <v>172</v>
      </c>
      <c r="H38" s="192"/>
      <c r="I38" s="554"/>
      <c r="J38" s="614">
        <v>165</v>
      </c>
      <c r="K38" s="614">
        <f>I38*J38</f>
        <v>0</v>
      </c>
      <c r="L38" s="192"/>
      <c r="M38" s="192"/>
      <c r="N38" s="657"/>
    </row>
    <row r="39" spans="1:14">
      <c r="A39" s="178"/>
      <c r="B39" s="178" t="s">
        <v>605</v>
      </c>
      <c r="C39" s="178" t="s">
        <v>121</v>
      </c>
      <c r="D39" s="178" t="s">
        <v>427</v>
      </c>
      <c r="E39" s="178"/>
      <c r="F39" s="621"/>
      <c r="G39" s="179"/>
      <c r="H39" s="192"/>
      <c r="I39" s="554"/>
      <c r="J39" s="614"/>
      <c r="K39" s="614"/>
      <c r="L39" s="192"/>
      <c r="M39" s="192"/>
      <c r="N39" s="657"/>
    </row>
    <row r="40" spans="1:14">
      <c r="A40" s="178"/>
      <c r="B40" s="178"/>
      <c r="C40" s="178"/>
      <c r="D40" s="178"/>
      <c r="E40" s="180" t="s">
        <v>9</v>
      </c>
      <c r="F40" s="622">
        <f>SUM(F36:F39)</f>
        <v>0</v>
      </c>
      <c r="G40" s="180"/>
      <c r="H40" s="180"/>
      <c r="I40" s="554"/>
      <c r="J40" s="614"/>
      <c r="K40" s="152">
        <f>SUM(K36:K39)</f>
        <v>0</v>
      </c>
      <c r="L40" s="152" t="e">
        <f>K40/F40</f>
        <v>#DIV/0!</v>
      </c>
      <c r="M40" s="192"/>
      <c r="N40" s="657"/>
    </row>
    <row r="41" spans="1:14">
      <c r="A41" s="623"/>
      <c r="B41" s="623"/>
      <c r="C41" s="623"/>
      <c r="D41" s="624" t="s">
        <v>30</v>
      </c>
      <c r="E41" s="624"/>
      <c r="F41" s="625">
        <f>F9+F13+F17+F23+F29+F35+F40</f>
        <v>0</v>
      </c>
      <c r="G41" s="626"/>
      <c r="H41" s="626"/>
      <c r="I41" s="626"/>
      <c r="J41" s="626"/>
      <c r="K41" s="625">
        <f>K9+K13+K17+K23+K29+K35+K40</f>
        <v>0</v>
      </c>
      <c r="L41" s="627" t="e">
        <f>K41/F41</f>
        <v>#DIV/0!</v>
      </c>
      <c r="M41" s="623"/>
      <c r="N41" s="657"/>
    </row>
    <row r="42" spans="1:14">
      <c r="A42" s="628" t="s">
        <v>23</v>
      </c>
      <c r="B42" s="628"/>
      <c r="C42" s="628"/>
      <c r="D42" s="628"/>
      <c r="E42" s="628"/>
      <c r="F42" s="623"/>
      <c r="G42" s="623"/>
      <c r="H42" s="623"/>
      <c r="I42" s="623"/>
      <c r="J42" s="623"/>
      <c r="K42" s="849" t="s">
        <v>1211</v>
      </c>
      <c r="L42" s="849"/>
      <c r="M42" s="849"/>
      <c r="N42" s="657"/>
    </row>
    <row r="43" spans="1:14">
      <c r="A43" s="180" t="s">
        <v>0</v>
      </c>
      <c r="B43" s="180" t="s">
        <v>7</v>
      </c>
      <c r="C43" s="180" t="s">
        <v>13</v>
      </c>
      <c r="D43" s="180" t="s">
        <v>14</v>
      </c>
      <c r="E43" s="180" t="s">
        <v>8</v>
      </c>
      <c r="F43" s="180" t="s">
        <v>1</v>
      </c>
      <c r="G43" s="180" t="s">
        <v>2</v>
      </c>
      <c r="H43" s="180" t="s">
        <v>15</v>
      </c>
      <c r="I43" s="180" t="s">
        <v>3</v>
      </c>
      <c r="J43" s="180" t="s">
        <v>4</v>
      </c>
      <c r="K43" s="180" t="s">
        <v>5</v>
      </c>
      <c r="L43" s="180" t="s">
        <v>12</v>
      </c>
      <c r="M43" s="180" t="s">
        <v>6</v>
      </c>
      <c r="N43" s="657"/>
    </row>
    <row r="44" spans="1:14">
      <c r="A44" s="178">
        <v>1</v>
      </c>
      <c r="B44" s="178" t="s">
        <v>565</v>
      </c>
      <c r="C44" s="178" t="s">
        <v>566</v>
      </c>
      <c r="D44" s="178" t="s">
        <v>556</v>
      </c>
      <c r="E44" s="178"/>
      <c r="F44" s="619"/>
      <c r="G44" s="178" t="s">
        <v>24</v>
      </c>
      <c r="H44" s="192"/>
      <c r="I44" s="554"/>
      <c r="J44" s="614">
        <v>74</v>
      </c>
      <c r="K44" s="614">
        <f t="shared" ref="K44:K46" si="10">I44*J44</f>
        <v>0</v>
      </c>
      <c r="L44" s="192"/>
      <c r="M44" s="162"/>
      <c r="N44" s="657"/>
    </row>
    <row r="45" spans="1:14">
      <c r="A45" s="178"/>
      <c r="B45" s="178"/>
      <c r="C45" s="178"/>
      <c r="D45" s="178"/>
      <c r="E45" s="178"/>
      <c r="F45" s="621"/>
      <c r="G45" s="178" t="s">
        <v>18</v>
      </c>
      <c r="H45" s="192"/>
      <c r="I45" s="554"/>
      <c r="J45" s="614">
        <v>46</v>
      </c>
      <c r="K45" s="614">
        <f t="shared" si="10"/>
        <v>0</v>
      </c>
      <c r="L45" s="192"/>
      <c r="M45" s="192"/>
      <c r="N45" s="657"/>
    </row>
    <row r="46" spans="1:14">
      <c r="A46" s="178"/>
      <c r="B46" s="178"/>
      <c r="C46" s="178"/>
      <c r="D46" s="178"/>
      <c r="E46" s="178"/>
      <c r="F46" s="621"/>
      <c r="G46" s="178" t="s">
        <v>171</v>
      </c>
      <c r="H46" s="192"/>
      <c r="I46" s="554"/>
      <c r="J46" s="614">
        <v>416</v>
      </c>
      <c r="K46" s="614">
        <f t="shared" si="10"/>
        <v>0</v>
      </c>
      <c r="L46" s="192"/>
      <c r="M46" s="192"/>
      <c r="N46" s="657"/>
    </row>
    <row r="47" spans="1:14">
      <c r="A47" s="178"/>
      <c r="B47" s="178"/>
      <c r="C47" s="178"/>
      <c r="D47" s="178"/>
      <c r="E47" s="178"/>
      <c r="F47" s="621"/>
      <c r="G47" s="178" t="s">
        <v>172</v>
      </c>
      <c r="H47" s="192"/>
      <c r="I47" s="554"/>
      <c r="J47" s="614">
        <v>165</v>
      </c>
      <c r="K47" s="614">
        <f>I47*J47</f>
        <v>0</v>
      </c>
      <c r="L47" s="192"/>
      <c r="M47" s="192"/>
      <c r="N47" s="657"/>
    </row>
    <row r="48" spans="1:14">
      <c r="A48" s="178"/>
      <c r="B48" s="178"/>
      <c r="C48" s="178"/>
      <c r="D48" s="178"/>
      <c r="E48" s="178"/>
      <c r="F48" s="621"/>
      <c r="G48" s="179" t="s">
        <v>181</v>
      </c>
      <c r="H48" s="192"/>
      <c r="I48" s="554"/>
      <c r="J48" s="614">
        <v>165</v>
      </c>
      <c r="K48" s="614">
        <f t="shared" ref="K48" si="11">I48*J48</f>
        <v>0</v>
      </c>
      <c r="L48" s="192"/>
      <c r="M48" s="192"/>
      <c r="N48" s="657"/>
    </row>
    <row r="49" spans="1:14">
      <c r="A49" s="178"/>
      <c r="B49" s="178"/>
      <c r="C49" s="178"/>
      <c r="D49" s="178"/>
      <c r="E49" s="180" t="s">
        <v>9</v>
      </c>
      <c r="F49" s="622">
        <f>SUM(F44:F48)</f>
        <v>0</v>
      </c>
      <c r="G49" s="180"/>
      <c r="H49" s="180"/>
      <c r="I49" s="554"/>
      <c r="J49" s="614"/>
      <c r="K49" s="152">
        <f>SUM(K44:K48)</f>
        <v>0</v>
      </c>
      <c r="L49" s="152" t="e">
        <f>K49/F49</f>
        <v>#DIV/0!</v>
      </c>
      <c r="M49" s="192"/>
      <c r="N49" s="657"/>
    </row>
    <row r="50" spans="1:14">
      <c r="A50" s="178">
        <v>2</v>
      </c>
      <c r="B50" s="178" t="s">
        <v>511</v>
      </c>
      <c r="C50" s="178" t="s">
        <v>121</v>
      </c>
      <c r="D50" s="178" t="s">
        <v>180</v>
      </c>
      <c r="E50" s="178"/>
      <c r="F50" s="621"/>
      <c r="G50" s="178" t="s">
        <v>24</v>
      </c>
      <c r="H50" s="192"/>
      <c r="I50" s="554"/>
      <c r="J50" s="614">
        <v>74</v>
      </c>
      <c r="K50" s="614">
        <f t="shared" ref="K50:K52" si="12">I50*J50</f>
        <v>0</v>
      </c>
      <c r="L50" s="192"/>
      <c r="M50" s="192"/>
      <c r="N50" s="657"/>
    </row>
    <row r="51" spans="1:14">
      <c r="A51" s="178"/>
      <c r="B51" s="178"/>
      <c r="C51" s="178"/>
      <c r="D51" s="178"/>
      <c r="E51" s="178"/>
      <c r="F51" s="621"/>
      <c r="G51" s="178" t="s">
        <v>18</v>
      </c>
      <c r="H51" s="192"/>
      <c r="I51" s="554"/>
      <c r="J51" s="614">
        <v>46</v>
      </c>
      <c r="K51" s="614">
        <f t="shared" si="12"/>
        <v>0</v>
      </c>
      <c r="L51" s="192"/>
      <c r="M51" s="192"/>
      <c r="N51" s="657"/>
    </row>
    <row r="52" spans="1:14">
      <c r="A52" s="178"/>
      <c r="B52" s="178"/>
      <c r="C52" s="178"/>
      <c r="D52" s="178"/>
      <c r="E52" s="178"/>
      <c r="F52" s="621"/>
      <c r="G52" s="178" t="s">
        <v>171</v>
      </c>
      <c r="H52" s="192"/>
      <c r="I52" s="554"/>
      <c r="J52" s="614">
        <v>416</v>
      </c>
      <c r="K52" s="614">
        <f t="shared" si="12"/>
        <v>0</v>
      </c>
      <c r="L52" s="192"/>
      <c r="M52" s="192"/>
      <c r="N52" s="657"/>
    </row>
    <row r="53" spans="1:14">
      <c r="A53" s="178"/>
      <c r="B53" s="178"/>
      <c r="C53" s="178"/>
      <c r="D53" s="178"/>
      <c r="E53" s="178"/>
      <c r="F53" s="621"/>
      <c r="G53" s="178" t="s">
        <v>172</v>
      </c>
      <c r="H53" s="192"/>
      <c r="I53" s="554"/>
      <c r="J53" s="614">
        <v>165</v>
      </c>
      <c r="K53" s="614">
        <f>I53*J53</f>
        <v>0</v>
      </c>
      <c r="L53" s="192"/>
      <c r="M53" s="192"/>
      <c r="N53" s="657"/>
    </row>
    <row r="54" spans="1:14">
      <c r="A54" s="178"/>
      <c r="B54" s="178"/>
      <c r="C54" s="178"/>
      <c r="D54" s="178"/>
      <c r="E54" s="180"/>
      <c r="F54" s="621"/>
      <c r="G54" s="179" t="s">
        <v>181</v>
      </c>
      <c r="H54" s="192"/>
      <c r="I54" s="554"/>
      <c r="J54" s="614">
        <v>165</v>
      </c>
      <c r="K54" s="614">
        <f t="shared" ref="K54" si="13">I54*J54</f>
        <v>0</v>
      </c>
      <c r="L54" s="192"/>
      <c r="M54" s="192"/>
      <c r="N54" s="657"/>
    </row>
    <row r="55" spans="1:14">
      <c r="A55" s="178"/>
      <c r="B55" s="178"/>
      <c r="C55" s="178"/>
      <c r="D55" s="178"/>
      <c r="E55" s="180" t="s">
        <v>9</v>
      </c>
      <c r="F55" s="622">
        <f>SUM(F50:F54)</f>
        <v>0</v>
      </c>
      <c r="G55" s="180"/>
      <c r="H55" s="180"/>
      <c r="I55" s="554"/>
      <c r="J55" s="614"/>
      <c r="K55" s="152">
        <f>SUM(K50:K54)</f>
        <v>0</v>
      </c>
      <c r="L55" s="152" t="e">
        <f>K55/F55</f>
        <v>#DIV/0!</v>
      </c>
      <c r="M55" s="192"/>
      <c r="N55" s="657"/>
    </row>
    <row r="56" spans="1:14">
      <c r="A56" s="178">
        <v>4</v>
      </c>
      <c r="B56" s="178" t="s">
        <v>589</v>
      </c>
      <c r="C56" s="178" t="s">
        <v>590</v>
      </c>
      <c r="D56" s="178" t="s">
        <v>591</v>
      </c>
      <c r="E56" s="178"/>
      <c r="F56" s="621"/>
      <c r="G56" s="178" t="s">
        <v>24</v>
      </c>
      <c r="H56" s="192"/>
      <c r="I56" s="554"/>
      <c r="J56" s="614">
        <v>74</v>
      </c>
      <c r="K56" s="614">
        <f t="shared" ref="K56:K58" si="14">I56*J56</f>
        <v>0</v>
      </c>
      <c r="L56" s="192"/>
      <c r="M56" s="192"/>
      <c r="N56" s="657"/>
    </row>
    <row r="57" spans="1:14">
      <c r="A57" s="178"/>
      <c r="B57" s="178"/>
      <c r="C57" s="178"/>
      <c r="D57" s="178"/>
      <c r="E57" s="178"/>
      <c r="F57" s="621"/>
      <c r="G57" s="178" t="s">
        <v>18</v>
      </c>
      <c r="H57" s="192"/>
      <c r="I57" s="554"/>
      <c r="J57" s="614">
        <v>46</v>
      </c>
      <c r="K57" s="614">
        <f t="shared" si="14"/>
        <v>0</v>
      </c>
      <c r="L57" s="192"/>
      <c r="M57" s="192"/>
      <c r="N57" s="657"/>
    </row>
    <row r="58" spans="1:14">
      <c r="A58" s="178"/>
      <c r="B58" s="178"/>
      <c r="C58" s="178"/>
      <c r="D58" s="178"/>
      <c r="E58" s="178"/>
      <c r="F58" s="621"/>
      <c r="G58" s="178" t="s">
        <v>171</v>
      </c>
      <c r="H58" s="192"/>
      <c r="I58" s="554"/>
      <c r="J58" s="614">
        <v>416</v>
      </c>
      <c r="K58" s="614">
        <f t="shared" si="14"/>
        <v>0</v>
      </c>
      <c r="L58" s="192"/>
      <c r="M58" s="192"/>
      <c r="N58" s="657"/>
    </row>
    <row r="59" spans="1:14">
      <c r="A59" s="178"/>
      <c r="B59" s="178"/>
      <c r="C59" s="178"/>
      <c r="D59" s="178"/>
      <c r="E59" s="178"/>
      <c r="F59" s="621"/>
      <c r="G59" s="178" t="s">
        <v>172</v>
      </c>
      <c r="H59" s="192"/>
      <c r="I59" s="554"/>
      <c r="J59" s="614">
        <v>165</v>
      </c>
      <c r="K59" s="614">
        <f>I59*J59</f>
        <v>0</v>
      </c>
      <c r="L59" s="192"/>
      <c r="M59" s="192"/>
      <c r="N59" s="657"/>
    </row>
    <row r="60" spans="1:14">
      <c r="A60" s="178"/>
      <c r="B60" s="178"/>
      <c r="C60" s="178"/>
      <c r="D60" s="178"/>
      <c r="E60" s="178"/>
      <c r="F60" s="621"/>
      <c r="G60" s="179" t="s">
        <v>181</v>
      </c>
      <c r="H60" s="192"/>
      <c r="I60" s="554"/>
      <c r="J60" s="614">
        <v>165</v>
      </c>
      <c r="K60" s="614">
        <f t="shared" ref="K60" si="15">I60*J60</f>
        <v>0</v>
      </c>
      <c r="L60" s="192"/>
      <c r="M60" s="192"/>
      <c r="N60" s="657"/>
    </row>
    <row r="61" spans="1:14">
      <c r="A61" s="178"/>
      <c r="B61" s="178"/>
      <c r="C61" s="178"/>
      <c r="D61" s="178"/>
      <c r="E61" s="180" t="s">
        <v>9</v>
      </c>
      <c r="F61" s="622">
        <f>SUM(F56:F60)</f>
        <v>0</v>
      </c>
      <c r="G61" s="180"/>
      <c r="H61" s="180"/>
      <c r="I61" s="554"/>
      <c r="J61" s="614"/>
      <c r="K61" s="152">
        <f>SUM(K56:K60)</f>
        <v>0</v>
      </c>
      <c r="L61" s="152" t="e">
        <f>K61/F61</f>
        <v>#DIV/0!</v>
      </c>
      <c r="M61" s="192"/>
      <c r="N61" s="657"/>
    </row>
    <row r="62" spans="1:14">
      <c r="A62" s="178">
        <v>5</v>
      </c>
      <c r="B62" s="178" t="s">
        <v>546</v>
      </c>
      <c r="C62" s="178" t="s">
        <v>547</v>
      </c>
      <c r="D62" s="178" t="s">
        <v>548</v>
      </c>
      <c r="E62" s="178"/>
      <c r="F62" s="621"/>
      <c r="G62" s="178" t="s">
        <v>24</v>
      </c>
      <c r="H62" s="192"/>
      <c r="I62" s="554"/>
      <c r="J62" s="614">
        <v>74</v>
      </c>
      <c r="K62" s="614">
        <f t="shared" ref="K62:K64" si="16">I62*J62</f>
        <v>0</v>
      </c>
      <c r="L62" s="192"/>
      <c r="M62" s="192"/>
      <c r="N62" s="657"/>
    </row>
    <row r="63" spans="1:14">
      <c r="A63" s="178"/>
      <c r="B63" s="178"/>
      <c r="C63" s="178"/>
      <c r="D63" s="178"/>
      <c r="E63" s="178"/>
      <c r="F63" s="621"/>
      <c r="G63" s="178" t="s">
        <v>18</v>
      </c>
      <c r="H63" s="192"/>
      <c r="I63" s="554"/>
      <c r="J63" s="614">
        <v>46</v>
      </c>
      <c r="K63" s="614">
        <f t="shared" si="16"/>
        <v>0</v>
      </c>
      <c r="L63" s="192"/>
      <c r="M63" s="192"/>
      <c r="N63" s="657"/>
    </row>
    <row r="64" spans="1:14">
      <c r="A64" s="178"/>
      <c r="B64" s="178"/>
      <c r="C64" s="178"/>
      <c r="D64" s="178"/>
      <c r="E64" s="178"/>
      <c r="F64" s="621"/>
      <c r="G64" s="178" t="s">
        <v>171</v>
      </c>
      <c r="H64" s="192"/>
      <c r="I64" s="554"/>
      <c r="J64" s="614">
        <v>416</v>
      </c>
      <c r="K64" s="614">
        <f t="shared" si="16"/>
        <v>0</v>
      </c>
      <c r="L64" s="192"/>
      <c r="M64" s="192"/>
      <c r="N64" s="657"/>
    </row>
    <row r="65" spans="1:14">
      <c r="A65" s="178"/>
      <c r="B65" s="178"/>
      <c r="C65" s="178"/>
      <c r="D65" s="178"/>
      <c r="E65" s="178"/>
      <c r="F65" s="621"/>
      <c r="G65" s="178" t="s">
        <v>172</v>
      </c>
      <c r="H65" s="192"/>
      <c r="I65" s="554"/>
      <c r="J65" s="614">
        <v>165</v>
      </c>
      <c r="K65" s="614">
        <f>I65*J65</f>
        <v>0</v>
      </c>
      <c r="L65" s="192"/>
      <c r="M65" s="192"/>
      <c r="N65" s="657"/>
    </row>
    <row r="66" spans="1:14">
      <c r="A66" s="178"/>
      <c r="B66" s="178"/>
      <c r="C66" s="178"/>
      <c r="D66" s="178"/>
      <c r="E66" s="178"/>
      <c r="F66" s="621"/>
      <c r="G66" s="179" t="s">
        <v>181</v>
      </c>
      <c r="H66" s="192"/>
      <c r="I66" s="554"/>
      <c r="J66" s="614">
        <v>165</v>
      </c>
      <c r="K66" s="614">
        <f t="shared" ref="K66" si="17">I66*J66</f>
        <v>0</v>
      </c>
      <c r="L66" s="192"/>
      <c r="M66" s="192"/>
      <c r="N66" s="657"/>
    </row>
    <row r="67" spans="1:14">
      <c r="A67" s="178"/>
      <c r="B67" s="178"/>
      <c r="C67" s="178"/>
      <c r="D67" s="178"/>
      <c r="E67" s="180" t="s">
        <v>9</v>
      </c>
      <c r="F67" s="622">
        <f>SUM(F62:F66)</f>
        <v>0</v>
      </c>
      <c r="G67" s="180"/>
      <c r="H67" s="180"/>
      <c r="I67" s="554"/>
      <c r="J67" s="614"/>
      <c r="K67" s="152">
        <f>SUM(K62:K66)</f>
        <v>0</v>
      </c>
      <c r="L67" s="152" t="e">
        <f>K67/F67</f>
        <v>#DIV/0!</v>
      </c>
      <c r="M67" s="192"/>
      <c r="N67" s="657"/>
    </row>
    <row r="68" spans="1:14">
      <c r="A68" s="178">
        <v>6</v>
      </c>
      <c r="B68" s="178" t="s">
        <v>277</v>
      </c>
      <c r="C68" s="178" t="s">
        <v>309</v>
      </c>
      <c r="D68" s="178" t="s">
        <v>594</v>
      </c>
      <c r="E68" s="178"/>
      <c r="F68" s="621"/>
      <c r="G68" s="178" t="s">
        <v>24</v>
      </c>
      <c r="H68" s="192"/>
      <c r="I68" s="554"/>
      <c r="J68" s="614">
        <v>74</v>
      </c>
      <c r="K68" s="614">
        <f t="shared" ref="K68:K70" si="18">I68*J68</f>
        <v>0</v>
      </c>
      <c r="L68" s="192"/>
      <c r="M68" s="192"/>
      <c r="N68" s="657"/>
    </row>
    <row r="69" spans="1:14">
      <c r="A69" s="178"/>
      <c r="B69" s="178"/>
      <c r="C69" s="178" t="s">
        <v>233</v>
      </c>
      <c r="D69" s="178" t="s">
        <v>595</v>
      </c>
      <c r="E69" s="178"/>
      <c r="F69" s="621"/>
      <c r="G69" s="178" t="s">
        <v>18</v>
      </c>
      <c r="H69" s="192"/>
      <c r="I69" s="554"/>
      <c r="J69" s="614">
        <v>46</v>
      </c>
      <c r="K69" s="614">
        <f t="shared" si="18"/>
        <v>0</v>
      </c>
      <c r="L69" s="192"/>
      <c r="M69" s="192"/>
      <c r="N69" s="657"/>
    </row>
    <row r="70" spans="1:14">
      <c r="A70" s="178"/>
      <c r="B70" s="178"/>
      <c r="C70" s="178" t="s">
        <v>217</v>
      </c>
      <c r="D70" s="178" t="s">
        <v>469</v>
      </c>
      <c r="E70" s="178"/>
      <c r="F70" s="621"/>
      <c r="G70" s="178" t="s">
        <v>171</v>
      </c>
      <c r="H70" s="192"/>
      <c r="I70" s="554"/>
      <c r="J70" s="614">
        <v>416</v>
      </c>
      <c r="K70" s="614">
        <f t="shared" si="18"/>
        <v>0</v>
      </c>
      <c r="L70" s="192"/>
      <c r="M70" s="192"/>
      <c r="N70" s="657"/>
    </row>
    <row r="71" spans="1:14">
      <c r="A71" s="178"/>
      <c r="B71" s="178"/>
      <c r="C71" s="178"/>
      <c r="D71" s="178"/>
      <c r="E71" s="178"/>
      <c r="F71" s="621"/>
      <c r="G71" s="178" t="s">
        <v>172</v>
      </c>
      <c r="H71" s="192"/>
      <c r="I71" s="554"/>
      <c r="J71" s="614">
        <v>165</v>
      </c>
      <c r="K71" s="614">
        <f>I71*J71</f>
        <v>0</v>
      </c>
      <c r="L71" s="192"/>
      <c r="M71" s="192"/>
      <c r="N71" s="657"/>
    </row>
    <row r="72" spans="1:14">
      <c r="A72" s="178"/>
      <c r="B72" s="178"/>
      <c r="C72" s="178"/>
      <c r="D72" s="178"/>
      <c r="E72" s="178"/>
      <c r="F72" s="621"/>
      <c r="G72" s="179" t="s">
        <v>181</v>
      </c>
      <c r="H72" s="192"/>
      <c r="I72" s="554"/>
      <c r="J72" s="614">
        <v>165</v>
      </c>
      <c r="K72" s="614">
        <f t="shared" ref="K72" si="19">I72*J72</f>
        <v>0</v>
      </c>
      <c r="L72" s="192"/>
      <c r="M72" s="192"/>
      <c r="N72" s="657"/>
    </row>
    <row r="73" spans="1:14">
      <c r="A73" s="178"/>
      <c r="B73" s="178"/>
      <c r="C73" s="178"/>
      <c r="D73" s="178"/>
      <c r="E73" s="180" t="s">
        <v>9</v>
      </c>
      <c r="F73" s="622">
        <f>SUM(F68:F72)</f>
        <v>0</v>
      </c>
      <c r="G73" s="180"/>
      <c r="H73" s="180"/>
      <c r="I73" s="554"/>
      <c r="J73" s="614"/>
      <c r="K73" s="152">
        <f>SUM(K68:K72)</f>
        <v>0</v>
      </c>
      <c r="L73" s="152" t="e">
        <f>K73/F73</f>
        <v>#DIV/0!</v>
      </c>
      <c r="M73" s="192"/>
      <c r="N73" s="657"/>
    </row>
    <row r="74" spans="1:14">
      <c r="A74" s="630"/>
      <c r="B74" s="630"/>
      <c r="C74" s="630"/>
      <c r="D74" s="180" t="s">
        <v>30</v>
      </c>
      <c r="E74" s="180"/>
      <c r="F74" s="625">
        <f>F49+F55+F61+F67+F73</f>
        <v>0</v>
      </c>
      <c r="G74" s="631"/>
      <c r="H74" s="631"/>
      <c r="I74" s="631"/>
      <c r="J74" s="631"/>
      <c r="K74" s="625">
        <f>K49+K55+K61+K67+K73</f>
        <v>0</v>
      </c>
      <c r="L74" s="627" t="e">
        <f>K74/F74</f>
        <v>#DIV/0!</v>
      </c>
      <c r="M74" s="192"/>
      <c r="N74" s="657"/>
    </row>
    <row r="75" spans="1:14">
      <c r="A75" s="628" t="s">
        <v>22</v>
      </c>
      <c r="B75" s="628"/>
      <c r="C75" s="628"/>
      <c r="D75" s="628"/>
      <c r="E75" s="628"/>
      <c r="F75" s="623"/>
      <c r="G75" s="623"/>
      <c r="H75" s="623"/>
      <c r="I75" s="623"/>
      <c r="J75" s="623"/>
      <c r="K75" s="849" t="s">
        <v>1211</v>
      </c>
      <c r="L75" s="849"/>
      <c r="M75" s="849"/>
      <c r="N75" s="657"/>
    </row>
    <row r="76" spans="1:14">
      <c r="A76" s="180" t="s">
        <v>0</v>
      </c>
      <c r="B76" s="180" t="s">
        <v>7</v>
      </c>
      <c r="C76" s="180" t="s">
        <v>13</v>
      </c>
      <c r="D76" s="180" t="s">
        <v>14</v>
      </c>
      <c r="E76" s="180" t="s">
        <v>8</v>
      </c>
      <c r="F76" s="180" t="s">
        <v>1</v>
      </c>
      <c r="G76" s="180" t="s">
        <v>2</v>
      </c>
      <c r="H76" s="180" t="s">
        <v>15</v>
      </c>
      <c r="I76" s="180" t="s">
        <v>3</v>
      </c>
      <c r="J76" s="180" t="s">
        <v>4</v>
      </c>
      <c r="K76" s="180" t="s">
        <v>5</v>
      </c>
      <c r="L76" s="180" t="s">
        <v>12</v>
      </c>
      <c r="M76" s="180" t="s">
        <v>6</v>
      </c>
      <c r="N76" s="657"/>
    </row>
    <row r="77" spans="1:14">
      <c r="A77" s="178">
        <v>1</v>
      </c>
      <c r="B77" s="178" t="s">
        <v>456</v>
      </c>
      <c r="C77" s="178" t="s">
        <v>386</v>
      </c>
      <c r="D77" s="178" t="s">
        <v>452</v>
      </c>
      <c r="E77" s="178"/>
      <c r="F77" s="619"/>
      <c r="G77" s="178" t="s">
        <v>24</v>
      </c>
      <c r="H77" s="192"/>
      <c r="I77" s="554"/>
      <c r="J77" s="614">
        <v>74</v>
      </c>
      <c r="K77" s="614">
        <f t="shared" ref="K77:K78" si="20">I77*J77</f>
        <v>0</v>
      </c>
      <c r="L77" s="192"/>
      <c r="M77" s="162"/>
      <c r="N77" s="657"/>
    </row>
    <row r="78" spans="1:14">
      <c r="A78" s="178"/>
      <c r="B78" s="178"/>
      <c r="C78" s="178"/>
      <c r="D78" s="178"/>
      <c r="E78" s="178"/>
      <c r="F78" s="621"/>
      <c r="G78" s="613" t="s">
        <v>10</v>
      </c>
      <c r="H78" s="192"/>
      <c r="I78" s="554"/>
      <c r="J78" s="614">
        <v>120</v>
      </c>
      <c r="K78" s="614">
        <f t="shared" si="20"/>
        <v>0</v>
      </c>
      <c r="L78" s="192"/>
      <c r="M78" s="192"/>
      <c r="N78" s="657"/>
    </row>
    <row r="79" spans="1:14">
      <c r="A79" s="178"/>
      <c r="B79" s="178"/>
      <c r="C79" s="178"/>
      <c r="D79" s="178"/>
      <c r="E79" s="180" t="s">
        <v>9</v>
      </c>
      <c r="F79" s="622">
        <f>SUM(F77:F78)</f>
        <v>0</v>
      </c>
      <c r="G79" s="180"/>
      <c r="H79" s="180"/>
      <c r="I79" s="554"/>
      <c r="J79" s="614"/>
      <c r="K79" s="152">
        <f>SUM(K77:K78)</f>
        <v>0</v>
      </c>
      <c r="L79" s="152" t="e">
        <f>K79/F79</f>
        <v>#DIV/0!</v>
      </c>
      <c r="M79" s="192"/>
      <c r="N79" s="657"/>
    </row>
    <row r="80" spans="1:14">
      <c r="A80" s="178">
        <v>2</v>
      </c>
      <c r="B80" s="178" t="s">
        <v>549</v>
      </c>
      <c r="C80" s="178" t="s">
        <v>470</v>
      </c>
      <c r="D80" s="178" t="s">
        <v>467</v>
      </c>
      <c r="E80" s="178"/>
      <c r="F80" s="619"/>
      <c r="G80" s="178" t="s">
        <v>24</v>
      </c>
      <c r="H80" s="192"/>
      <c r="I80" s="554"/>
      <c r="J80" s="614">
        <v>80</v>
      </c>
      <c r="K80" s="614">
        <f t="shared" ref="K80:K81" si="21">I80*J80</f>
        <v>0</v>
      </c>
      <c r="L80" s="192"/>
      <c r="M80" s="192"/>
      <c r="N80" s="657"/>
    </row>
    <row r="81" spans="1:14">
      <c r="A81" s="178"/>
      <c r="B81" s="178"/>
      <c r="C81" s="178"/>
      <c r="D81" s="178"/>
      <c r="E81" s="178"/>
      <c r="F81" s="621"/>
      <c r="G81" s="613" t="s">
        <v>10</v>
      </c>
      <c r="H81" s="192"/>
      <c r="I81" s="554"/>
      <c r="J81" s="614">
        <v>120</v>
      </c>
      <c r="K81" s="614">
        <f t="shared" si="21"/>
        <v>0</v>
      </c>
      <c r="L81" s="192"/>
      <c r="M81" s="192"/>
      <c r="N81" s="657"/>
    </row>
    <row r="82" spans="1:14">
      <c r="A82" s="178"/>
      <c r="B82" s="178"/>
      <c r="C82" s="178"/>
      <c r="D82" s="178"/>
      <c r="E82" s="180" t="s">
        <v>9</v>
      </c>
      <c r="F82" s="622">
        <f>SUM(F80:F81)</f>
        <v>0</v>
      </c>
      <c r="G82" s="180"/>
      <c r="H82" s="180"/>
      <c r="I82" s="554"/>
      <c r="J82" s="614"/>
      <c r="K82" s="152">
        <f>SUM(K80:K81)</f>
        <v>0</v>
      </c>
      <c r="L82" s="152" t="e">
        <f>K82/F82</f>
        <v>#DIV/0!</v>
      </c>
      <c r="M82" s="192"/>
      <c r="N82" s="657"/>
    </row>
    <row r="83" spans="1:14">
      <c r="A83" s="178">
        <v>3</v>
      </c>
      <c r="B83" s="178" t="s">
        <v>565</v>
      </c>
      <c r="C83" s="178" t="s">
        <v>566</v>
      </c>
      <c r="D83" s="178" t="s">
        <v>556</v>
      </c>
      <c r="E83" s="178"/>
      <c r="F83" s="619"/>
      <c r="G83" s="178" t="s">
        <v>24</v>
      </c>
      <c r="H83" s="192"/>
      <c r="I83" s="554"/>
      <c r="J83" s="614">
        <v>80</v>
      </c>
      <c r="K83" s="614">
        <f t="shared" ref="K83:K84" si="22">I83*J83</f>
        <v>0</v>
      </c>
      <c r="L83" s="192"/>
      <c r="M83" s="192"/>
      <c r="N83" s="657"/>
    </row>
    <row r="84" spans="1:14">
      <c r="A84" s="178"/>
      <c r="B84" s="178"/>
      <c r="C84" s="178"/>
      <c r="D84" s="178"/>
      <c r="E84" s="178"/>
      <c r="F84" s="621"/>
      <c r="G84" s="613" t="s">
        <v>10</v>
      </c>
      <c r="H84" s="192"/>
      <c r="I84" s="554"/>
      <c r="J84" s="614">
        <v>120</v>
      </c>
      <c r="K84" s="614">
        <f t="shared" si="22"/>
        <v>0</v>
      </c>
      <c r="L84" s="192"/>
      <c r="M84" s="192"/>
      <c r="N84" s="657"/>
    </row>
    <row r="85" spans="1:14">
      <c r="A85" s="178"/>
      <c r="B85" s="178"/>
      <c r="C85" s="178"/>
      <c r="D85" s="178"/>
      <c r="E85" s="180" t="s">
        <v>9</v>
      </c>
      <c r="F85" s="622">
        <f>SUM(F83:F84)</f>
        <v>0</v>
      </c>
      <c r="G85" s="180"/>
      <c r="H85" s="180"/>
      <c r="I85" s="554"/>
      <c r="J85" s="614"/>
      <c r="K85" s="152">
        <f>SUM(K83:K84)</f>
        <v>0</v>
      </c>
      <c r="L85" s="152" t="e">
        <f>K85/F85</f>
        <v>#DIV/0!</v>
      </c>
      <c r="M85" s="192"/>
      <c r="N85" s="657"/>
    </row>
    <row r="86" spans="1:14">
      <c r="A86" s="178">
        <v>4</v>
      </c>
      <c r="B86" s="178" t="s">
        <v>537</v>
      </c>
      <c r="C86" s="629" t="s">
        <v>542</v>
      </c>
      <c r="D86" s="629" t="s">
        <v>539</v>
      </c>
      <c r="E86" s="178"/>
      <c r="F86" s="621"/>
      <c r="G86" s="178" t="s">
        <v>24</v>
      </c>
      <c r="H86" s="192"/>
      <c r="I86" s="554"/>
      <c r="J86" s="614">
        <v>80</v>
      </c>
      <c r="K86" s="614">
        <f t="shared" ref="K86:K87" si="23">I86*J86</f>
        <v>0</v>
      </c>
      <c r="L86" s="152"/>
      <c r="M86" s="192"/>
      <c r="N86" s="657"/>
    </row>
    <row r="87" spans="1:14">
      <c r="A87" s="178"/>
      <c r="B87" s="178"/>
      <c r="C87" s="178"/>
      <c r="D87" s="178"/>
      <c r="E87" s="180"/>
      <c r="F87" s="622"/>
      <c r="G87" s="613" t="s">
        <v>10</v>
      </c>
      <c r="H87" s="192"/>
      <c r="I87" s="554"/>
      <c r="J87" s="614">
        <v>120</v>
      </c>
      <c r="K87" s="614">
        <f t="shared" si="23"/>
        <v>0</v>
      </c>
      <c r="L87" s="152"/>
      <c r="M87" s="192"/>
      <c r="N87" s="657"/>
    </row>
    <row r="88" spans="1:14">
      <c r="A88" s="178"/>
      <c r="B88" s="178"/>
      <c r="C88" s="178"/>
      <c r="D88" s="178"/>
      <c r="E88" s="180" t="s">
        <v>9</v>
      </c>
      <c r="F88" s="622">
        <f>SUM(F86:F87)</f>
        <v>0</v>
      </c>
      <c r="G88" s="180"/>
      <c r="H88" s="180"/>
      <c r="I88" s="554"/>
      <c r="J88" s="614"/>
      <c r="K88" s="152">
        <f>SUM(K86:K87)</f>
        <v>0</v>
      </c>
      <c r="L88" s="152" t="e">
        <f>K88/F88</f>
        <v>#DIV/0!</v>
      </c>
      <c r="M88" s="192"/>
      <c r="N88" s="657"/>
    </row>
    <row r="89" spans="1:14">
      <c r="A89" s="178">
        <v>5</v>
      </c>
      <c r="B89" s="178" t="s">
        <v>444</v>
      </c>
      <c r="C89" s="178" t="s">
        <v>256</v>
      </c>
      <c r="D89" s="178" t="s">
        <v>527</v>
      </c>
      <c r="E89" s="178"/>
      <c r="F89" s="621"/>
      <c r="G89" s="178" t="s">
        <v>24</v>
      </c>
      <c r="H89" s="192"/>
      <c r="I89" s="554"/>
      <c r="J89" s="614">
        <v>80</v>
      </c>
      <c r="K89" s="614">
        <f t="shared" ref="K89:K90" si="24">I89*J89</f>
        <v>0</v>
      </c>
      <c r="L89" s="192"/>
      <c r="M89" s="192"/>
      <c r="N89" s="657"/>
    </row>
    <row r="90" spans="1:14">
      <c r="A90" s="178"/>
      <c r="B90" s="178" t="s">
        <v>444</v>
      </c>
      <c r="C90" s="178" t="s">
        <v>256</v>
      </c>
      <c r="D90" s="178" t="s">
        <v>528</v>
      </c>
      <c r="E90" s="178"/>
      <c r="F90" s="621"/>
      <c r="G90" s="613" t="s">
        <v>10</v>
      </c>
      <c r="H90" s="192"/>
      <c r="I90" s="554"/>
      <c r="J90" s="614">
        <v>120</v>
      </c>
      <c r="K90" s="614">
        <f t="shared" si="24"/>
        <v>0</v>
      </c>
      <c r="L90" s="192"/>
      <c r="M90" s="192"/>
      <c r="N90" s="657"/>
    </row>
    <row r="91" spans="1:14">
      <c r="A91" s="178"/>
      <c r="B91" s="178"/>
      <c r="C91" s="178"/>
      <c r="D91" s="178"/>
      <c r="E91" s="180" t="s">
        <v>9</v>
      </c>
      <c r="F91" s="622">
        <f>SUM(F89:F90)</f>
        <v>0</v>
      </c>
      <c r="G91" s="180"/>
      <c r="H91" s="180"/>
      <c r="I91" s="554"/>
      <c r="J91" s="614"/>
      <c r="K91" s="152">
        <f>SUM(K89:K90)</f>
        <v>0</v>
      </c>
      <c r="L91" s="152" t="e">
        <f>K91/F91</f>
        <v>#DIV/0!</v>
      </c>
      <c r="M91" s="192"/>
      <c r="N91" s="657"/>
    </row>
    <row r="92" spans="1:14">
      <c r="A92" s="623"/>
      <c r="B92" s="623"/>
      <c r="C92" s="623"/>
      <c r="D92" s="624" t="s">
        <v>30</v>
      </c>
      <c r="E92" s="624"/>
      <c r="F92" s="625">
        <f>F79+F82+F85+F88+F91</f>
        <v>0</v>
      </c>
      <c r="G92" s="626"/>
      <c r="H92" s="626"/>
      <c r="I92" s="626"/>
      <c r="J92" s="626"/>
      <c r="K92" s="625">
        <f>K79+K82+K85+K88+K91</f>
        <v>0</v>
      </c>
      <c r="L92" s="627" t="e">
        <f>K92/F92</f>
        <v>#DIV/0!</v>
      </c>
      <c r="M92" s="623"/>
      <c r="N92" s="657"/>
    </row>
    <row r="93" spans="1:14">
      <c r="A93" s="628" t="s">
        <v>16</v>
      </c>
      <c r="B93" s="628"/>
      <c r="C93" s="628"/>
      <c r="D93" s="628"/>
      <c r="E93" s="628"/>
      <c r="F93" s="623"/>
      <c r="G93" s="623"/>
      <c r="H93" s="623"/>
      <c r="I93" s="623"/>
      <c r="J93" s="623"/>
      <c r="K93" s="849" t="s">
        <v>1211</v>
      </c>
      <c r="L93" s="849"/>
      <c r="M93" s="849"/>
      <c r="N93" s="657"/>
    </row>
    <row r="94" spans="1:14">
      <c r="A94" s="180" t="s">
        <v>0</v>
      </c>
      <c r="B94" s="180" t="s">
        <v>7</v>
      </c>
      <c r="C94" s="180" t="s">
        <v>13</v>
      </c>
      <c r="D94" s="180" t="s">
        <v>14</v>
      </c>
      <c r="E94" s="180" t="s">
        <v>8</v>
      </c>
      <c r="F94" s="180" t="s">
        <v>1</v>
      </c>
      <c r="G94" s="180" t="s">
        <v>2</v>
      </c>
      <c r="H94" s="180" t="s">
        <v>15</v>
      </c>
      <c r="I94" s="180" t="s">
        <v>3</v>
      </c>
      <c r="J94" s="180" t="s">
        <v>4</v>
      </c>
      <c r="K94" s="180" t="s">
        <v>5</v>
      </c>
      <c r="L94" s="180" t="s">
        <v>12</v>
      </c>
      <c r="M94" s="180" t="s">
        <v>6</v>
      </c>
      <c r="N94" s="657"/>
    </row>
    <row r="95" spans="1:14">
      <c r="A95" s="178"/>
      <c r="B95" s="178"/>
      <c r="C95" s="178"/>
      <c r="D95" s="178"/>
      <c r="E95" s="178"/>
      <c r="F95" s="621"/>
      <c r="G95" s="178" t="s">
        <v>75</v>
      </c>
      <c r="H95" s="178"/>
      <c r="I95" s="632"/>
      <c r="J95" s="633">
        <v>367</v>
      </c>
      <c r="K95" s="633">
        <f t="shared" ref="K95" si="25">I95*J95</f>
        <v>0</v>
      </c>
      <c r="L95" s="192"/>
      <c r="M95" s="162"/>
      <c r="N95" s="657"/>
    </row>
    <row r="96" spans="1:14">
      <c r="A96" s="178"/>
      <c r="B96" s="178"/>
      <c r="C96" s="178"/>
      <c r="D96" s="178"/>
      <c r="E96" s="178"/>
      <c r="F96" s="621"/>
      <c r="G96" s="178" t="s">
        <v>20</v>
      </c>
      <c r="H96" s="192"/>
      <c r="I96" s="554"/>
      <c r="J96" s="614">
        <v>315</v>
      </c>
      <c r="K96" s="614">
        <f t="shared" ref="K96" si="26">I96*J96</f>
        <v>0</v>
      </c>
      <c r="L96" s="192"/>
      <c r="M96" s="192"/>
      <c r="N96" s="657"/>
    </row>
    <row r="97" spans="1:15">
      <c r="A97" s="178"/>
      <c r="B97" s="178"/>
      <c r="C97" s="178"/>
      <c r="D97" s="178"/>
      <c r="E97" s="180" t="s">
        <v>9</v>
      </c>
      <c r="F97" s="622">
        <f>SUM(F96:F96)</f>
        <v>0</v>
      </c>
      <c r="G97" s="180"/>
      <c r="H97" s="180"/>
      <c r="I97" s="554"/>
      <c r="J97" s="614"/>
      <c r="K97" s="152">
        <f>SUM(K96:K96)</f>
        <v>0</v>
      </c>
      <c r="L97" s="152" t="e">
        <f>K97/F97</f>
        <v>#DIV/0!</v>
      </c>
      <c r="M97" s="192"/>
      <c r="N97" s="657"/>
    </row>
    <row r="98" spans="1:15">
      <c r="A98" s="634"/>
      <c r="B98" s="634"/>
      <c r="C98" s="634"/>
      <c r="D98" s="624" t="s">
        <v>30</v>
      </c>
      <c r="E98" s="624"/>
      <c r="F98" s="625">
        <f>F97</f>
        <v>0</v>
      </c>
      <c r="G98" s="626"/>
      <c r="H98" s="626"/>
      <c r="I98" s="626"/>
      <c r="J98" s="626"/>
      <c r="K98" s="625">
        <f>K97</f>
        <v>0</v>
      </c>
      <c r="L98" s="627" t="e">
        <f>K98/F98</f>
        <v>#DIV/0!</v>
      </c>
      <c r="M98" s="630"/>
      <c r="N98" s="657"/>
    </row>
    <row r="99" spans="1:15">
      <c r="A99" s="628" t="s">
        <v>72</v>
      </c>
      <c r="B99" s="628"/>
      <c r="C99" s="628"/>
      <c r="D99" s="628"/>
      <c r="E99" s="628"/>
      <c r="F99" s="623"/>
      <c r="G99" s="623"/>
      <c r="H99" s="623"/>
      <c r="I99" s="635"/>
      <c r="J99" s="623"/>
      <c r="K99" s="849" t="s">
        <v>1211</v>
      </c>
      <c r="L99" s="849"/>
      <c r="M99" s="849"/>
      <c r="N99" s="657"/>
    </row>
    <row r="100" spans="1:15">
      <c r="A100" s="180" t="s">
        <v>0</v>
      </c>
      <c r="B100" s="180" t="s">
        <v>7</v>
      </c>
      <c r="C100" s="180" t="s">
        <v>13</v>
      </c>
      <c r="D100" s="180" t="s">
        <v>14</v>
      </c>
      <c r="E100" s="180" t="s">
        <v>8</v>
      </c>
      <c r="F100" s="180" t="s">
        <v>1</v>
      </c>
      <c r="G100" s="180" t="s">
        <v>2</v>
      </c>
      <c r="H100" s="180" t="s">
        <v>15</v>
      </c>
      <c r="I100" s="636" t="s">
        <v>3</v>
      </c>
      <c r="J100" s="180" t="s">
        <v>4</v>
      </c>
      <c r="K100" s="180" t="s">
        <v>5</v>
      </c>
      <c r="L100" s="180" t="s">
        <v>12</v>
      </c>
      <c r="M100" s="180" t="s">
        <v>6</v>
      </c>
      <c r="N100" s="658"/>
    </row>
    <row r="101" spans="1:15">
      <c r="A101" s="178">
        <v>5908</v>
      </c>
      <c r="B101" s="178" t="s">
        <v>628</v>
      </c>
      <c r="C101" s="178" t="s">
        <v>386</v>
      </c>
      <c r="D101" s="178" t="s">
        <v>452</v>
      </c>
      <c r="E101" s="178" t="s">
        <v>262</v>
      </c>
      <c r="F101" s="619"/>
      <c r="G101" s="640" t="s">
        <v>461</v>
      </c>
      <c r="H101" s="192"/>
      <c r="I101" s="554"/>
      <c r="J101" s="614">
        <v>1462</v>
      </c>
      <c r="K101" s="614">
        <f>I101*J101</f>
        <v>0</v>
      </c>
      <c r="L101" s="192"/>
      <c r="M101" s="192"/>
      <c r="N101" s="657"/>
    </row>
    <row r="102" spans="1:15">
      <c r="A102" s="178"/>
      <c r="B102" s="178"/>
      <c r="C102" s="178"/>
      <c r="D102" s="178" t="s">
        <v>230</v>
      </c>
      <c r="E102" s="153"/>
      <c r="F102" s="645"/>
      <c r="G102" s="640" t="s">
        <v>462</v>
      </c>
      <c r="H102" s="192"/>
      <c r="I102" s="554"/>
      <c r="J102" s="614">
        <v>2721</v>
      </c>
      <c r="K102" s="614">
        <f t="shared" ref="K102:K110" si="27">I102*J102</f>
        <v>0</v>
      </c>
      <c r="L102" s="192"/>
      <c r="M102" s="192"/>
      <c r="N102" s="657"/>
    </row>
    <row r="103" spans="1:15">
      <c r="A103" s="178"/>
      <c r="B103" s="178"/>
      <c r="C103" s="178"/>
      <c r="D103" s="178"/>
      <c r="E103" s="153"/>
      <c r="F103" s="645"/>
      <c r="G103" s="640" t="s">
        <v>463</v>
      </c>
      <c r="H103" s="192"/>
      <c r="I103" s="554"/>
      <c r="J103" s="614">
        <v>3454</v>
      </c>
      <c r="K103" s="614">
        <f t="shared" si="27"/>
        <v>0</v>
      </c>
      <c r="L103" s="192"/>
      <c r="M103" s="192"/>
      <c r="N103" s="657"/>
    </row>
    <row r="104" spans="1:15">
      <c r="A104" s="178"/>
      <c r="B104" s="178"/>
      <c r="C104" s="178"/>
      <c r="D104" s="178"/>
      <c r="E104" s="153"/>
      <c r="F104" s="645"/>
      <c r="G104" s="179" t="s">
        <v>264</v>
      </c>
      <c r="H104" s="192"/>
      <c r="I104" s="554"/>
      <c r="J104" s="614">
        <v>2770</v>
      </c>
      <c r="K104" s="614">
        <f t="shared" si="27"/>
        <v>0</v>
      </c>
      <c r="L104" s="192"/>
      <c r="M104" s="192"/>
      <c r="N104" s="657"/>
    </row>
    <row r="105" spans="1:15">
      <c r="A105" s="178"/>
      <c r="B105" s="178"/>
      <c r="C105" s="178"/>
      <c r="D105" s="178"/>
      <c r="E105" s="153"/>
      <c r="F105" s="645"/>
      <c r="G105" s="179" t="s">
        <v>487</v>
      </c>
      <c r="H105" s="192"/>
      <c r="I105" s="554"/>
      <c r="J105" s="614">
        <v>1458</v>
      </c>
      <c r="K105" s="614">
        <f t="shared" si="27"/>
        <v>0</v>
      </c>
      <c r="L105" s="192"/>
      <c r="M105" s="192"/>
      <c r="N105" s="657"/>
    </row>
    <row r="106" spans="1:15">
      <c r="A106" s="178"/>
      <c r="B106" s="178"/>
      <c r="C106" s="178"/>
      <c r="D106" s="178"/>
      <c r="E106" s="153"/>
      <c r="F106" s="645"/>
      <c r="G106" s="719" t="s">
        <v>488</v>
      </c>
      <c r="H106" s="192"/>
      <c r="I106" s="554"/>
      <c r="J106" s="614">
        <v>1426</v>
      </c>
      <c r="K106" s="614">
        <f t="shared" si="27"/>
        <v>0</v>
      </c>
      <c r="L106" s="192"/>
      <c r="M106" s="192"/>
      <c r="N106" s="657"/>
      <c r="O106" t="s">
        <v>239</v>
      </c>
    </row>
    <row r="107" spans="1:15">
      <c r="A107" s="178"/>
      <c r="B107" s="178"/>
      <c r="C107" s="178"/>
      <c r="D107" s="178"/>
      <c r="E107" s="153"/>
      <c r="F107" s="645"/>
      <c r="G107" s="178" t="s">
        <v>184</v>
      </c>
      <c r="H107" s="178"/>
      <c r="I107" s="554"/>
      <c r="J107" s="614">
        <v>369</v>
      </c>
      <c r="K107" s="633">
        <f t="shared" si="27"/>
        <v>0</v>
      </c>
      <c r="L107" s="192"/>
      <c r="M107" s="192"/>
      <c r="N107" s="657"/>
    </row>
    <row r="108" spans="1:15">
      <c r="A108" s="178"/>
      <c r="B108" s="178"/>
      <c r="C108" s="178"/>
      <c r="D108" s="178"/>
      <c r="E108" s="153"/>
      <c r="F108" s="645"/>
      <c r="G108" s="178" t="s">
        <v>489</v>
      </c>
      <c r="H108" s="192"/>
      <c r="I108" s="554"/>
      <c r="J108" s="614">
        <v>257</v>
      </c>
      <c r="K108" s="614">
        <f t="shared" si="27"/>
        <v>0</v>
      </c>
      <c r="L108" s="192"/>
      <c r="M108" s="192"/>
      <c r="N108" s="657"/>
    </row>
    <row r="109" spans="1:15">
      <c r="A109" s="178"/>
      <c r="B109" s="178"/>
      <c r="C109" s="178"/>
      <c r="D109" s="178"/>
      <c r="E109" s="153"/>
      <c r="F109" s="645"/>
      <c r="G109" s="613" t="s">
        <v>10</v>
      </c>
      <c r="H109" s="192"/>
      <c r="I109" s="554"/>
      <c r="J109" s="614">
        <v>120</v>
      </c>
      <c r="K109" s="614">
        <f t="shared" si="27"/>
        <v>0</v>
      </c>
      <c r="L109" s="192"/>
      <c r="M109" s="192"/>
      <c r="N109" s="657"/>
    </row>
    <row r="110" spans="1:15">
      <c r="A110" s="178"/>
      <c r="B110" s="178"/>
      <c r="C110" s="178"/>
      <c r="D110" s="178"/>
      <c r="E110" s="153"/>
      <c r="F110" s="645"/>
      <c r="G110" s="178" t="s">
        <v>202</v>
      </c>
      <c r="H110" s="104"/>
      <c r="I110" s="660"/>
      <c r="J110" s="614">
        <v>386</v>
      </c>
      <c r="K110" s="660">
        <f t="shared" si="27"/>
        <v>0</v>
      </c>
      <c r="L110" s="104"/>
      <c r="M110" s="192"/>
      <c r="N110" s="657"/>
    </row>
    <row r="111" spans="1:15">
      <c r="A111" s="178"/>
      <c r="B111" s="178"/>
      <c r="C111" s="178"/>
      <c r="D111" s="178"/>
      <c r="E111" s="180" t="s">
        <v>9</v>
      </c>
      <c r="F111" s="622">
        <f>SUM(F101:F110)</f>
        <v>0</v>
      </c>
      <c r="G111" s="180"/>
      <c r="H111" s="180"/>
      <c r="I111" s="554"/>
      <c r="J111" s="614"/>
      <c r="K111" s="152">
        <f>SUM(K101:K110)</f>
        <v>0</v>
      </c>
      <c r="L111" s="152" t="e">
        <f>K111/F111</f>
        <v>#DIV/0!</v>
      </c>
      <c r="M111" s="178"/>
      <c r="N111" s="657"/>
    </row>
    <row r="112" spans="1:15">
      <c r="A112" s="178">
        <v>5907</v>
      </c>
      <c r="B112" s="178" t="s">
        <v>537</v>
      </c>
      <c r="C112" s="178" t="s">
        <v>538</v>
      </c>
      <c r="D112" s="178" t="s">
        <v>539</v>
      </c>
      <c r="E112" s="178" t="s">
        <v>102</v>
      </c>
      <c r="F112" s="619"/>
      <c r="G112" s="639" t="s">
        <v>190</v>
      </c>
      <c r="H112" s="192"/>
      <c r="I112" s="554"/>
      <c r="J112" s="614">
        <v>890</v>
      </c>
      <c r="K112" s="614">
        <f t="shared" ref="K112:K114" si="28">I112*J112</f>
        <v>0</v>
      </c>
      <c r="L112" s="192"/>
      <c r="M112" s="192"/>
      <c r="N112" s="657">
        <f>16500+5000</f>
        <v>21500</v>
      </c>
    </row>
    <row r="113" spans="1:14">
      <c r="A113" s="178"/>
      <c r="B113" s="178"/>
      <c r="C113" s="178"/>
      <c r="D113" s="178"/>
      <c r="E113" s="178"/>
      <c r="F113" s="621"/>
      <c r="G113" s="640" t="s">
        <v>192</v>
      </c>
      <c r="H113" s="192"/>
      <c r="I113" s="554"/>
      <c r="J113" s="614">
        <v>1742</v>
      </c>
      <c r="K113" s="614">
        <f t="shared" si="28"/>
        <v>0</v>
      </c>
      <c r="L113" s="192"/>
      <c r="M113" s="192"/>
      <c r="N113" s="657"/>
    </row>
    <row r="114" spans="1:14">
      <c r="A114" s="178"/>
      <c r="B114" s="178"/>
      <c r="C114" s="178"/>
      <c r="D114" s="178"/>
      <c r="E114" s="178"/>
      <c r="F114" s="621"/>
      <c r="G114" s="640" t="s">
        <v>193</v>
      </c>
      <c r="H114" s="192"/>
      <c r="I114" s="554"/>
      <c r="J114" s="614">
        <v>1545</v>
      </c>
      <c r="K114" s="614">
        <f t="shared" si="28"/>
        <v>0</v>
      </c>
      <c r="L114" s="192"/>
      <c r="M114" s="192"/>
      <c r="N114" s="657"/>
    </row>
    <row r="115" spans="1:14">
      <c r="A115" s="178"/>
      <c r="B115" s="178"/>
      <c r="C115" s="178"/>
      <c r="D115" s="178"/>
      <c r="E115" s="178"/>
      <c r="F115" s="621"/>
      <c r="G115" s="178" t="s">
        <v>356</v>
      </c>
      <c r="H115" s="178"/>
      <c r="I115" s="554"/>
      <c r="J115" s="614">
        <v>178</v>
      </c>
      <c r="K115" s="633">
        <f t="shared" ref="K115:K116" si="29">I115*J115</f>
        <v>0</v>
      </c>
      <c r="L115" s="192"/>
      <c r="M115" s="192"/>
      <c r="N115" s="657"/>
    </row>
    <row r="116" spans="1:14">
      <c r="A116" s="178"/>
      <c r="B116" s="178"/>
      <c r="C116" s="178"/>
      <c r="D116" s="178"/>
      <c r="E116" s="178"/>
      <c r="F116" s="621"/>
      <c r="G116" s="640" t="s">
        <v>185</v>
      </c>
      <c r="H116" s="192"/>
      <c r="I116" s="554"/>
      <c r="J116" s="614">
        <v>623</v>
      </c>
      <c r="K116" s="614">
        <f t="shared" si="29"/>
        <v>0</v>
      </c>
      <c r="L116" s="192"/>
      <c r="M116" s="192"/>
      <c r="N116" s="657"/>
    </row>
    <row r="117" spans="1:14">
      <c r="A117" s="178"/>
      <c r="B117" s="178"/>
      <c r="C117" s="178"/>
      <c r="D117" s="178"/>
      <c r="E117" s="180" t="s">
        <v>9</v>
      </c>
      <c r="F117" s="622">
        <f>SUM(F112:F116)</f>
        <v>0</v>
      </c>
      <c r="G117" s="180"/>
      <c r="H117" s="180"/>
      <c r="I117" s="554"/>
      <c r="J117" s="614"/>
      <c r="K117" s="152">
        <f>SUM(K112:K116)</f>
        <v>0</v>
      </c>
      <c r="L117" s="152" t="e">
        <f>K117/F117</f>
        <v>#DIV/0!</v>
      </c>
      <c r="M117" s="192"/>
      <c r="N117" s="657"/>
    </row>
    <row r="118" spans="1:14">
      <c r="A118" s="178">
        <v>5243</v>
      </c>
      <c r="B118" s="178" t="s">
        <v>277</v>
      </c>
      <c r="C118" s="178" t="s">
        <v>121</v>
      </c>
      <c r="D118" s="178" t="s">
        <v>263</v>
      </c>
      <c r="E118" s="178" t="s">
        <v>629</v>
      </c>
      <c r="F118" s="638"/>
      <c r="G118" s="639" t="s">
        <v>258</v>
      </c>
      <c r="H118" s="192"/>
      <c r="I118" s="554"/>
      <c r="J118" s="614">
        <v>3562</v>
      </c>
      <c r="K118" s="614">
        <f t="shared" ref="K118:K122" si="30">I118*J118</f>
        <v>0</v>
      </c>
      <c r="L118" s="491"/>
      <c r="M118" s="192"/>
      <c r="N118" s="657"/>
    </row>
    <row r="119" spans="1:14">
      <c r="A119" s="178"/>
      <c r="B119" s="178"/>
      <c r="C119" s="178"/>
      <c r="D119" s="178"/>
      <c r="E119" s="178"/>
      <c r="F119" s="621"/>
      <c r="G119" s="639" t="s">
        <v>259</v>
      </c>
      <c r="H119" s="192"/>
      <c r="I119" s="554"/>
      <c r="J119" s="614">
        <v>3520</v>
      </c>
      <c r="K119" s="614">
        <f t="shared" si="30"/>
        <v>0</v>
      </c>
      <c r="L119" s="491"/>
      <c r="M119" s="192"/>
      <c r="N119" s="657"/>
    </row>
    <row r="120" spans="1:14">
      <c r="A120" s="178"/>
      <c r="B120" s="178"/>
      <c r="C120" s="178"/>
      <c r="D120" s="178"/>
      <c r="E120" s="178"/>
      <c r="F120" s="621"/>
      <c r="G120" s="640" t="s">
        <v>260</v>
      </c>
      <c r="H120" s="192"/>
      <c r="I120" s="554"/>
      <c r="J120" s="614">
        <v>4545</v>
      </c>
      <c r="K120" s="614">
        <f t="shared" si="30"/>
        <v>0</v>
      </c>
      <c r="L120" s="491"/>
      <c r="M120" s="192"/>
      <c r="N120" s="657"/>
    </row>
    <row r="121" spans="1:14">
      <c r="A121" s="178"/>
      <c r="B121" s="178"/>
      <c r="C121" s="178"/>
      <c r="D121" s="178"/>
      <c r="E121" s="178"/>
      <c r="F121" s="621"/>
      <c r="G121" s="178" t="s">
        <v>184</v>
      </c>
      <c r="H121" s="178"/>
      <c r="I121" s="554"/>
      <c r="J121" s="614">
        <v>369</v>
      </c>
      <c r="K121" s="633">
        <f t="shared" si="30"/>
        <v>0</v>
      </c>
      <c r="L121" s="491"/>
      <c r="M121" s="192"/>
      <c r="N121" s="657"/>
    </row>
    <row r="122" spans="1:14">
      <c r="A122" s="178"/>
      <c r="B122" s="178"/>
      <c r="C122" s="178"/>
      <c r="D122" s="178"/>
      <c r="E122" s="178"/>
      <c r="F122" s="621"/>
      <c r="G122" s="640" t="s">
        <v>185</v>
      </c>
      <c r="H122" s="192"/>
      <c r="I122" s="632"/>
      <c r="J122" s="614">
        <v>623</v>
      </c>
      <c r="K122" s="614">
        <f t="shared" si="30"/>
        <v>0</v>
      </c>
      <c r="L122" s="491"/>
      <c r="M122" s="192"/>
      <c r="N122" s="657"/>
    </row>
    <row r="123" spans="1:14">
      <c r="A123" s="178"/>
      <c r="B123" s="178"/>
      <c r="C123" s="178"/>
      <c r="D123" s="178"/>
      <c r="E123" s="180" t="s">
        <v>9</v>
      </c>
      <c r="F123" s="622">
        <f>SUM(F118:F122)</f>
        <v>0</v>
      </c>
      <c r="G123" s="180"/>
      <c r="H123" s="180"/>
      <c r="I123" s="554"/>
      <c r="J123" s="614"/>
      <c r="K123" s="152">
        <f>SUM(K118:K122)</f>
        <v>0</v>
      </c>
      <c r="L123" s="152" t="e">
        <f>K123/F123</f>
        <v>#DIV/0!</v>
      </c>
      <c r="M123" s="192"/>
      <c r="N123" s="657"/>
    </row>
    <row r="124" spans="1:14">
      <c r="A124" s="178">
        <v>5242</v>
      </c>
      <c r="B124" s="178" t="s">
        <v>277</v>
      </c>
      <c r="C124" s="178" t="s">
        <v>233</v>
      </c>
      <c r="D124" s="178" t="s">
        <v>453</v>
      </c>
      <c r="E124" s="178" t="s">
        <v>630</v>
      </c>
      <c r="F124" s="638"/>
      <c r="G124" s="639" t="s">
        <v>258</v>
      </c>
      <c r="H124" s="192"/>
      <c r="I124" s="554"/>
      <c r="J124" s="614">
        <v>3562</v>
      </c>
      <c r="K124" s="614">
        <f t="shared" ref="K124:K134" si="31">I124*J124</f>
        <v>0</v>
      </c>
      <c r="L124" s="491"/>
      <c r="M124" s="192"/>
      <c r="N124" s="657"/>
    </row>
    <row r="125" spans="1:14">
      <c r="A125" s="178"/>
      <c r="B125" s="178"/>
      <c r="C125" s="178"/>
      <c r="D125" s="178"/>
      <c r="E125" s="178"/>
      <c r="F125" s="621"/>
      <c r="G125" s="639" t="s">
        <v>259</v>
      </c>
      <c r="H125" s="192"/>
      <c r="I125" s="554"/>
      <c r="J125" s="614">
        <v>3520</v>
      </c>
      <c r="K125" s="614">
        <f t="shared" si="31"/>
        <v>0</v>
      </c>
      <c r="L125" s="491"/>
      <c r="M125" s="192"/>
      <c r="N125" s="657"/>
    </row>
    <row r="126" spans="1:14">
      <c r="A126" s="178"/>
      <c r="B126" s="178"/>
      <c r="C126" s="178"/>
      <c r="D126" s="178"/>
      <c r="E126" s="178"/>
      <c r="F126" s="621"/>
      <c r="G126" s="640" t="s">
        <v>260</v>
      </c>
      <c r="H126" s="192"/>
      <c r="I126" s="554"/>
      <c r="J126" s="614">
        <v>4545</v>
      </c>
      <c r="K126" s="614">
        <f t="shared" si="31"/>
        <v>0</v>
      </c>
      <c r="L126" s="491"/>
      <c r="M126" s="192"/>
      <c r="N126" s="657"/>
    </row>
    <row r="127" spans="1:14">
      <c r="A127" s="178"/>
      <c r="B127" s="178"/>
      <c r="C127" s="178"/>
      <c r="D127" s="178"/>
      <c r="E127" s="178"/>
      <c r="F127" s="621"/>
      <c r="G127" s="178" t="s">
        <v>184</v>
      </c>
      <c r="H127" s="178"/>
      <c r="I127" s="554"/>
      <c r="J127" s="614">
        <v>369</v>
      </c>
      <c r="K127" s="633">
        <f t="shared" si="31"/>
        <v>0</v>
      </c>
      <c r="L127" s="491"/>
      <c r="M127" s="192"/>
      <c r="N127" s="657"/>
    </row>
    <row r="128" spans="1:14">
      <c r="A128" s="178"/>
      <c r="B128" s="178"/>
      <c r="C128" s="178"/>
      <c r="D128" s="178"/>
      <c r="E128" s="178"/>
      <c r="F128" s="621"/>
      <c r="G128" s="640" t="s">
        <v>185</v>
      </c>
      <c r="H128" s="192"/>
      <c r="I128" s="632"/>
      <c r="J128" s="614">
        <v>623</v>
      </c>
      <c r="K128" s="614">
        <f t="shared" si="31"/>
        <v>0</v>
      </c>
      <c r="L128" s="491"/>
      <c r="M128" s="192"/>
      <c r="N128" s="657"/>
    </row>
    <row r="129" spans="1:14">
      <c r="A129" s="178"/>
      <c r="B129" s="178"/>
      <c r="C129" s="178"/>
      <c r="D129" s="178"/>
      <c r="E129" s="180" t="s">
        <v>9</v>
      </c>
      <c r="F129" s="622">
        <f>SUM(F124:F128)</f>
        <v>0</v>
      </c>
      <c r="G129" s="180"/>
      <c r="H129" s="180"/>
      <c r="I129" s="554"/>
      <c r="J129" s="614"/>
      <c r="K129" s="152">
        <f>SUM(K124:K128)</f>
        <v>0</v>
      </c>
      <c r="L129" s="152" t="e">
        <f>K129/F129</f>
        <v>#DIV/0!</v>
      </c>
      <c r="M129" s="192"/>
      <c r="N129" s="657"/>
    </row>
    <row r="130" spans="1:14">
      <c r="A130" s="178">
        <v>5245</v>
      </c>
      <c r="B130" s="178" t="s">
        <v>277</v>
      </c>
      <c r="C130" s="178" t="s">
        <v>268</v>
      </c>
      <c r="D130" s="178" t="s">
        <v>124</v>
      </c>
      <c r="E130" s="178" t="s">
        <v>325</v>
      </c>
      <c r="F130" s="638"/>
      <c r="G130" s="179" t="s">
        <v>405</v>
      </c>
      <c r="H130" s="192"/>
      <c r="I130" s="554"/>
      <c r="J130" s="614">
        <v>2125</v>
      </c>
      <c r="K130" s="614">
        <f t="shared" si="31"/>
        <v>0</v>
      </c>
      <c r="L130" s="192"/>
      <c r="M130" s="192"/>
      <c r="N130" s="657"/>
    </row>
    <row r="131" spans="1:14">
      <c r="A131" s="178"/>
      <c r="B131" s="178"/>
      <c r="C131" s="178"/>
      <c r="D131" s="178"/>
      <c r="E131" s="178"/>
      <c r="F131" s="621"/>
      <c r="G131" s="640" t="s">
        <v>288</v>
      </c>
      <c r="H131" s="192"/>
      <c r="I131" s="554"/>
      <c r="J131" s="614">
        <v>1742</v>
      </c>
      <c r="K131" s="614">
        <f t="shared" si="31"/>
        <v>0</v>
      </c>
      <c r="L131" s="192"/>
      <c r="M131" s="192"/>
      <c r="N131" s="657"/>
    </row>
    <row r="132" spans="1:14">
      <c r="A132" s="178"/>
      <c r="B132" s="178"/>
      <c r="C132" s="178"/>
      <c r="D132" s="178"/>
      <c r="E132" s="178"/>
      <c r="F132" s="621"/>
      <c r="G132" s="639" t="s">
        <v>315</v>
      </c>
      <c r="H132" s="641"/>
      <c r="I132" s="642"/>
      <c r="J132" s="643">
        <v>2151</v>
      </c>
      <c r="K132" s="614">
        <f t="shared" si="31"/>
        <v>0</v>
      </c>
      <c r="L132" s="192"/>
      <c r="M132" s="192"/>
      <c r="N132" s="657"/>
    </row>
    <row r="133" spans="1:14">
      <c r="A133" s="178"/>
      <c r="B133" s="178"/>
      <c r="C133" s="178"/>
      <c r="D133" s="178"/>
      <c r="E133" s="178"/>
      <c r="F133" s="621"/>
      <c r="G133" s="178" t="s">
        <v>184</v>
      </c>
      <c r="H133" s="192"/>
      <c r="I133" s="554"/>
      <c r="J133" s="614">
        <v>396</v>
      </c>
      <c r="K133" s="614">
        <f t="shared" si="31"/>
        <v>0</v>
      </c>
      <c r="L133" s="192"/>
      <c r="M133" s="192"/>
      <c r="N133" s="657"/>
    </row>
    <row r="134" spans="1:14">
      <c r="A134" s="178"/>
      <c r="B134" s="178"/>
      <c r="C134" s="178"/>
      <c r="D134" s="178"/>
      <c r="E134" s="178"/>
      <c r="F134" s="621"/>
      <c r="G134" s="640" t="s">
        <v>185</v>
      </c>
      <c r="H134" s="192"/>
      <c r="I134" s="554"/>
      <c r="J134" s="614">
        <v>623</v>
      </c>
      <c r="K134" s="614">
        <f t="shared" si="31"/>
        <v>0</v>
      </c>
      <c r="L134" s="192"/>
      <c r="M134" s="192"/>
      <c r="N134" s="657"/>
    </row>
    <row r="135" spans="1:14">
      <c r="A135" s="178"/>
      <c r="B135" s="178"/>
      <c r="C135" s="178"/>
      <c r="D135" s="178"/>
      <c r="E135" s="180" t="s">
        <v>9</v>
      </c>
      <c r="F135" s="622">
        <f>SUM(F130:F134)</f>
        <v>0</v>
      </c>
      <c r="G135" s="180"/>
      <c r="H135" s="180"/>
      <c r="I135" s="554"/>
      <c r="J135" s="614"/>
      <c r="K135" s="152">
        <f>SUM(K130:K134)</f>
        <v>0</v>
      </c>
      <c r="L135" s="152" t="e">
        <f>K135/F135</f>
        <v>#DIV/0!</v>
      </c>
      <c r="M135" s="192"/>
      <c r="N135" s="657"/>
    </row>
    <row r="136" spans="1:14">
      <c r="A136" s="178">
        <v>5235</v>
      </c>
      <c r="B136" s="178" t="s">
        <v>444</v>
      </c>
      <c r="C136" s="178" t="s">
        <v>256</v>
      </c>
      <c r="D136" s="178" t="s">
        <v>122</v>
      </c>
      <c r="E136" s="178" t="s">
        <v>262</v>
      </c>
      <c r="F136" s="621"/>
      <c r="G136" s="639" t="s">
        <v>258</v>
      </c>
      <c r="H136" s="192"/>
      <c r="I136" s="554"/>
      <c r="J136" s="614">
        <v>3562</v>
      </c>
      <c r="K136" s="614">
        <f t="shared" ref="K136:K140" si="32">I136*J136</f>
        <v>0</v>
      </c>
      <c r="L136" s="192"/>
      <c r="M136" s="192"/>
      <c r="N136" s="657"/>
    </row>
    <row r="137" spans="1:14">
      <c r="A137" s="178"/>
      <c r="B137" s="178"/>
      <c r="C137" s="178"/>
      <c r="D137" s="178"/>
      <c r="E137" s="178"/>
      <c r="F137" s="621"/>
      <c r="G137" s="639" t="s">
        <v>259</v>
      </c>
      <c r="H137" s="192"/>
      <c r="I137" s="554"/>
      <c r="J137" s="614">
        <v>3520</v>
      </c>
      <c r="K137" s="614">
        <f t="shared" si="32"/>
        <v>0</v>
      </c>
      <c r="L137" s="192"/>
      <c r="M137" s="192"/>
      <c r="N137" s="657"/>
    </row>
    <row r="138" spans="1:14">
      <c r="A138" s="178"/>
      <c r="B138" s="178"/>
      <c r="C138" s="178"/>
      <c r="D138" s="178"/>
      <c r="E138" s="178"/>
      <c r="F138" s="621"/>
      <c r="G138" s="640" t="s">
        <v>260</v>
      </c>
      <c r="H138" s="192"/>
      <c r="I138" s="554"/>
      <c r="J138" s="614">
        <v>4545</v>
      </c>
      <c r="K138" s="614">
        <f t="shared" si="32"/>
        <v>0</v>
      </c>
      <c r="L138" s="192"/>
      <c r="M138" s="192"/>
      <c r="N138" s="657"/>
    </row>
    <row r="139" spans="1:14">
      <c r="A139" s="178"/>
      <c r="B139" s="178"/>
      <c r="C139" s="178"/>
      <c r="D139" s="178"/>
      <c r="E139" s="178"/>
      <c r="F139" s="621"/>
      <c r="G139" s="178" t="s">
        <v>184</v>
      </c>
      <c r="H139" s="178"/>
      <c r="I139" s="554"/>
      <c r="J139" s="614">
        <v>369</v>
      </c>
      <c r="K139" s="633">
        <f t="shared" si="32"/>
        <v>0</v>
      </c>
      <c r="L139" s="192"/>
      <c r="M139" s="192"/>
      <c r="N139" s="657"/>
    </row>
    <row r="140" spans="1:14">
      <c r="A140" s="178"/>
      <c r="B140" s="178"/>
      <c r="C140" s="178"/>
      <c r="D140" s="178"/>
      <c r="E140" s="178"/>
      <c r="F140" s="621"/>
      <c r="G140" s="640" t="s">
        <v>185</v>
      </c>
      <c r="H140" s="192"/>
      <c r="I140" s="632"/>
      <c r="J140" s="614">
        <v>623</v>
      </c>
      <c r="K140" s="614">
        <f t="shared" si="32"/>
        <v>0</v>
      </c>
      <c r="L140" s="192"/>
      <c r="M140" s="192"/>
      <c r="N140" s="657"/>
    </row>
    <row r="141" spans="1:14">
      <c r="A141" s="178"/>
      <c r="B141" s="178"/>
      <c r="C141" s="178"/>
      <c r="D141" s="178"/>
      <c r="E141" s="180" t="s">
        <v>9</v>
      </c>
      <c r="F141" s="622">
        <f>SUM(F136:F140)</f>
        <v>0</v>
      </c>
      <c r="G141" s="180"/>
      <c r="H141" s="180"/>
      <c r="I141" s="554"/>
      <c r="J141" s="614"/>
      <c r="K141" s="152">
        <f>SUM(K136:K140)</f>
        <v>0</v>
      </c>
      <c r="L141" s="152" t="e">
        <f>K141/F141</f>
        <v>#DIV/0!</v>
      </c>
      <c r="M141" s="192"/>
      <c r="N141" s="657"/>
    </row>
    <row r="142" spans="1:14">
      <c r="A142" s="178">
        <v>5902</v>
      </c>
      <c r="B142" s="178" t="s">
        <v>444</v>
      </c>
      <c r="C142" s="178" t="s">
        <v>256</v>
      </c>
      <c r="D142" s="178" t="s">
        <v>322</v>
      </c>
      <c r="E142" s="178" t="s">
        <v>102</v>
      </c>
      <c r="F142" s="621"/>
      <c r="G142" s="639" t="s">
        <v>190</v>
      </c>
      <c r="H142" s="192"/>
      <c r="I142" s="554"/>
      <c r="J142" s="614">
        <v>890</v>
      </c>
      <c r="K142" s="614">
        <f t="shared" ref="K142:K146" si="33">I142*J142</f>
        <v>0</v>
      </c>
      <c r="L142" s="491"/>
      <c r="M142" s="192"/>
      <c r="N142" s="657"/>
    </row>
    <row r="143" spans="1:14">
      <c r="A143" s="178"/>
      <c r="B143" s="178"/>
      <c r="C143" s="178"/>
      <c r="D143" s="178"/>
      <c r="E143" s="178"/>
      <c r="F143" s="621"/>
      <c r="G143" s="640" t="s">
        <v>281</v>
      </c>
      <c r="H143" s="192"/>
      <c r="I143" s="554"/>
      <c r="J143" s="614">
        <v>1484</v>
      </c>
      <c r="K143" s="614">
        <f t="shared" si="33"/>
        <v>0</v>
      </c>
      <c r="L143" s="491"/>
      <c r="M143" s="192"/>
      <c r="N143" s="657"/>
    </row>
    <row r="144" spans="1:14">
      <c r="A144" s="178"/>
      <c r="B144" s="178"/>
      <c r="C144" s="178"/>
      <c r="D144" s="178"/>
      <c r="E144" s="178"/>
      <c r="F144" s="621"/>
      <c r="G144" s="640" t="s">
        <v>191</v>
      </c>
      <c r="H144" s="192"/>
      <c r="I144" s="554"/>
      <c r="J144" s="614">
        <v>1638</v>
      </c>
      <c r="K144" s="614">
        <f t="shared" si="33"/>
        <v>0</v>
      </c>
      <c r="L144" s="104"/>
      <c r="M144" s="192"/>
      <c r="N144" s="657"/>
    </row>
    <row r="145" spans="1:14">
      <c r="A145" s="178"/>
      <c r="B145" s="178"/>
      <c r="C145" s="178"/>
      <c r="D145" s="178"/>
      <c r="E145" s="178"/>
      <c r="F145" s="621"/>
      <c r="G145" s="178" t="s">
        <v>184</v>
      </c>
      <c r="H145" s="192"/>
      <c r="I145" s="554"/>
      <c r="J145" s="614">
        <v>396</v>
      </c>
      <c r="K145" s="614">
        <f t="shared" si="33"/>
        <v>0</v>
      </c>
      <c r="L145" s="491"/>
      <c r="M145" s="192"/>
      <c r="N145" s="657"/>
    </row>
    <row r="146" spans="1:14">
      <c r="A146" s="178"/>
      <c r="B146" s="178"/>
      <c r="C146" s="178"/>
      <c r="D146" s="178"/>
      <c r="E146" s="178"/>
      <c r="F146" s="621"/>
      <c r="G146" s="640" t="s">
        <v>185</v>
      </c>
      <c r="H146" s="192"/>
      <c r="I146" s="554"/>
      <c r="J146" s="614">
        <v>623</v>
      </c>
      <c r="K146" s="614">
        <f t="shared" si="33"/>
        <v>0</v>
      </c>
      <c r="L146" s="491"/>
      <c r="M146" s="192"/>
      <c r="N146" s="657"/>
    </row>
    <row r="147" spans="1:14">
      <c r="A147" s="178"/>
      <c r="B147" s="178"/>
      <c r="C147" s="178"/>
      <c r="D147" s="178"/>
      <c r="E147" s="180" t="s">
        <v>9</v>
      </c>
      <c r="F147" s="622">
        <f>SUM(F142:F146)</f>
        <v>0</v>
      </c>
      <c r="G147" s="180"/>
      <c r="H147" s="180"/>
      <c r="I147" s="554"/>
      <c r="J147" s="614"/>
      <c r="K147" s="152">
        <f>SUM(K142:K146)</f>
        <v>0</v>
      </c>
      <c r="L147" s="152" t="e">
        <f>K147/F147</f>
        <v>#DIV/0!</v>
      </c>
      <c r="M147" s="192"/>
      <c r="N147" s="657"/>
    </row>
    <row r="148" spans="1:14">
      <c r="A148" s="178">
        <v>5901</v>
      </c>
      <c r="B148" s="178" t="s">
        <v>444</v>
      </c>
      <c r="C148" s="178" t="s">
        <v>631</v>
      </c>
      <c r="D148" s="178" t="s">
        <v>632</v>
      </c>
      <c r="E148" s="178" t="s">
        <v>633</v>
      </c>
      <c r="F148" s="621"/>
      <c r="G148" s="639" t="s">
        <v>190</v>
      </c>
      <c r="H148" s="192"/>
      <c r="I148" s="554"/>
      <c r="J148" s="614">
        <v>890</v>
      </c>
      <c r="K148" s="614">
        <f t="shared" ref="K148:K152" si="34">I148*J148</f>
        <v>0</v>
      </c>
      <c r="L148" s="192"/>
      <c r="M148" s="192"/>
      <c r="N148" s="657"/>
    </row>
    <row r="149" spans="1:14">
      <c r="A149" s="178"/>
      <c r="B149" s="178"/>
      <c r="C149" s="178"/>
      <c r="D149" s="178"/>
      <c r="E149" s="178" t="s">
        <v>102</v>
      </c>
      <c r="F149" s="621"/>
      <c r="G149" s="640" t="s">
        <v>192</v>
      </c>
      <c r="H149" s="192"/>
      <c r="I149" s="554"/>
      <c r="J149" s="614">
        <v>1742</v>
      </c>
      <c r="K149" s="614">
        <f t="shared" si="34"/>
        <v>0</v>
      </c>
      <c r="L149" s="192"/>
      <c r="M149" s="192"/>
      <c r="N149" s="657"/>
    </row>
    <row r="150" spans="1:14">
      <c r="A150" s="178"/>
      <c r="B150" s="178"/>
      <c r="C150" s="178"/>
      <c r="D150" s="178"/>
      <c r="E150" s="178"/>
      <c r="F150" s="621"/>
      <c r="G150" s="640" t="s">
        <v>193</v>
      </c>
      <c r="H150" s="192"/>
      <c r="I150" s="554"/>
      <c r="J150" s="614">
        <v>1545</v>
      </c>
      <c r="K150" s="614">
        <f t="shared" si="34"/>
        <v>0</v>
      </c>
      <c r="L150" s="192"/>
      <c r="M150" s="192"/>
      <c r="N150" s="657"/>
    </row>
    <row r="151" spans="1:14">
      <c r="A151" s="178"/>
      <c r="B151" s="178"/>
      <c r="C151" s="178"/>
      <c r="D151" s="178"/>
      <c r="E151" s="178"/>
      <c r="F151" s="621"/>
      <c r="G151" s="178" t="s">
        <v>356</v>
      </c>
      <c r="H151" s="178"/>
      <c r="I151" s="554"/>
      <c r="J151" s="614">
        <v>178</v>
      </c>
      <c r="K151" s="633">
        <f t="shared" si="34"/>
        <v>0</v>
      </c>
      <c r="L151" s="192"/>
      <c r="M151" s="192"/>
      <c r="N151" s="657"/>
    </row>
    <row r="152" spans="1:14">
      <c r="A152" s="178"/>
      <c r="B152" s="178"/>
      <c r="C152" s="178"/>
      <c r="D152" s="178"/>
      <c r="E152" s="178"/>
      <c r="F152" s="621"/>
      <c r="G152" s="640" t="s">
        <v>185</v>
      </c>
      <c r="H152" s="192"/>
      <c r="I152" s="554"/>
      <c r="J152" s="614">
        <v>623</v>
      </c>
      <c r="K152" s="614">
        <f t="shared" si="34"/>
        <v>0</v>
      </c>
      <c r="L152" s="192"/>
      <c r="M152" s="192"/>
      <c r="N152" s="657"/>
    </row>
    <row r="153" spans="1:14">
      <c r="A153" s="178"/>
      <c r="B153" s="178"/>
      <c r="C153" s="178"/>
      <c r="D153" s="178"/>
      <c r="E153" s="180" t="s">
        <v>9</v>
      </c>
      <c r="F153" s="622">
        <f>SUM(F148:F152)</f>
        <v>0</v>
      </c>
      <c r="G153" s="180"/>
      <c r="H153" s="180"/>
      <c r="I153" s="554"/>
      <c r="J153" s="614"/>
      <c r="K153" s="152">
        <f>SUM(K148:K152)</f>
        <v>0</v>
      </c>
      <c r="L153" s="152" t="e">
        <f>K153/F153</f>
        <v>#DIV/0!</v>
      </c>
      <c r="M153" s="192"/>
      <c r="N153" s="657"/>
    </row>
    <row r="154" spans="1:14">
      <c r="A154" s="178">
        <v>5246</v>
      </c>
      <c r="B154" s="178" t="s">
        <v>277</v>
      </c>
      <c r="C154" s="178" t="s">
        <v>121</v>
      </c>
      <c r="D154" s="178" t="s">
        <v>263</v>
      </c>
      <c r="E154" s="178" t="s">
        <v>323</v>
      </c>
      <c r="F154" s="638"/>
      <c r="G154" s="639" t="s">
        <v>190</v>
      </c>
      <c r="H154" s="192"/>
      <c r="I154" s="554"/>
      <c r="J154" s="614">
        <v>890</v>
      </c>
      <c r="K154" s="614">
        <f t="shared" ref="K154:K158" si="35">I154*J154</f>
        <v>0</v>
      </c>
      <c r="L154" s="192"/>
      <c r="M154" s="192"/>
      <c r="N154" s="657"/>
    </row>
    <row r="155" spans="1:14">
      <c r="A155" s="178"/>
      <c r="B155" s="178"/>
      <c r="C155" s="178"/>
      <c r="D155" s="178"/>
      <c r="E155" s="178"/>
      <c r="F155" s="621"/>
      <c r="G155" s="640" t="s">
        <v>192</v>
      </c>
      <c r="H155" s="192"/>
      <c r="I155" s="554"/>
      <c r="J155" s="614">
        <v>1742</v>
      </c>
      <c r="K155" s="614">
        <f t="shared" si="35"/>
        <v>0</v>
      </c>
      <c r="L155" s="192"/>
      <c r="M155" s="192"/>
      <c r="N155" s="657"/>
    </row>
    <row r="156" spans="1:14">
      <c r="A156" s="178"/>
      <c r="B156" s="178"/>
      <c r="C156" s="178"/>
      <c r="D156" s="178"/>
      <c r="E156" s="178"/>
      <c r="F156" s="621"/>
      <c r="G156" s="640" t="s">
        <v>193</v>
      </c>
      <c r="H156" s="192"/>
      <c r="I156" s="554"/>
      <c r="J156" s="614">
        <v>1545</v>
      </c>
      <c r="K156" s="614">
        <f t="shared" si="35"/>
        <v>0</v>
      </c>
      <c r="L156" s="192"/>
      <c r="M156" s="192"/>
      <c r="N156" s="657"/>
    </row>
    <row r="157" spans="1:14">
      <c r="A157" s="178"/>
      <c r="B157" s="178"/>
      <c r="C157" s="178"/>
      <c r="D157" s="178"/>
      <c r="E157" s="178"/>
      <c r="F157" s="621"/>
      <c r="G157" s="178" t="s">
        <v>356</v>
      </c>
      <c r="H157" s="178"/>
      <c r="I157" s="554"/>
      <c r="J157" s="614">
        <v>178</v>
      </c>
      <c r="K157" s="633">
        <f t="shared" si="35"/>
        <v>0</v>
      </c>
      <c r="L157" s="192"/>
      <c r="M157" s="192"/>
      <c r="N157" s="657"/>
    </row>
    <row r="158" spans="1:14">
      <c r="A158" s="178"/>
      <c r="B158" s="178"/>
      <c r="C158" s="178"/>
      <c r="D158" s="178"/>
      <c r="E158" s="178"/>
      <c r="F158" s="621"/>
      <c r="G158" s="640" t="s">
        <v>185</v>
      </c>
      <c r="H158" s="192"/>
      <c r="I158" s="554"/>
      <c r="J158" s="614">
        <v>623</v>
      </c>
      <c r="K158" s="614">
        <f t="shared" si="35"/>
        <v>0</v>
      </c>
      <c r="L158" s="192"/>
      <c r="M158" s="192"/>
      <c r="N158" s="657"/>
    </row>
    <row r="159" spans="1:14">
      <c r="A159" s="178"/>
      <c r="B159" s="178"/>
      <c r="C159" s="178"/>
      <c r="D159" s="178"/>
      <c r="E159" s="180" t="s">
        <v>9</v>
      </c>
      <c r="F159" s="622">
        <f>SUM(F154:F158)</f>
        <v>0</v>
      </c>
      <c r="G159" s="180"/>
      <c r="H159" s="180"/>
      <c r="I159" s="554"/>
      <c r="J159" s="614"/>
      <c r="K159" s="152">
        <f>SUM(K154:K158)</f>
        <v>0</v>
      </c>
      <c r="L159" s="152" t="e">
        <f>K159/F159</f>
        <v>#DIV/0!</v>
      </c>
      <c r="M159" s="192"/>
      <c r="N159" s="657"/>
    </row>
    <row r="160" spans="1:14">
      <c r="A160" s="178">
        <v>5904</v>
      </c>
      <c r="B160" s="178" t="s">
        <v>218</v>
      </c>
      <c r="C160" s="178" t="s">
        <v>115</v>
      </c>
      <c r="D160" s="178" t="s">
        <v>634</v>
      </c>
      <c r="E160" s="178" t="s">
        <v>635</v>
      </c>
      <c r="F160" s="621"/>
      <c r="G160" s="639" t="s">
        <v>190</v>
      </c>
      <c r="H160" s="192"/>
      <c r="I160" s="554"/>
      <c r="J160" s="614">
        <v>890</v>
      </c>
      <c r="K160" s="614">
        <f t="shared" ref="K160:K165" si="36">I160*J160</f>
        <v>0</v>
      </c>
      <c r="L160" s="192"/>
      <c r="M160" s="192"/>
      <c r="N160" s="657"/>
    </row>
    <row r="161" spans="1:14">
      <c r="A161" s="178"/>
      <c r="B161" s="178"/>
      <c r="C161" s="178"/>
      <c r="D161" s="178"/>
      <c r="E161" s="178"/>
      <c r="F161" s="621"/>
      <c r="G161" s="640" t="s">
        <v>195</v>
      </c>
      <c r="H161" s="192"/>
      <c r="I161" s="554"/>
      <c r="J161" s="614">
        <v>932</v>
      </c>
      <c r="K161" s="614">
        <f t="shared" si="36"/>
        <v>0</v>
      </c>
      <c r="L161" s="104"/>
      <c r="M161" s="192"/>
      <c r="N161" s="657"/>
    </row>
    <row r="162" spans="1:14">
      <c r="A162" s="178"/>
      <c r="B162" s="178"/>
      <c r="C162" s="178"/>
      <c r="D162" s="178"/>
      <c r="E162" s="178"/>
      <c r="F162" s="621"/>
      <c r="G162" s="640" t="s">
        <v>281</v>
      </c>
      <c r="H162" s="192"/>
      <c r="I162" s="554"/>
      <c r="J162" s="614">
        <v>1484</v>
      </c>
      <c r="K162" s="614">
        <f t="shared" si="36"/>
        <v>0</v>
      </c>
      <c r="L162" s="104"/>
      <c r="M162" s="192"/>
      <c r="N162" s="657"/>
    </row>
    <row r="163" spans="1:14">
      <c r="A163" s="178"/>
      <c r="B163" s="178"/>
      <c r="C163" s="178"/>
      <c r="D163" s="178"/>
      <c r="E163" s="178"/>
      <c r="F163" s="621"/>
      <c r="G163" s="640" t="s">
        <v>191</v>
      </c>
      <c r="H163" s="192"/>
      <c r="I163" s="554"/>
      <c r="J163" s="614">
        <v>1638</v>
      </c>
      <c r="K163" s="614">
        <f t="shared" si="36"/>
        <v>0</v>
      </c>
      <c r="L163" s="104"/>
      <c r="M163" s="192"/>
      <c r="N163" s="657"/>
    </row>
    <row r="164" spans="1:14">
      <c r="A164" s="178"/>
      <c r="B164" s="178"/>
      <c r="C164" s="178"/>
      <c r="D164" s="178"/>
      <c r="E164" s="178"/>
      <c r="F164" s="621"/>
      <c r="G164" s="178" t="s">
        <v>356</v>
      </c>
      <c r="H164" s="178"/>
      <c r="I164" s="554"/>
      <c r="J164" s="614">
        <v>178</v>
      </c>
      <c r="K164" s="633">
        <f t="shared" si="36"/>
        <v>0</v>
      </c>
      <c r="L164" s="192"/>
      <c r="M164" s="192"/>
      <c r="N164" s="657"/>
    </row>
    <row r="165" spans="1:14">
      <c r="A165" s="178"/>
      <c r="B165" s="178"/>
      <c r="C165" s="178"/>
      <c r="D165" s="178"/>
      <c r="E165" s="178"/>
      <c r="F165" s="621"/>
      <c r="G165" s="640" t="s">
        <v>185</v>
      </c>
      <c r="H165" s="192"/>
      <c r="I165" s="554"/>
      <c r="J165" s="614">
        <v>623</v>
      </c>
      <c r="K165" s="614">
        <f t="shared" si="36"/>
        <v>0</v>
      </c>
      <c r="L165" s="192"/>
      <c r="M165" s="192"/>
      <c r="N165" s="657"/>
    </row>
    <row r="166" spans="1:14">
      <c r="A166" s="178"/>
      <c r="B166" s="178"/>
      <c r="C166" s="178"/>
      <c r="D166" s="178"/>
      <c r="E166" s="180" t="s">
        <v>9</v>
      </c>
      <c r="F166" s="622">
        <f>SUM(F160:F165)</f>
        <v>0</v>
      </c>
      <c r="G166" s="180"/>
      <c r="H166" s="180"/>
      <c r="I166" s="554"/>
      <c r="J166" s="614"/>
      <c r="K166" s="152">
        <f>SUM(K160:K165)</f>
        <v>0</v>
      </c>
      <c r="L166" s="152" t="e">
        <f>K166/F166</f>
        <v>#DIV/0!</v>
      </c>
      <c r="M166" s="192"/>
      <c r="N166" s="657"/>
    </row>
    <row r="167" spans="1:14">
      <c r="A167" s="178">
        <v>5237</v>
      </c>
      <c r="B167" s="178" t="s">
        <v>444</v>
      </c>
      <c r="C167" s="178" t="s">
        <v>256</v>
      </c>
      <c r="D167" s="178" t="s">
        <v>322</v>
      </c>
      <c r="E167" s="178" t="s">
        <v>127</v>
      </c>
      <c r="F167" s="621"/>
      <c r="G167" s="639" t="s">
        <v>190</v>
      </c>
      <c r="H167" s="192"/>
      <c r="I167" s="554"/>
      <c r="J167" s="614">
        <v>890</v>
      </c>
      <c r="K167" s="614">
        <f t="shared" ref="K167:K173" si="37">I167*J167</f>
        <v>0</v>
      </c>
      <c r="L167" s="192"/>
      <c r="M167" s="192"/>
      <c r="N167" s="657"/>
    </row>
    <row r="168" spans="1:14">
      <c r="A168" s="178"/>
      <c r="B168" s="178"/>
      <c r="C168" s="178"/>
      <c r="D168" s="178"/>
      <c r="E168" s="178"/>
      <c r="F168" s="621"/>
      <c r="G168" s="640" t="s">
        <v>195</v>
      </c>
      <c r="H168" s="192"/>
      <c r="I168" s="554"/>
      <c r="J168" s="614">
        <v>932</v>
      </c>
      <c r="K168" s="614">
        <f t="shared" si="37"/>
        <v>0</v>
      </c>
      <c r="L168" s="104"/>
      <c r="M168" s="192"/>
      <c r="N168" s="657"/>
    </row>
    <row r="169" spans="1:14">
      <c r="A169" s="178"/>
      <c r="B169" s="178"/>
      <c r="C169" s="178"/>
      <c r="D169" s="178"/>
      <c r="E169" s="178"/>
      <c r="F169" s="621"/>
      <c r="G169" s="640" t="s">
        <v>191</v>
      </c>
      <c r="H169" s="192"/>
      <c r="I169" s="554"/>
      <c r="J169" s="614">
        <v>1638</v>
      </c>
      <c r="K169" s="614">
        <f t="shared" si="37"/>
        <v>0</v>
      </c>
      <c r="L169" s="104"/>
      <c r="M169" s="192"/>
      <c r="N169" s="657"/>
    </row>
    <row r="170" spans="1:14">
      <c r="A170" s="178"/>
      <c r="B170" s="178"/>
      <c r="C170" s="178"/>
      <c r="D170" s="178"/>
      <c r="E170" s="178"/>
      <c r="F170" s="621"/>
      <c r="G170" s="178" t="s">
        <v>356</v>
      </c>
      <c r="H170" s="178"/>
      <c r="I170" s="554"/>
      <c r="J170" s="614">
        <v>178</v>
      </c>
      <c r="K170" s="633">
        <f t="shared" si="37"/>
        <v>0</v>
      </c>
      <c r="L170" s="192"/>
      <c r="M170" s="192"/>
      <c r="N170" s="657"/>
    </row>
    <row r="171" spans="1:14">
      <c r="A171" s="178"/>
      <c r="B171" s="178"/>
      <c r="C171" s="178"/>
      <c r="D171" s="178"/>
      <c r="E171" s="178"/>
      <c r="F171" s="621"/>
      <c r="G171" s="640" t="s">
        <v>185</v>
      </c>
      <c r="H171" s="192"/>
      <c r="I171" s="554"/>
      <c r="J171" s="614">
        <v>623</v>
      </c>
      <c r="K171" s="614">
        <f t="shared" si="37"/>
        <v>0</v>
      </c>
      <c r="L171" s="192"/>
      <c r="M171" s="192"/>
      <c r="N171" s="657"/>
    </row>
    <row r="172" spans="1:14">
      <c r="A172" s="178"/>
      <c r="B172" s="178"/>
      <c r="C172" s="178"/>
      <c r="D172" s="178"/>
      <c r="E172" s="178"/>
      <c r="F172" s="621"/>
      <c r="G172" s="178" t="s">
        <v>28</v>
      </c>
      <c r="H172" s="192"/>
      <c r="I172" s="554"/>
      <c r="J172" s="614">
        <v>17</v>
      </c>
      <c r="K172" s="614">
        <f t="shared" si="37"/>
        <v>0</v>
      </c>
      <c r="L172" s="192"/>
      <c r="M172" s="192"/>
      <c r="N172" s="657"/>
    </row>
    <row r="173" spans="1:14">
      <c r="A173" s="178"/>
      <c r="B173" s="178"/>
      <c r="C173" s="178"/>
      <c r="D173" s="178"/>
      <c r="E173" s="178"/>
      <c r="F173" s="621"/>
      <c r="G173" s="178" t="s">
        <v>17</v>
      </c>
      <c r="H173" s="192"/>
      <c r="I173" s="554"/>
      <c r="J173" s="614">
        <v>34</v>
      </c>
      <c r="K173" s="614">
        <f t="shared" si="37"/>
        <v>0</v>
      </c>
      <c r="L173" s="192"/>
      <c r="M173" s="192"/>
      <c r="N173" s="657"/>
    </row>
    <row r="174" spans="1:14">
      <c r="A174" s="178"/>
      <c r="B174" s="178"/>
      <c r="C174" s="178"/>
      <c r="D174" s="178"/>
      <c r="E174" s="180" t="s">
        <v>9</v>
      </c>
      <c r="F174" s="622">
        <f>SUM(F167:F171)</f>
        <v>0</v>
      </c>
      <c r="G174" s="180"/>
      <c r="H174" s="180"/>
      <c r="I174" s="554"/>
      <c r="J174" s="614"/>
      <c r="K174" s="152">
        <f>SUM(K167:K173)</f>
        <v>0</v>
      </c>
      <c r="L174" s="152" t="e">
        <f>K174/F174</f>
        <v>#DIV/0!</v>
      </c>
      <c r="M174" s="192"/>
      <c r="N174" s="657"/>
    </row>
    <row r="175" spans="1:14">
      <c r="A175" s="178">
        <v>5250</v>
      </c>
      <c r="B175" s="178" t="s">
        <v>444</v>
      </c>
      <c r="C175" s="178" t="s">
        <v>637</v>
      </c>
      <c r="D175" s="178" t="s">
        <v>636</v>
      </c>
      <c r="E175" s="178" t="s">
        <v>257</v>
      </c>
      <c r="F175" s="621"/>
      <c r="G175" s="639" t="s">
        <v>190</v>
      </c>
      <c r="H175" s="192"/>
      <c r="I175" s="554"/>
      <c r="J175" s="614">
        <v>890</v>
      </c>
      <c r="K175" s="614">
        <f t="shared" ref="K175:K179" si="38">I175*J175</f>
        <v>0</v>
      </c>
      <c r="L175" s="192"/>
      <c r="M175" s="192"/>
      <c r="N175" s="657"/>
    </row>
    <row r="176" spans="1:14">
      <c r="A176" s="178"/>
      <c r="B176" s="178"/>
      <c r="C176" s="178"/>
      <c r="D176" s="178"/>
      <c r="E176" s="178"/>
      <c r="F176" s="621"/>
      <c r="G176" s="179" t="s">
        <v>183</v>
      </c>
      <c r="H176" s="192"/>
      <c r="I176" s="554"/>
      <c r="J176" s="614">
        <v>1950</v>
      </c>
      <c r="K176" s="614">
        <f t="shared" si="38"/>
        <v>0</v>
      </c>
      <c r="L176" s="647"/>
      <c r="M176" s="192"/>
      <c r="N176" s="657"/>
    </row>
    <row r="177" spans="1:14">
      <c r="A177" s="178"/>
      <c r="B177" s="178"/>
      <c r="C177" s="178"/>
      <c r="D177" s="178"/>
      <c r="E177" s="178"/>
      <c r="F177" s="621"/>
      <c r="G177" s="179" t="s">
        <v>198</v>
      </c>
      <c r="H177" s="178"/>
      <c r="I177" s="632"/>
      <c r="J177" s="614">
        <v>2852</v>
      </c>
      <c r="K177" s="633">
        <f t="shared" si="38"/>
        <v>0</v>
      </c>
      <c r="L177" s="491"/>
      <c r="M177" s="192"/>
      <c r="N177" s="657"/>
    </row>
    <row r="178" spans="1:14">
      <c r="A178" s="178"/>
      <c r="B178" s="178"/>
      <c r="C178" s="178"/>
      <c r="D178" s="178"/>
      <c r="E178" s="178"/>
      <c r="F178" s="621"/>
      <c r="G178" s="178" t="s">
        <v>356</v>
      </c>
      <c r="H178" s="178"/>
      <c r="I178" s="554"/>
      <c r="J178" s="614">
        <v>178</v>
      </c>
      <c r="K178" s="633">
        <f t="shared" si="38"/>
        <v>0</v>
      </c>
      <c r="L178" s="192"/>
      <c r="M178" s="192"/>
      <c r="N178" s="657"/>
    </row>
    <row r="179" spans="1:14">
      <c r="A179" s="178"/>
      <c r="B179" s="178"/>
      <c r="C179" s="178"/>
      <c r="D179" s="178"/>
      <c r="E179" s="178"/>
      <c r="F179" s="621"/>
      <c r="G179" s="640" t="s">
        <v>185</v>
      </c>
      <c r="H179" s="192"/>
      <c r="I179" s="554"/>
      <c r="J179" s="614">
        <v>623</v>
      </c>
      <c r="K179" s="614">
        <f t="shared" si="38"/>
        <v>0</v>
      </c>
      <c r="L179" s="192"/>
      <c r="M179" s="192"/>
      <c r="N179" s="657"/>
    </row>
    <row r="180" spans="1:14">
      <c r="A180" s="178"/>
      <c r="B180" s="178"/>
      <c r="C180" s="178"/>
      <c r="D180" s="178"/>
      <c r="E180" s="180" t="s">
        <v>9</v>
      </c>
      <c r="F180" s="622">
        <f>SUM(F175:F179)</f>
        <v>0</v>
      </c>
      <c r="G180" s="180"/>
      <c r="H180" s="180"/>
      <c r="I180" s="554"/>
      <c r="J180" s="614"/>
      <c r="K180" s="152">
        <f>SUM(K175:K179)</f>
        <v>0</v>
      </c>
      <c r="L180" s="152" t="e">
        <f>K180/F180</f>
        <v>#DIV/0!</v>
      </c>
      <c r="M180" s="192"/>
      <c r="N180" s="657"/>
    </row>
    <row r="181" spans="1:14">
      <c r="A181" s="178">
        <v>5238</v>
      </c>
      <c r="B181" s="178" t="s">
        <v>444</v>
      </c>
      <c r="C181" s="178" t="s">
        <v>637</v>
      </c>
      <c r="D181" s="178" t="s">
        <v>638</v>
      </c>
      <c r="E181" s="178" t="s">
        <v>639</v>
      </c>
      <c r="F181" s="621"/>
      <c r="G181" s="179" t="s">
        <v>405</v>
      </c>
      <c r="H181" s="192"/>
      <c r="I181" s="554"/>
      <c r="J181" s="614">
        <v>2125</v>
      </c>
      <c r="K181" s="614">
        <f t="shared" ref="K181:K185" si="39">I181*J181</f>
        <v>0</v>
      </c>
      <c r="L181" s="192"/>
      <c r="M181" s="192"/>
      <c r="N181" s="657"/>
    </row>
    <row r="182" spans="1:14">
      <c r="A182" s="178"/>
      <c r="B182" s="178"/>
      <c r="C182" s="178"/>
      <c r="D182" s="178"/>
      <c r="E182" s="178"/>
      <c r="F182" s="621"/>
      <c r="G182" s="179" t="s">
        <v>183</v>
      </c>
      <c r="H182" s="192"/>
      <c r="I182" s="554"/>
      <c r="J182" s="614">
        <v>1950</v>
      </c>
      <c r="K182" s="614">
        <f t="shared" si="39"/>
        <v>0</v>
      </c>
      <c r="L182" s="647"/>
      <c r="M182" s="192"/>
      <c r="N182" s="657"/>
    </row>
    <row r="183" spans="1:14">
      <c r="A183" s="178"/>
      <c r="B183" s="178"/>
      <c r="C183" s="178"/>
      <c r="D183" s="178"/>
      <c r="E183" s="178"/>
      <c r="F183" s="621"/>
      <c r="G183" s="179" t="s">
        <v>198</v>
      </c>
      <c r="H183" s="178"/>
      <c r="I183" s="632"/>
      <c r="J183" s="614">
        <v>2852</v>
      </c>
      <c r="K183" s="633">
        <f t="shared" si="39"/>
        <v>0</v>
      </c>
      <c r="L183" s="491"/>
      <c r="M183" s="192"/>
      <c r="N183" s="657"/>
    </row>
    <row r="184" spans="1:14">
      <c r="A184" s="178"/>
      <c r="B184" s="178"/>
      <c r="C184" s="178"/>
      <c r="D184" s="178"/>
      <c r="E184" s="178"/>
      <c r="F184" s="621"/>
      <c r="G184" s="178" t="s">
        <v>356</v>
      </c>
      <c r="H184" s="178"/>
      <c r="I184" s="554"/>
      <c r="J184" s="614">
        <v>178</v>
      </c>
      <c r="K184" s="633">
        <f t="shared" si="39"/>
        <v>0</v>
      </c>
      <c r="L184" s="192"/>
      <c r="M184" s="192"/>
      <c r="N184" s="657"/>
    </row>
    <row r="185" spans="1:14">
      <c r="A185" s="178"/>
      <c r="B185" s="178"/>
      <c r="C185" s="178"/>
      <c r="D185" s="178"/>
      <c r="E185" s="178"/>
      <c r="F185" s="621"/>
      <c r="G185" s="640" t="s">
        <v>185</v>
      </c>
      <c r="H185" s="192"/>
      <c r="I185" s="554"/>
      <c r="J185" s="614">
        <v>623</v>
      </c>
      <c r="K185" s="614">
        <f t="shared" si="39"/>
        <v>0</v>
      </c>
      <c r="L185" s="192"/>
      <c r="M185" s="192"/>
      <c r="N185" s="657"/>
    </row>
    <row r="186" spans="1:14">
      <c r="A186" s="178"/>
      <c r="B186" s="178"/>
      <c r="C186" s="178"/>
      <c r="D186" s="178"/>
      <c r="E186" s="180" t="s">
        <v>9</v>
      </c>
      <c r="F186" s="622">
        <f>SUM(F181:F185)</f>
        <v>0</v>
      </c>
      <c r="G186" s="180"/>
      <c r="H186" s="180"/>
      <c r="I186" s="554"/>
      <c r="J186" s="614"/>
      <c r="K186" s="152">
        <f>SUM(K181:K185)</f>
        <v>0</v>
      </c>
      <c r="L186" s="152" t="e">
        <f>K186/F186</f>
        <v>#DIV/0!</v>
      </c>
      <c r="M186" s="192"/>
      <c r="N186" s="657"/>
    </row>
    <row r="187" spans="1:14">
      <c r="A187" s="178">
        <v>5244</v>
      </c>
      <c r="B187" s="178" t="s">
        <v>444</v>
      </c>
      <c r="C187" s="178" t="s">
        <v>637</v>
      </c>
      <c r="D187" s="178" t="s">
        <v>638</v>
      </c>
      <c r="E187" s="178" t="s">
        <v>640</v>
      </c>
      <c r="F187" s="621"/>
      <c r="G187" s="639" t="s">
        <v>190</v>
      </c>
      <c r="H187" s="192"/>
      <c r="I187" s="554"/>
      <c r="J187" s="614">
        <v>890</v>
      </c>
      <c r="K187" s="614">
        <f t="shared" ref="K187" si="40">I187*J187</f>
        <v>0</v>
      </c>
      <c r="L187" s="192"/>
      <c r="M187" s="192"/>
      <c r="N187" s="657"/>
    </row>
    <row r="188" spans="1:14">
      <c r="A188" s="178"/>
      <c r="B188" s="178"/>
      <c r="C188" s="178"/>
      <c r="D188" s="178"/>
      <c r="E188" s="178"/>
      <c r="F188" s="621"/>
      <c r="G188" s="179" t="s">
        <v>183</v>
      </c>
      <c r="H188" s="192"/>
      <c r="I188" s="554"/>
      <c r="J188" s="614">
        <v>1950</v>
      </c>
      <c r="K188" s="614">
        <f t="shared" ref="K188:K191" si="41">I188*J188</f>
        <v>0</v>
      </c>
      <c r="L188" s="647"/>
      <c r="M188" s="192"/>
      <c r="N188" s="657"/>
    </row>
    <row r="189" spans="1:14">
      <c r="A189" s="178"/>
      <c r="B189" s="178"/>
      <c r="C189" s="178"/>
      <c r="D189" s="178"/>
      <c r="E189" s="178"/>
      <c r="F189" s="621"/>
      <c r="G189" s="179" t="s">
        <v>198</v>
      </c>
      <c r="H189" s="178"/>
      <c r="I189" s="632"/>
      <c r="J189" s="614">
        <v>2852</v>
      </c>
      <c r="K189" s="633">
        <f t="shared" si="41"/>
        <v>0</v>
      </c>
      <c r="L189" s="491"/>
      <c r="M189" s="192"/>
      <c r="N189" s="657"/>
    </row>
    <row r="190" spans="1:14">
      <c r="A190" s="178"/>
      <c r="B190" s="178"/>
      <c r="C190" s="178"/>
      <c r="D190" s="178"/>
      <c r="E190" s="178"/>
      <c r="F190" s="621"/>
      <c r="G190" s="178" t="s">
        <v>356</v>
      </c>
      <c r="H190" s="178"/>
      <c r="I190" s="554"/>
      <c r="J190" s="614">
        <v>178</v>
      </c>
      <c r="K190" s="633">
        <f t="shared" si="41"/>
        <v>0</v>
      </c>
      <c r="L190" s="192"/>
      <c r="M190" s="192"/>
      <c r="N190" s="657"/>
    </row>
    <row r="191" spans="1:14">
      <c r="A191" s="178"/>
      <c r="B191" s="178"/>
      <c r="C191" s="178"/>
      <c r="D191" s="178"/>
      <c r="E191" s="178"/>
      <c r="F191" s="621"/>
      <c r="G191" s="640" t="s">
        <v>185</v>
      </c>
      <c r="H191" s="192"/>
      <c r="I191" s="554"/>
      <c r="J191" s="614">
        <v>623</v>
      </c>
      <c r="K191" s="614">
        <f t="shared" si="41"/>
        <v>0</v>
      </c>
      <c r="L191" s="192"/>
      <c r="M191" s="192"/>
      <c r="N191" s="657"/>
    </row>
    <row r="192" spans="1:14">
      <c r="A192" s="178"/>
      <c r="B192" s="178"/>
      <c r="C192" s="178"/>
      <c r="D192" s="178"/>
      <c r="E192" s="180" t="s">
        <v>9</v>
      </c>
      <c r="F192" s="622">
        <f>SUM(F187:F191)</f>
        <v>0</v>
      </c>
      <c r="G192" s="180"/>
      <c r="H192" s="180"/>
      <c r="I192" s="554"/>
      <c r="J192" s="614"/>
      <c r="K192" s="152">
        <f>SUM(K187:K191)</f>
        <v>0</v>
      </c>
      <c r="L192" s="152" t="e">
        <f>K192/F192</f>
        <v>#DIV/0!</v>
      </c>
      <c r="M192" s="192"/>
      <c r="N192" s="657"/>
    </row>
    <row r="193" spans="1:14">
      <c r="A193" s="634"/>
      <c r="B193" s="634"/>
      <c r="C193" s="634"/>
      <c r="D193" s="624" t="s">
        <v>30</v>
      </c>
      <c r="E193" s="624"/>
      <c r="F193" s="625">
        <f>F111+F117+F123+F129+F135+F141+F147+F153+F159+F166+F174+F180+F186+F192</f>
        <v>0</v>
      </c>
      <c r="G193" s="626"/>
      <c r="H193" s="626"/>
      <c r="I193" s="626"/>
      <c r="J193" s="626"/>
      <c r="K193" s="625">
        <f>K111+K117+K123+K129+K135+K141+K147+K153+K159+K166+K174+K180+K186+K192</f>
        <v>0</v>
      </c>
      <c r="L193" s="627" t="e">
        <f>K193/F193</f>
        <v>#DIV/0!</v>
      </c>
      <c r="M193" s="630"/>
      <c r="N193" s="657"/>
    </row>
    <row r="194" spans="1:14">
      <c r="A194" s="628" t="s">
        <v>40</v>
      </c>
      <c r="B194" s="628"/>
      <c r="C194" s="628"/>
      <c r="D194" s="628"/>
      <c r="E194" s="628"/>
      <c r="F194" s="623"/>
      <c r="G194" s="623"/>
      <c r="H194" s="623"/>
      <c r="I194" s="635"/>
      <c r="J194" s="623"/>
      <c r="K194" s="849" t="s">
        <v>1211</v>
      </c>
      <c r="L194" s="849"/>
      <c r="M194" s="849"/>
      <c r="N194" s="657"/>
    </row>
    <row r="195" spans="1:14">
      <c r="A195" s="180" t="s">
        <v>0</v>
      </c>
      <c r="B195" s="180" t="s">
        <v>7</v>
      </c>
      <c r="C195" s="180" t="s">
        <v>13</v>
      </c>
      <c r="D195" s="180" t="s">
        <v>14</v>
      </c>
      <c r="E195" s="180" t="s">
        <v>8</v>
      </c>
      <c r="F195" s="180" t="s">
        <v>1</v>
      </c>
      <c r="G195" s="180" t="s">
        <v>2</v>
      </c>
      <c r="H195" s="180" t="s">
        <v>15</v>
      </c>
      <c r="I195" s="636" t="s">
        <v>3</v>
      </c>
      <c r="J195" s="180" t="s">
        <v>4</v>
      </c>
      <c r="K195" s="180" t="s">
        <v>5</v>
      </c>
      <c r="L195" s="180" t="s">
        <v>12</v>
      </c>
      <c r="M195" s="180" t="s">
        <v>6</v>
      </c>
      <c r="N195" s="658"/>
    </row>
    <row r="196" spans="1:14">
      <c r="A196" s="178">
        <v>5150</v>
      </c>
      <c r="B196" s="178" t="s">
        <v>477</v>
      </c>
      <c r="C196" s="178" t="s">
        <v>121</v>
      </c>
      <c r="D196" s="178" t="s">
        <v>113</v>
      </c>
      <c r="E196" s="178" t="s">
        <v>132</v>
      </c>
      <c r="F196" s="638"/>
      <c r="G196" s="178" t="s">
        <v>27</v>
      </c>
      <c r="H196" s="192"/>
      <c r="I196" s="554"/>
      <c r="J196" s="614">
        <v>22</v>
      </c>
      <c r="K196" s="614">
        <f t="shared" ref="K196:K198" si="42">I196*J196</f>
        <v>0</v>
      </c>
      <c r="L196" s="178"/>
      <c r="M196" s="178"/>
      <c r="N196" s="648"/>
    </row>
    <row r="197" spans="1:14">
      <c r="A197" s="178"/>
      <c r="B197" s="178"/>
      <c r="C197" s="178"/>
      <c r="D197" s="178" t="s">
        <v>230</v>
      </c>
      <c r="E197" s="178"/>
      <c r="F197" s="178"/>
      <c r="G197" s="179" t="s">
        <v>49</v>
      </c>
      <c r="H197" s="192"/>
      <c r="I197" s="554"/>
      <c r="J197" s="614">
        <v>34</v>
      </c>
      <c r="K197" s="614">
        <f t="shared" si="42"/>
        <v>0</v>
      </c>
      <c r="L197" s="178"/>
      <c r="M197" s="178"/>
      <c r="N197" s="648"/>
    </row>
    <row r="198" spans="1:14">
      <c r="A198" s="178"/>
      <c r="B198" s="178"/>
      <c r="C198" s="178"/>
      <c r="D198" s="178"/>
      <c r="E198" s="178"/>
      <c r="F198" s="178"/>
      <c r="G198" s="178" t="s">
        <v>19</v>
      </c>
      <c r="H198" s="192"/>
      <c r="I198" s="554"/>
      <c r="J198" s="614">
        <v>80</v>
      </c>
      <c r="K198" s="614">
        <f t="shared" si="42"/>
        <v>0</v>
      </c>
      <c r="L198" s="178"/>
      <c r="M198" s="178"/>
      <c r="N198" s="648"/>
    </row>
    <row r="199" spans="1:14">
      <c r="A199" s="178"/>
      <c r="B199" s="178"/>
      <c r="C199" s="178"/>
      <c r="D199" s="178"/>
      <c r="E199" s="180" t="s">
        <v>9</v>
      </c>
      <c r="F199" s="622">
        <f>SUM(F196:F198)</f>
        <v>0</v>
      </c>
      <c r="G199" s="180"/>
      <c r="H199" s="180"/>
      <c r="I199" s="554"/>
      <c r="J199" s="614"/>
      <c r="K199" s="152">
        <f>SUM(K196:K198)</f>
        <v>0</v>
      </c>
      <c r="L199" s="152" t="e">
        <f>K199/F199</f>
        <v>#DIV/0!</v>
      </c>
      <c r="M199" s="192"/>
      <c r="N199" s="657"/>
    </row>
    <row r="200" spans="1:14">
      <c r="A200" s="178">
        <v>5627</v>
      </c>
      <c r="B200" s="178" t="s">
        <v>567</v>
      </c>
      <c r="C200" s="629" t="s">
        <v>455</v>
      </c>
      <c r="D200" s="629" t="s">
        <v>568</v>
      </c>
      <c r="E200" s="178" t="s">
        <v>232</v>
      </c>
      <c r="F200" s="638"/>
      <c r="G200" s="178" t="s">
        <v>27</v>
      </c>
      <c r="H200" s="192"/>
      <c r="I200" s="554"/>
      <c r="J200" s="614">
        <v>22</v>
      </c>
      <c r="K200" s="614">
        <f t="shared" ref="K200:K202" si="43">I200*J200</f>
        <v>0</v>
      </c>
      <c r="L200" s="178"/>
      <c r="M200" s="178"/>
      <c r="N200" s="648"/>
    </row>
    <row r="201" spans="1:14">
      <c r="A201" s="178"/>
      <c r="B201" s="178"/>
      <c r="C201" s="178"/>
      <c r="D201" s="178"/>
      <c r="E201" s="178"/>
      <c r="F201" s="622"/>
      <c r="G201" s="179" t="s">
        <v>49</v>
      </c>
      <c r="H201" s="192"/>
      <c r="I201" s="554"/>
      <c r="J201" s="614">
        <v>34</v>
      </c>
      <c r="K201" s="614">
        <f t="shared" si="43"/>
        <v>0</v>
      </c>
      <c r="L201" s="178"/>
      <c r="M201" s="178"/>
      <c r="N201" s="648"/>
    </row>
    <row r="202" spans="1:14">
      <c r="A202" s="178"/>
      <c r="B202" s="178"/>
      <c r="C202" s="178"/>
      <c r="D202" s="178"/>
      <c r="E202" s="178"/>
      <c r="F202" s="178"/>
      <c r="G202" s="178" t="s">
        <v>19</v>
      </c>
      <c r="H202" s="192"/>
      <c r="I202" s="554"/>
      <c r="J202" s="614">
        <v>80</v>
      </c>
      <c r="K202" s="614">
        <f t="shared" si="43"/>
        <v>0</v>
      </c>
      <c r="L202" s="178"/>
      <c r="M202" s="178"/>
      <c r="N202" s="648"/>
    </row>
    <row r="203" spans="1:14">
      <c r="A203" s="178"/>
      <c r="B203" s="178"/>
      <c r="C203" s="178"/>
      <c r="D203" s="178"/>
      <c r="E203" s="180" t="s">
        <v>9</v>
      </c>
      <c r="F203" s="622">
        <f>SUM(F200:F202)</f>
        <v>0</v>
      </c>
      <c r="G203" s="180"/>
      <c r="H203" s="180"/>
      <c r="I203" s="554"/>
      <c r="J203" s="614"/>
      <c r="K203" s="152">
        <f>SUM(K200:K202)</f>
        <v>0</v>
      </c>
      <c r="L203" s="152" t="e">
        <f>K203/F203</f>
        <v>#DIV/0!</v>
      </c>
      <c r="M203" s="192"/>
      <c r="N203" s="657"/>
    </row>
    <row r="204" spans="1:14">
      <c r="A204" s="178">
        <v>5615</v>
      </c>
      <c r="B204" s="178" t="s">
        <v>474</v>
      </c>
      <c r="C204" s="178" t="s">
        <v>564</v>
      </c>
      <c r="D204" s="178" t="s">
        <v>255</v>
      </c>
      <c r="E204" s="178" t="s">
        <v>576</v>
      </c>
      <c r="F204" s="638"/>
      <c r="G204" s="178" t="s">
        <v>27</v>
      </c>
      <c r="H204" s="192"/>
      <c r="I204" s="554"/>
      <c r="J204" s="614">
        <v>22</v>
      </c>
      <c r="K204" s="614">
        <f t="shared" ref="K204:K206" si="44">I204*J204</f>
        <v>0</v>
      </c>
      <c r="L204" s="178"/>
      <c r="M204" s="178"/>
      <c r="N204" s="648"/>
    </row>
    <row r="205" spans="1:14">
      <c r="A205" s="178"/>
      <c r="B205" s="178"/>
      <c r="C205" s="178"/>
      <c r="D205" s="178"/>
      <c r="E205" s="178"/>
      <c r="F205" s="178"/>
      <c r="G205" s="179" t="s">
        <v>49</v>
      </c>
      <c r="H205" s="192"/>
      <c r="I205" s="554"/>
      <c r="J205" s="614">
        <v>34</v>
      </c>
      <c r="K205" s="614">
        <f t="shared" si="44"/>
        <v>0</v>
      </c>
      <c r="L205" s="178"/>
      <c r="M205" s="178"/>
      <c r="N205" s="648"/>
    </row>
    <row r="206" spans="1:14">
      <c r="A206" s="178"/>
      <c r="B206" s="178"/>
      <c r="C206" s="178"/>
      <c r="D206" s="178"/>
      <c r="E206" s="178"/>
      <c r="F206" s="178"/>
      <c r="G206" s="178" t="s">
        <v>19</v>
      </c>
      <c r="H206" s="192"/>
      <c r="I206" s="554"/>
      <c r="J206" s="614">
        <v>80</v>
      </c>
      <c r="K206" s="614">
        <f t="shared" si="44"/>
        <v>0</v>
      </c>
      <c r="L206" s="178"/>
      <c r="M206" s="178"/>
      <c r="N206" s="648"/>
    </row>
    <row r="207" spans="1:14">
      <c r="A207" s="178"/>
      <c r="B207" s="178"/>
      <c r="C207" s="178"/>
      <c r="D207" s="178"/>
      <c r="E207" s="180" t="s">
        <v>9</v>
      </c>
      <c r="F207" s="622">
        <f>SUM(F204:F206)</f>
        <v>0</v>
      </c>
      <c r="G207" s="180"/>
      <c r="H207" s="180"/>
      <c r="I207" s="554"/>
      <c r="J207" s="614"/>
      <c r="K207" s="152">
        <f>SUM(K204:K206)</f>
        <v>0</v>
      </c>
      <c r="L207" s="152" t="e">
        <f>K207/F207</f>
        <v>#DIV/0!</v>
      </c>
      <c r="M207" s="178"/>
      <c r="N207" s="648"/>
    </row>
    <row r="208" spans="1:14">
      <c r="A208" s="178">
        <v>5497</v>
      </c>
      <c r="B208" s="178" t="s">
        <v>511</v>
      </c>
      <c r="C208" s="178" t="s">
        <v>121</v>
      </c>
      <c r="D208" s="178" t="s">
        <v>369</v>
      </c>
      <c r="E208" s="178" t="s">
        <v>397</v>
      </c>
      <c r="F208" s="638"/>
      <c r="G208" s="178" t="s">
        <v>19</v>
      </c>
      <c r="H208" s="192"/>
      <c r="I208" s="554"/>
      <c r="J208" s="614">
        <v>80</v>
      </c>
      <c r="K208" s="614">
        <f t="shared" ref="K208:K209" si="45">I208*J208</f>
        <v>0</v>
      </c>
      <c r="L208" s="178"/>
      <c r="M208" s="178"/>
      <c r="N208" s="648"/>
    </row>
    <row r="209" spans="1:14">
      <c r="A209" s="178"/>
      <c r="B209" s="153"/>
      <c r="C209" s="153"/>
      <c r="D209" s="153"/>
      <c r="E209" s="178" t="s">
        <v>569</v>
      </c>
      <c r="F209" s="645"/>
      <c r="G209" s="178" t="s">
        <v>25</v>
      </c>
      <c r="H209" s="192"/>
      <c r="I209" s="554"/>
      <c r="J209" s="614">
        <v>172</v>
      </c>
      <c r="K209" s="614">
        <f t="shared" si="45"/>
        <v>0</v>
      </c>
      <c r="L209" s="178"/>
      <c r="M209" s="178"/>
      <c r="N209" s="648"/>
    </row>
    <row r="210" spans="1:14">
      <c r="A210" s="178"/>
      <c r="B210" s="178"/>
      <c r="C210" s="178"/>
      <c r="D210" s="178"/>
      <c r="E210" s="180" t="s">
        <v>9</v>
      </c>
      <c r="F210" s="622">
        <f>SUM(F208:F209)</f>
        <v>0</v>
      </c>
      <c r="G210" s="180"/>
      <c r="H210" s="180"/>
      <c r="I210" s="554"/>
      <c r="J210" s="614"/>
      <c r="K210" s="152">
        <f>SUM(K208:K209)</f>
        <v>0</v>
      </c>
      <c r="L210" s="152" t="e">
        <f>K210/F210</f>
        <v>#DIV/0!</v>
      </c>
      <c r="M210" s="178"/>
      <c r="N210" s="648"/>
    </row>
    <row r="211" spans="1:14">
      <c r="A211" s="178">
        <v>5108</v>
      </c>
      <c r="B211" s="178" t="s">
        <v>570</v>
      </c>
      <c r="C211" s="178" t="s">
        <v>121</v>
      </c>
      <c r="D211" s="178" t="s">
        <v>74</v>
      </c>
      <c r="E211" s="178" t="s">
        <v>129</v>
      </c>
      <c r="F211" s="638"/>
      <c r="G211" s="178" t="s">
        <v>27</v>
      </c>
      <c r="H211" s="192"/>
      <c r="I211" s="554"/>
      <c r="J211" s="614">
        <v>22</v>
      </c>
      <c r="K211" s="614">
        <f t="shared" ref="K211:K213" si="46">I211*J211</f>
        <v>0</v>
      </c>
      <c r="L211" s="178"/>
      <c r="M211" s="178"/>
      <c r="N211" s="648"/>
    </row>
    <row r="212" spans="1:14">
      <c r="A212" s="178"/>
      <c r="B212" s="178"/>
      <c r="C212" s="178"/>
      <c r="D212" s="178" t="s">
        <v>230</v>
      </c>
      <c r="E212" s="178"/>
      <c r="F212" s="178"/>
      <c r="G212" s="179" t="s">
        <v>49</v>
      </c>
      <c r="H212" s="192"/>
      <c r="I212" s="554"/>
      <c r="J212" s="614">
        <v>34</v>
      </c>
      <c r="K212" s="614">
        <f t="shared" si="46"/>
        <v>0</v>
      </c>
      <c r="L212" s="178"/>
      <c r="M212" s="178"/>
      <c r="N212" s="648"/>
    </row>
    <row r="213" spans="1:14">
      <c r="A213" s="178"/>
      <c r="B213" s="178"/>
      <c r="C213" s="178"/>
      <c r="D213" s="178"/>
      <c r="E213" s="178"/>
      <c r="F213" s="178"/>
      <c r="G213" s="178" t="s">
        <v>19</v>
      </c>
      <c r="H213" s="192"/>
      <c r="I213" s="554"/>
      <c r="J213" s="614">
        <v>80</v>
      </c>
      <c r="K213" s="614">
        <f t="shared" si="46"/>
        <v>0</v>
      </c>
      <c r="L213" s="178"/>
      <c r="M213" s="178"/>
      <c r="N213" s="648"/>
    </row>
    <row r="214" spans="1:14">
      <c r="A214" s="178"/>
      <c r="B214" s="178"/>
      <c r="C214" s="178"/>
      <c r="D214" s="178"/>
      <c r="E214" s="180" t="s">
        <v>9</v>
      </c>
      <c r="F214" s="622">
        <f>SUM(F211:F213)</f>
        <v>0</v>
      </c>
      <c r="G214" s="180"/>
      <c r="H214" s="180"/>
      <c r="I214" s="554"/>
      <c r="J214" s="614"/>
      <c r="K214" s="152">
        <f>SUM(K211:K213)</f>
        <v>0</v>
      </c>
      <c r="L214" s="152" t="e">
        <f>K214/F214</f>
        <v>#DIV/0!</v>
      </c>
      <c r="M214" s="178"/>
      <c r="N214" s="648"/>
    </row>
    <row r="215" spans="1:14">
      <c r="A215" s="634"/>
      <c r="B215" s="634"/>
      <c r="C215" s="634"/>
      <c r="D215" s="624" t="s">
        <v>30</v>
      </c>
      <c r="E215" s="720"/>
      <c r="F215" s="625">
        <f>F199+F203+F207+F210+F214</f>
        <v>0</v>
      </c>
      <c r="G215" s="626"/>
      <c r="H215" s="626"/>
      <c r="I215" s="626"/>
      <c r="J215" s="626"/>
      <c r="K215" s="625">
        <f>K199+K203+K207+K210+K214</f>
        <v>0</v>
      </c>
      <c r="L215" s="627" t="e">
        <f>K215/F215</f>
        <v>#DIV/0!</v>
      </c>
      <c r="M215" s="630"/>
      <c r="N215" s="657"/>
    </row>
    <row r="216" spans="1:14">
      <c r="A216" s="628" t="s">
        <v>11</v>
      </c>
      <c r="B216" s="628"/>
      <c r="C216" s="628"/>
      <c r="D216" s="628"/>
      <c r="E216" s="628"/>
      <c r="F216" s="623"/>
      <c r="G216" s="623"/>
      <c r="H216" s="623"/>
      <c r="I216" s="623"/>
      <c r="J216" s="623"/>
      <c r="K216" s="849" t="s">
        <v>1211</v>
      </c>
      <c r="L216" s="849"/>
      <c r="M216" s="849"/>
      <c r="N216" s="657"/>
    </row>
    <row r="217" spans="1:14">
      <c r="A217" s="180" t="s">
        <v>0</v>
      </c>
      <c r="B217" s="180" t="s">
        <v>7</v>
      </c>
      <c r="C217" s="180" t="s">
        <v>13</v>
      </c>
      <c r="D217" s="180" t="s">
        <v>14</v>
      </c>
      <c r="E217" s="180" t="s">
        <v>8</v>
      </c>
      <c r="F217" s="180" t="s">
        <v>1</v>
      </c>
      <c r="G217" s="180" t="s">
        <v>2</v>
      </c>
      <c r="H217" s="180" t="s">
        <v>15</v>
      </c>
      <c r="I217" s="180" t="s">
        <v>3</v>
      </c>
      <c r="J217" s="180" t="s">
        <v>4</v>
      </c>
      <c r="K217" s="180" t="s">
        <v>5</v>
      </c>
      <c r="L217" s="180" t="s">
        <v>12</v>
      </c>
      <c r="M217" s="180" t="s">
        <v>6</v>
      </c>
      <c r="N217" s="658"/>
    </row>
    <row r="218" spans="1:14">
      <c r="A218" s="178">
        <v>5688</v>
      </c>
      <c r="B218" s="178" t="s">
        <v>567</v>
      </c>
      <c r="C218" s="629" t="s">
        <v>455</v>
      </c>
      <c r="D218" s="629" t="s">
        <v>568</v>
      </c>
      <c r="E218" s="178" t="s">
        <v>232</v>
      </c>
      <c r="F218" s="638"/>
      <c r="G218" s="179" t="s">
        <v>206</v>
      </c>
      <c r="H218" s="192"/>
      <c r="I218" s="614"/>
      <c r="J218" s="614">
        <v>375</v>
      </c>
      <c r="K218" s="614">
        <f t="shared" ref="K218:K221" si="47">I218*J218</f>
        <v>0</v>
      </c>
      <c r="L218" s="192"/>
      <c r="M218" s="192"/>
      <c r="N218" s="657"/>
    </row>
    <row r="219" spans="1:14">
      <c r="A219" s="178"/>
      <c r="B219" s="178"/>
      <c r="C219" s="178"/>
      <c r="D219" s="178"/>
      <c r="E219" s="178"/>
      <c r="F219" s="178"/>
      <c r="G219" s="178" t="s">
        <v>202</v>
      </c>
      <c r="H219" s="192"/>
      <c r="I219" s="614"/>
      <c r="J219" s="152">
        <v>386</v>
      </c>
      <c r="K219" s="614">
        <f t="shared" si="47"/>
        <v>0</v>
      </c>
      <c r="L219" s="192"/>
      <c r="M219" s="192"/>
      <c r="N219" s="657"/>
    </row>
    <row r="220" spans="1:14">
      <c r="A220" s="178"/>
      <c r="B220" s="178"/>
      <c r="C220" s="178"/>
      <c r="D220" s="178"/>
      <c r="E220" s="178"/>
      <c r="F220" s="178"/>
      <c r="G220" s="179" t="s">
        <v>512</v>
      </c>
      <c r="H220" s="192"/>
      <c r="I220" s="554"/>
      <c r="J220" s="614">
        <v>248</v>
      </c>
      <c r="K220" s="614">
        <f t="shared" si="47"/>
        <v>0</v>
      </c>
      <c r="L220" s="104"/>
      <c r="M220" s="192"/>
      <c r="N220" s="657"/>
    </row>
    <row r="221" spans="1:14">
      <c r="A221" s="178"/>
      <c r="B221" s="178"/>
      <c r="C221" s="178"/>
      <c r="D221" s="178"/>
      <c r="E221" s="178"/>
      <c r="F221" s="178"/>
      <c r="G221" s="179" t="s">
        <v>298</v>
      </c>
      <c r="H221" s="192"/>
      <c r="I221" s="554"/>
      <c r="J221" s="614">
        <v>435</v>
      </c>
      <c r="K221" s="633">
        <f t="shared" si="47"/>
        <v>0</v>
      </c>
      <c r="L221" s="192"/>
      <c r="M221" s="192"/>
      <c r="N221" s="657"/>
    </row>
    <row r="222" spans="1:14">
      <c r="A222" s="178"/>
      <c r="B222" s="178"/>
      <c r="C222" s="178"/>
      <c r="D222" s="178"/>
      <c r="E222" s="180" t="s">
        <v>9</v>
      </c>
      <c r="F222" s="622">
        <f>SUM(F218:F221)</f>
        <v>0</v>
      </c>
      <c r="G222" s="180"/>
      <c r="H222" s="180"/>
      <c r="I222" s="614"/>
      <c r="J222" s="614"/>
      <c r="K222" s="152">
        <f>SUM(K218:K221)</f>
        <v>0</v>
      </c>
      <c r="L222" s="152" t="e">
        <f>K222/F222</f>
        <v>#DIV/0!</v>
      </c>
      <c r="M222" s="192"/>
      <c r="N222" s="657"/>
    </row>
    <row r="223" spans="1:14">
      <c r="A223" s="178">
        <v>5687</v>
      </c>
      <c r="B223" s="178" t="s">
        <v>552</v>
      </c>
      <c r="C223" s="629" t="s">
        <v>553</v>
      </c>
      <c r="D223" s="629" t="s">
        <v>554</v>
      </c>
      <c r="E223" s="178" t="s">
        <v>101</v>
      </c>
      <c r="F223" s="621"/>
      <c r="G223" s="179" t="s">
        <v>298</v>
      </c>
      <c r="H223" s="192"/>
      <c r="I223" s="554"/>
      <c r="J223" s="614">
        <v>435</v>
      </c>
      <c r="K223" s="633">
        <f t="shared" ref="K223:K224" si="48">I223*J223</f>
        <v>0</v>
      </c>
      <c r="L223" s="192"/>
      <c r="M223" s="192"/>
      <c r="N223" s="657"/>
    </row>
    <row r="224" spans="1:14">
      <c r="A224" s="178"/>
      <c r="B224" s="178"/>
      <c r="C224" s="178"/>
      <c r="D224" s="178"/>
      <c r="E224" s="178"/>
      <c r="F224" s="621"/>
      <c r="G224" s="179" t="s">
        <v>206</v>
      </c>
      <c r="H224" s="192"/>
      <c r="I224" s="614"/>
      <c r="J224" s="614">
        <v>375</v>
      </c>
      <c r="K224" s="614">
        <f t="shared" si="48"/>
        <v>0</v>
      </c>
      <c r="L224" s="192"/>
      <c r="M224" s="192"/>
      <c r="N224" s="657"/>
    </row>
    <row r="225" spans="1:14">
      <c r="A225" s="178"/>
      <c r="B225" s="178"/>
      <c r="C225" s="178"/>
      <c r="D225" s="178"/>
      <c r="E225" s="180" t="s">
        <v>9</v>
      </c>
      <c r="F225" s="622">
        <f>SUM(F223:F224)</f>
        <v>0</v>
      </c>
      <c r="G225" s="180"/>
      <c r="H225" s="180"/>
      <c r="I225" s="614"/>
      <c r="J225" s="614"/>
      <c r="K225" s="152">
        <f>SUM(K223:K224)</f>
        <v>0</v>
      </c>
      <c r="L225" s="152" t="e">
        <f>K225/F225</f>
        <v>#DIV/0!</v>
      </c>
      <c r="M225" s="192"/>
      <c r="N225" s="657"/>
    </row>
    <row r="226" spans="1:14">
      <c r="A226" s="178">
        <v>5685</v>
      </c>
      <c r="B226" s="178" t="s">
        <v>584</v>
      </c>
      <c r="C226" s="178" t="s">
        <v>268</v>
      </c>
      <c r="D226" s="178" t="s">
        <v>505</v>
      </c>
      <c r="E226" s="178" t="s">
        <v>232</v>
      </c>
      <c r="F226" s="638"/>
      <c r="G226" s="178" t="s">
        <v>202</v>
      </c>
      <c r="H226" s="192"/>
      <c r="I226" s="614"/>
      <c r="J226" s="152">
        <v>386</v>
      </c>
      <c r="K226" s="614">
        <f t="shared" ref="K226" si="49">I226*J226</f>
        <v>0</v>
      </c>
      <c r="L226" s="192"/>
      <c r="M226" s="192"/>
      <c r="N226" s="657"/>
    </row>
    <row r="227" spans="1:14">
      <c r="A227" s="634"/>
      <c r="B227" s="634"/>
      <c r="C227" s="634"/>
      <c r="D227" s="721"/>
      <c r="E227" s="180" t="s">
        <v>9</v>
      </c>
      <c r="F227" s="622">
        <f>SUM(F226)</f>
        <v>0</v>
      </c>
      <c r="G227" s="180"/>
      <c r="H227" s="180"/>
      <c r="I227" s="614"/>
      <c r="J227" s="614"/>
      <c r="K227" s="152">
        <f>SUM(K226)</f>
        <v>0</v>
      </c>
      <c r="L227" s="152" t="e">
        <f>K227/F227</f>
        <v>#DIV/0!</v>
      </c>
      <c r="M227" s="630"/>
      <c r="N227" s="657"/>
    </row>
    <row r="228" spans="1:14">
      <c r="A228" s="623"/>
      <c r="B228" s="623"/>
      <c r="C228" s="623"/>
      <c r="D228" s="624" t="s">
        <v>30</v>
      </c>
      <c r="E228" s="624"/>
      <c r="F228" s="625">
        <f>F222+F225+F227</f>
        <v>0</v>
      </c>
      <c r="G228" s="626"/>
      <c r="H228" s="626"/>
      <c r="I228" s="626"/>
      <c r="J228" s="626"/>
      <c r="K228" s="625">
        <f>K222+K225+K227</f>
        <v>0</v>
      </c>
      <c r="L228" s="627" t="e">
        <f>K228/F228</f>
        <v>#DIV/0!</v>
      </c>
      <c r="M228" s="623"/>
      <c r="N228" s="657"/>
    </row>
    <row r="229" spans="1:14">
      <c r="A229" s="628" t="s">
        <v>42</v>
      </c>
      <c r="B229" s="628"/>
      <c r="C229" s="628"/>
      <c r="D229" s="628"/>
      <c r="E229" s="628"/>
      <c r="F229" s="623"/>
      <c r="G229" s="623"/>
      <c r="H229" s="623"/>
      <c r="I229" s="623"/>
      <c r="J229" s="623"/>
      <c r="K229" s="849" t="s">
        <v>1211</v>
      </c>
      <c r="L229" s="849"/>
      <c r="M229" s="849"/>
      <c r="N229" s="657"/>
    </row>
    <row r="230" spans="1:14">
      <c r="A230" s="180" t="s">
        <v>0</v>
      </c>
      <c r="B230" s="180" t="s">
        <v>7</v>
      </c>
      <c r="C230" s="180" t="s">
        <v>13</v>
      </c>
      <c r="D230" s="180" t="s">
        <v>14</v>
      </c>
      <c r="E230" s="180" t="s">
        <v>8</v>
      </c>
      <c r="F230" s="180" t="s">
        <v>1</v>
      </c>
      <c r="G230" s="180" t="s">
        <v>2</v>
      </c>
      <c r="H230" s="180" t="s">
        <v>15</v>
      </c>
      <c r="I230" s="180" t="s">
        <v>3</v>
      </c>
      <c r="J230" s="180" t="s">
        <v>4</v>
      </c>
      <c r="K230" s="180" t="s">
        <v>5</v>
      </c>
      <c r="L230" s="180" t="s">
        <v>12</v>
      </c>
      <c r="M230" s="180" t="s">
        <v>6</v>
      </c>
      <c r="N230" s="658"/>
    </row>
    <row r="231" spans="1:14">
      <c r="A231" s="178">
        <v>4808</v>
      </c>
      <c r="B231" s="178" t="s">
        <v>444</v>
      </c>
      <c r="C231" s="178" t="s">
        <v>121</v>
      </c>
      <c r="D231" s="178" t="s">
        <v>674</v>
      </c>
      <c r="E231" s="178" t="s">
        <v>93</v>
      </c>
      <c r="F231" s="621"/>
      <c r="G231" s="179" t="s">
        <v>377</v>
      </c>
      <c r="H231" s="192"/>
      <c r="I231" s="554"/>
      <c r="J231" s="614">
        <v>185</v>
      </c>
      <c r="K231" s="614">
        <f t="shared" ref="K231:K232" si="50">I231*J231</f>
        <v>0</v>
      </c>
      <c r="L231" s="192"/>
      <c r="M231" s="192"/>
      <c r="N231" s="657"/>
    </row>
    <row r="232" spans="1:14">
      <c r="A232" s="178"/>
      <c r="B232" s="178"/>
      <c r="C232" s="178"/>
      <c r="D232" s="178"/>
      <c r="E232" s="178"/>
      <c r="F232" s="621"/>
      <c r="G232" s="179" t="s">
        <v>214</v>
      </c>
      <c r="H232" s="192"/>
      <c r="I232" s="554"/>
      <c r="J232" s="614">
        <v>360</v>
      </c>
      <c r="K232" s="614">
        <f t="shared" si="50"/>
        <v>0</v>
      </c>
      <c r="L232" s="192"/>
      <c r="M232" s="192"/>
      <c r="N232" s="657"/>
    </row>
    <row r="233" spans="1:14">
      <c r="A233" s="178"/>
      <c r="B233" s="178"/>
      <c r="C233" s="178"/>
      <c r="D233" s="178"/>
      <c r="E233" s="180" t="s">
        <v>9</v>
      </c>
      <c r="F233" s="622">
        <f>SUM(F229:F232)</f>
        <v>0</v>
      </c>
      <c r="G233" s="180"/>
      <c r="H233" s="180"/>
      <c r="I233" s="614"/>
      <c r="J233" s="614"/>
      <c r="K233" s="152">
        <f>SUM(K231:K232)</f>
        <v>0</v>
      </c>
      <c r="L233" s="152" t="e">
        <f>K233/F233</f>
        <v>#DIV/0!</v>
      </c>
      <c r="M233" s="178" t="s">
        <v>95</v>
      </c>
      <c r="N233" s="657"/>
    </row>
    <row r="234" spans="1:14">
      <c r="A234" s="178">
        <v>4809</v>
      </c>
      <c r="B234" s="178" t="s">
        <v>529</v>
      </c>
      <c r="C234" s="178" t="s">
        <v>494</v>
      </c>
      <c r="D234" s="178" t="s">
        <v>495</v>
      </c>
      <c r="E234" s="178" t="s">
        <v>93</v>
      </c>
      <c r="F234" s="621"/>
      <c r="G234" s="640" t="s">
        <v>209</v>
      </c>
      <c r="H234" s="192"/>
      <c r="I234" s="554"/>
      <c r="J234" s="614">
        <v>350</v>
      </c>
      <c r="K234" s="614">
        <f t="shared" ref="K234:K235" si="51">I234*J234</f>
        <v>0</v>
      </c>
      <c r="L234" s="192"/>
      <c r="M234" s="192"/>
      <c r="N234" s="657"/>
    </row>
    <row r="235" spans="1:14">
      <c r="A235" s="178"/>
      <c r="B235" s="178"/>
      <c r="C235" s="178"/>
      <c r="D235" s="178"/>
      <c r="E235" s="178"/>
      <c r="F235" s="621"/>
      <c r="G235" s="640" t="s">
        <v>466</v>
      </c>
      <c r="H235" s="162"/>
      <c r="I235" s="554"/>
      <c r="J235" s="614">
        <v>790</v>
      </c>
      <c r="K235" s="614">
        <f t="shared" si="51"/>
        <v>0</v>
      </c>
      <c r="L235" s="192"/>
      <c r="M235" s="192"/>
      <c r="N235" s="657"/>
    </row>
    <row r="236" spans="1:14">
      <c r="A236" s="178"/>
      <c r="B236" s="178"/>
      <c r="C236" s="178"/>
      <c r="D236" s="178"/>
      <c r="E236" s="178"/>
      <c r="F236" s="621"/>
      <c r="G236" s="179" t="s">
        <v>211</v>
      </c>
      <c r="H236" s="192"/>
      <c r="I236" s="554"/>
      <c r="J236" s="614">
        <v>120</v>
      </c>
      <c r="K236" s="614">
        <f>I236*J236</f>
        <v>0</v>
      </c>
      <c r="L236" s="192"/>
      <c r="M236" s="192"/>
      <c r="N236" s="657"/>
    </row>
    <row r="237" spans="1:14">
      <c r="A237" s="178"/>
      <c r="B237" s="178"/>
      <c r="C237" s="178"/>
      <c r="D237" s="178"/>
      <c r="E237" s="178"/>
      <c r="F237" s="621"/>
      <c r="G237" s="179" t="s">
        <v>212</v>
      </c>
      <c r="H237" s="192"/>
      <c r="I237" s="554"/>
      <c r="J237" s="614">
        <v>280</v>
      </c>
      <c r="K237" s="614">
        <f t="shared" ref="K237" si="52">I237*J237</f>
        <v>0</v>
      </c>
      <c r="L237" s="192"/>
      <c r="M237" s="192"/>
      <c r="N237" s="657"/>
    </row>
    <row r="238" spans="1:14">
      <c r="A238" s="178"/>
      <c r="B238" s="178"/>
      <c r="C238" s="178"/>
      <c r="D238" s="178"/>
      <c r="E238" s="178"/>
      <c r="F238" s="621"/>
      <c r="G238" s="179" t="s">
        <v>213</v>
      </c>
      <c r="H238" s="192"/>
      <c r="I238" s="554"/>
      <c r="J238" s="614">
        <v>348</v>
      </c>
      <c r="K238" s="614">
        <f t="shared" ref="K238:K239" si="53">I238*J238</f>
        <v>0</v>
      </c>
      <c r="L238" s="192"/>
      <c r="M238" s="192"/>
      <c r="N238" s="657"/>
    </row>
    <row r="239" spans="1:14">
      <c r="A239" s="178"/>
      <c r="B239" s="178"/>
      <c r="C239" s="178"/>
      <c r="D239" s="178"/>
      <c r="E239" s="180"/>
      <c r="F239" s="622"/>
      <c r="G239" s="179" t="s">
        <v>45</v>
      </c>
      <c r="H239" s="192"/>
      <c r="I239" s="554"/>
      <c r="J239" s="614">
        <v>45</v>
      </c>
      <c r="K239" s="614">
        <f t="shared" si="53"/>
        <v>0</v>
      </c>
      <c r="L239" s="192"/>
      <c r="M239" s="192"/>
      <c r="N239" s="657"/>
    </row>
    <row r="240" spans="1:14">
      <c r="A240" s="178"/>
      <c r="B240" s="178"/>
      <c r="C240" s="178"/>
      <c r="D240" s="178"/>
      <c r="E240" s="180" t="s">
        <v>9</v>
      </c>
      <c r="F240" s="622">
        <f>SUM(F234:F239)</f>
        <v>0</v>
      </c>
      <c r="G240" s="180"/>
      <c r="H240" s="180"/>
      <c r="I240" s="614"/>
      <c r="J240" s="614"/>
      <c r="K240" s="152">
        <f>SUM(K234:K239)</f>
        <v>0</v>
      </c>
      <c r="L240" s="152" t="e">
        <f>K240/F240</f>
        <v>#DIV/0!</v>
      </c>
      <c r="M240" s="192"/>
      <c r="N240" s="657"/>
    </row>
    <row r="241" spans="1:14">
      <c r="A241" s="178">
        <v>4810</v>
      </c>
      <c r="B241" s="178" t="s">
        <v>537</v>
      </c>
      <c r="C241" s="178" t="s">
        <v>271</v>
      </c>
      <c r="D241" s="178" t="s">
        <v>484</v>
      </c>
      <c r="E241" s="178" t="s">
        <v>93</v>
      </c>
      <c r="F241" s="621"/>
      <c r="G241" s="640" t="s">
        <v>209</v>
      </c>
      <c r="H241" s="192"/>
      <c r="I241" s="554"/>
      <c r="J241" s="614">
        <v>350</v>
      </c>
      <c r="K241" s="614">
        <f t="shared" ref="K241" si="54">I241*J241</f>
        <v>0</v>
      </c>
      <c r="L241" s="192"/>
      <c r="M241" s="192"/>
      <c r="N241" s="657"/>
    </row>
    <row r="242" spans="1:14">
      <c r="A242" s="178"/>
      <c r="B242" s="178"/>
      <c r="C242" s="178"/>
      <c r="D242" s="178"/>
      <c r="E242" s="178"/>
      <c r="F242" s="621"/>
      <c r="G242" s="179" t="s">
        <v>377</v>
      </c>
      <c r="H242" s="192"/>
      <c r="I242" s="554"/>
      <c r="J242" s="614">
        <v>185</v>
      </c>
      <c r="K242" s="614">
        <f t="shared" ref="K242:K243" si="55">I242*J242</f>
        <v>0</v>
      </c>
      <c r="L242" s="192"/>
      <c r="M242" s="192"/>
      <c r="N242" s="657"/>
    </row>
    <row r="243" spans="1:14">
      <c r="A243" s="178"/>
      <c r="B243" s="178"/>
      <c r="C243" s="178"/>
      <c r="D243" s="178"/>
      <c r="E243" s="178"/>
      <c r="F243" s="621"/>
      <c r="G243" s="178" t="s">
        <v>80</v>
      </c>
      <c r="H243" s="192"/>
      <c r="I243" s="554"/>
      <c r="J243" s="614">
        <v>720</v>
      </c>
      <c r="K243" s="614">
        <f t="shared" si="55"/>
        <v>0</v>
      </c>
      <c r="L243" s="192"/>
      <c r="M243" s="192"/>
      <c r="N243" s="657"/>
    </row>
    <row r="244" spans="1:14">
      <c r="A244" s="178"/>
      <c r="B244" s="178"/>
      <c r="C244" s="178"/>
      <c r="D244" s="178"/>
      <c r="E244" s="178"/>
      <c r="F244" s="621"/>
      <c r="G244" s="179" t="s">
        <v>211</v>
      </c>
      <c r="H244" s="192"/>
      <c r="I244" s="554"/>
      <c r="J244" s="614">
        <v>120</v>
      </c>
      <c r="K244" s="614">
        <f>I244*J244</f>
        <v>0</v>
      </c>
      <c r="L244" s="192"/>
      <c r="M244" s="192"/>
      <c r="N244" s="657"/>
    </row>
    <row r="245" spans="1:14">
      <c r="A245" s="178"/>
      <c r="B245" s="178"/>
      <c r="C245" s="178"/>
      <c r="D245" s="178"/>
      <c r="E245" s="178"/>
      <c r="F245" s="621"/>
      <c r="G245" s="179" t="s">
        <v>212</v>
      </c>
      <c r="H245" s="192"/>
      <c r="I245" s="554"/>
      <c r="J245" s="614">
        <v>280</v>
      </c>
      <c r="K245" s="614">
        <f t="shared" ref="K245:K247" si="56">I245*J245</f>
        <v>0</v>
      </c>
      <c r="L245" s="192"/>
      <c r="M245" s="192"/>
      <c r="N245" s="657"/>
    </row>
    <row r="246" spans="1:14">
      <c r="A246" s="178"/>
      <c r="B246" s="178"/>
      <c r="C246" s="178"/>
      <c r="D246" s="178"/>
      <c r="E246" s="178"/>
      <c r="F246" s="621"/>
      <c r="G246" s="179" t="s">
        <v>213</v>
      </c>
      <c r="H246" s="192"/>
      <c r="I246" s="554"/>
      <c r="J246" s="614">
        <v>348</v>
      </c>
      <c r="K246" s="614">
        <f t="shared" si="56"/>
        <v>0</v>
      </c>
      <c r="L246" s="192"/>
      <c r="M246" s="192"/>
      <c r="N246" s="657"/>
    </row>
    <row r="247" spans="1:14">
      <c r="A247" s="178"/>
      <c r="B247" s="178"/>
      <c r="C247" s="178"/>
      <c r="D247" s="178"/>
      <c r="E247" s="178"/>
      <c r="F247" s="621"/>
      <c r="G247" s="179" t="s">
        <v>45</v>
      </c>
      <c r="H247" s="192"/>
      <c r="I247" s="554"/>
      <c r="J247" s="614">
        <v>45</v>
      </c>
      <c r="K247" s="614">
        <f t="shared" si="56"/>
        <v>0</v>
      </c>
      <c r="L247" s="192"/>
      <c r="M247" s="192"/>
      <c r="N247" s="657"/>
    </row>
    <row r="248" spans="1:14">
      <c r="A248" s="178"/>
      <c r="B248" s="178"/>
      <c r="C248" s="178"/>
      <c r="D248" s="178"/>
      <c r="E248" s="180" t="s">
        <v>9</v>
      </c>
      <c r="F248" s="622">
        <f>SUM(F241:F247)</f>
        <v>0</v>
      </c>
      <c r="G248" s="180"/>
      <c r="H248" s="180"/>
      <c r="I248" s="614"/>
      <c r="J248" s="614"/>
      <c r="K248" s="152">
        <f>SUM(K241:K247)</f>
        <v>0</v>
      </c>
      <c r="L248" s="152" t="e">
        <f>K248/F248</f>
        <v>#DIV/0!</v>
      </c>
      <c r="M248" s="192"/>
      <c r="N248" s="657"/>
    </row>
    <row r="249" spans="1:14">
      <c r="A249" s="623"/>
      <c r="B249" s="623"/>
      <c r="C249" s="623"/>
      <c r="D249" s="624" t="s">
        <v>30</v>
      </c>
      <c r="E249" s="624"/>
      <c r="F249" s="625">
        <f>F233+F240+F248</f>
        <v>0</v>
      </c>
      <c r="G249" s="626"/>
      <c r="H249" s="626"/>
      <c r="I249" s="626"/>
      <c r="J249" s="626"/>
      <c r="K249" s="625">
        <f>K233+K240+K248</f>
        <v>0</v>
      </c>
      <c r="L249" s="627" t="e">
        <f>K249/F249</f>
        <v>#DIV/0!</v>
      </c>
      <c r="M249" s="623"/>
      <c r="N249" s="657"/>
    </row>
    <row r="250" spans="1:14" s="71" customFormat="1" ht="15" customHeight="1">
      <c r="A250" s="618"/>
      <c r="B250" s="618"/>
      <c r="C250" s="618"/>
      <c r="D250" s="618"/>
      <c r="E250" s="618"/>
      <c r="F250" s="618"/>
      <c r="G250" s="618"/>
      <c r="H250" s="618"/>
      <c r="I250" s="618"/>
      <c r="J250" s="618"/>
      <c r="K250" s="618"/>
      <c r="L250" s="618"/>
      <c r="M250" s="618"/>
      <c r="N250" s="618"/>
    </row>
    <row r="251" spans="1:14" ht="15" customHeight="1">
      <c r="A251" s="657"/>
      <c r="B251" s="657"/>
      <c r="C251" s="657"/>
      <c r="D251" s="657"/>
      <c r="E251" s="657"/>
      <c r="F251" s="657"/>
      <c r="G251" s="657"/>
      <c r="H251" s="657"/>
      <c r="I251" s="657"/>
      <c r="J251" s="657"/>
      <c r="K251" s="657"/>
      <c r="L251" s="657"/>
      <c r="M251" s="657"/>
      <c r="N251" s="657"/>
    </row>
    <row r="252" spans="1:14" ht="15" customHeight="1">
      <c r="A252" s="657"/>
      <c r="B252" s="31"/>
      <c r="C252" s="31"/>
      <c r="D252" s="624" t="s">
        <v>1009</v>
      </c>
      <c r="E252" s="665">
        <f>F213+F249</f>
        <v>0</v>
      </c>
      <c r="F252" s="624"/>
      <c r="G252" s="625">
        <f>K249</f>
        <v>0</v>
      </c>
      <c r="H252" s="626"/>
      <c r="I252" s="626"/>
      <c r="J252" s="626"/>
      <c r="K252" s="626"/>
      <c r="L252" s="625" t="e">
        <f>G252/E252</f>
        <v>#DIV/0!</v>
      </c>
      <c r="M252" s="657"/>
      <c r="N252" s="657"/>
    </row>
    <row r="253" spans="1:14" ht="15" customHeight="1">
      <c r="A253" s="657"/>
      <c r="B253" s="31"/>
      <c r="C253" s="31"/>
      <c r="D253" s="162" t="s">
        <v>855</v>
      </c>
      <c r="E253" s="666"/>
      <c r="F253" s="162"/>
      <c r="G253" s="667">
        <f>K234</f>
        <v>0</v>
      </c>
      <c r="H253" s="668"/>
      <c r="I253" s="667">
        <f>'01'!G275+'02'!G322+'03'!G415+'04'!G325</f>
        <v>0</v>
      </c>
      <c r="J253" s="669">
        <f>G253+M266</f>
        <v>0</v>
      </c>
      <c r="K253" s="670"/>
      <c r="L253" s="671"/>
      <c r="M253" s="657"/>
      <c r="N253" s="657"/>
    </row>
    <row r="254" spans="1:14" ht="15" customHeight="1">
      <c r="A254" s="657"/>
      <c r="B254" s="31"/>
      <c r="C254" s="31"/>
      <c r="D254" s="672" t="s">
        <v>854</v>
      </c>
      <c r="E254" s="673"/>
      <c r="F254" s="672"/>
      <c r="G254" s="674">
        <f>G252-G253</f>
        <v>0</v>
      </c>
      <c r="H254" s="675"/>
      <c r="I254" s="676">
        <f>'01'!G276+'02'!G323+'03'!G416+'04'!G326</f>
        <v>0</v>
      </c>
      <c r="J254" s="677"/>
      <c r="K254" s="677"/>
      <c r="L254" s="678"/>
      <c r="M254" s="657"/>
      <c r="N254" s="657"/>
    </row>
    <row r="255" spans="1:14" ht="15" customHeight="1">
      <c r="A255" s="657"/>
      <c r="B255" s="31"/>
      <c r="C255" s="31"/>
      <c r="D255" s="162" t="s">
        <v>853</v>
      </c>
      <c r="E255" s="679"/>
      <c r="F255" s="162"/>
      <c r="G255" s="680">
        <f>SUM(G253:G254)</f>
        <v>0</v>
      </c>
      <c r="H255" s="681"/>
      <c r="I255" s="682">
        <f>'01'!G274+'02'!G321+'03'!G414+'04'!G324</f>
        <v>0</v>
      </c>
      <c r="J255" s="681"/>
      <c r="K255" s="681"/>
      <c r="L255" s="683" t="e">
        <f>G255/E252</f>
        <v>#DIV/0!</v>
      </c>
      <c r="M255" s="657"/>
      <c r="N255" s="657"/>
    </row>
    <row r="256" spans="1:14" ht="15" customHeight="1">
      <c r="A256" s="657"/>
      <c r="B256" s="31"/>
      <c r="C256" s="31"/>
      <c r="D256" s="684" t="s">
        <v>906</v>
      </c>
      <c r="E256" s="685"/>
      <c r="F256" s="162"/>
      <c r="G256" s="409">
        <f>M266</f>
        <v>0</v>
      </c>
      <c r="H256" s="686"/>
      <c r="I256" s="687"/>
      <c r="J256" s="687"/>
      <c r="K256" s="688"/>
      <c r="L256" s="657"/>
      <c r="M256" s="657"/>
      <c r="N256" s="657"/>
    </row>
    <row r="257" spans="1:14" ht="15" customHeight="1">
      <c r="A257" s="657"/>
      <c r="B257" s="31"/>
      <c r="C257" s="31"/>
      <c r="D257" s="616"/>
      <c r="E257" s="616"/>
      <c r="F257" s="616"/>
      <c r="G257" s="616"/>
      <c r="H257" s="689"/>
      <c r="I257" s="616"/>
      <c r="J257" s="616"/>
      <c r="K257" s="616"/>
      <c r="L257" s="616"/>
      <c r="M257" s="657"/>
      <c r="N257" s="657"/>
    </row>
    <row r="258" spans="1:14" ht="15" customHeight="1">
      <c r="A258" s="657"/>
      <c r="B258" s="31"/>
      <c r="C258" s="31"/>
      <c r="D258" s="854" t="s">
        <v>852</v>
      </c>
      <c r="E258" s="854"/>
      <c r="F258" s="690">
        <f>G274</f>
        <v>0</v>
      </c>
      <c r="G258" s="616"/>
      <c r="H258" s="500" t="s">
        <v>908</v>
      </c>
      <c r="I258" s="855" t="s">
        <v>199</v>
      </c>
      <c r="J258" s="856"/>
      <c r="K258" s="554"/>
      <c r="L258" s="614">
        <v>530</v>
      </c>
      <c r="M258" s="614">
        <f t="shared" ref="M258:M263" si="57">K258*L258</f>
        <v>0</v>
      </c>
      <c r="N258" s="657"/>
    </row>
    <row r="259" spans="1:14" ht="15" customHeight="1">
      <c r="A259" s="657"/>
      <c r="B259" s="31"/>
      <c r="C259" s="31"/>
      <c r="D259" s="854" t="s">
        <v>835</v>
      </c>
      <c r="E259" s="854"/>
      <c r="F259" s="690">
        <f>G264+G265</f>
        <v>0</v>
      </c>
      <c r="G259" s="616"/>
      <c r="H259" s="500" t="s">
        <v>909</v>
      </c>
      <c r="I259" s="855" t="s">
        <v>196</v>
      </c>
      <c r="J259" s="856"/>
      <c r="K259" s="554"/>
      <c r="L259" s="614">
        <v>888</v>
      </c>
      <c r="M259" s="614">
        <f t="shared" si="57"/>
        <v>0</v>
      </c>
      <c r="N259" s="657"/>
    </row>
    <row r="260" spans="1:14" ht="15" customHeight="1">
      <c r="A260" s="657"/>
      <c r="B260" s="31"/>
      <c r="C260" s="31"/>
      <c r="D260" s="854" t="s">
        <v>836</v>
      </c>
      <c r="E260" s="854"/>
      <c r="F260" s="690">
        <f>SUM(F258:F259)</f>
        <v>0</v>
      </c>
      <c r="G260" s="616"/>
      <c r="H260" s="500" t="s">
        <v>910</v>
      </c>
      <c r="I260" s="855" t="s">
        <v>192</v>
      </c>
      <c r="J260" s="856"/>
      <c r="K260" s="554"/>
      <c r="L260" s="614">
        <v>1126</v>
      </c>
      <c r="M260" s="614">
        <f t="shared" si="57"/>
        <v>0</v>
      </c>
      <c r="N260" s="657"/>
    </row>
    <row r="261" spans="1:14" ht="15" customHeight="1">
      <c r="A261" s="657"/>
      <c r="B261" s="31"/>
      <c r="C261" s="31"/>
      <c r="D261" s="691" t="s">
        <v>847</v>
      </c>
      <c r="E261" s="691"/>
      <c r="F261" s="690">
        <f>F258-G254</f>
        <v>0</v>
      </c>
      <c r="G261" s="616"/>
      <c r="H261" s="500" t="s">
        <v>908</v>
      </c>
      <c r="I261" s="857" t="s">
        <v>460</v>
      </c>
      <c r="J261" s="858"/>
      <c r="K261" s="554"/>
      <c r="L261" s="614">
        <v>920</v>
      </c>
      <c r="M261" s="614">
        <f t="shared" si="57"/>
        <v>0</v>
      </c>
      <c r="N261" s="657"/>
    </row>
    <row r="262" spans="1:14" ht="15" customHeight="1">
      <c r="A262" s="657"/>
      <c r="B262" s="31"/>
      <c r="C262" s="31"/>
      <c r="D262" s="616"/>
      <c r="E262" s="616"/>
      <c r="F262" s="616"/>
      <c r="G262" s="616"/>
      <c r="H262" s="500" t="s">
        <v>912</v>
      </c>
      <c r="I262" s="859" t="s">
        <v>315</v>
      </c>
      <c r="J262" s="860"/>
      <c r="K262" s="554"/>
      <c r="L262" s="614">
        <v>2184</v>
      </c>
      <c r="M262" s="614">
        <f t="shared" si="57"/>
        <v>0</v>
      </c>
      <c r="N262" s="657"/>
    </row>
    <row r="263" spans="1:14" ht="15" customHeight="1">
      <c r="A263" s="657"/>
      <c r="B263" s="861" t="s">
        <v>833</v>
      </c>
      <c r="C263" s="862"/>
      <c r="D263" s="180" t="s">
        <v>844</v>
      </c>
      <c r="E263" s="180" t="s">
        <v>845</v>
      </c>
      <c r="F263" s="180" t="s">
        <v>846</v>
      </c>
      <c r="G263" s="180" t="s">
        <v>5</v>
      </c>
      <c r="H263" s="500" t="s">
        <v>911</v>
      </c>
      <c r="I263" s="855" t="s">
        <v>286</v>
      </c>
      <c r="J263" s="856"/>
      <c r="K263" s="554"/>
      <c r="L263" s="614">
        <v>2065</v>
      </c>
      <c r="M263" s="614">
        <f t="shared" si="57"/>
        <v>0</v>
      </c>
      <c r="N263" s="657"/>
    </row>
    <row r="264" spans="1:14" ht="15" customHeight="1">
      <c r="A264" s="657"/>
      <c r="B264" s="31"/>
      <c r="C264" s="31"/>
      <c r="D264" s="180" t="s">
        <v>837</v>
      </c>
      <c r="E264" s="162">
        <v>15.5</v>
      </c>
      <c r="F264" s="692"/>
      <c r="G264" s="693">
        <f>F264*E264</f>
        <v>0</v>
      </c>
      <c r="H264" s="500" t="s">
        <v>909</v>
      </c>
      <c r="I264" s="844"/>
      <c r="J264" s="845"/>
      <c r="K264" s="491"/>
      <c r="L264" s="491"/>
      <c r="M264" s="489"/>
      <c r="N264" s="657"/>
    </row>
    <row r="265" spans="1:14" ht="15" customHeight="1">
      <c r="A265" s="657"/>
      <c r="B265" s="31"/>
      <c r="C265" s="31"/>
      <c r="D265" s="180" t="s">
        <v>1062</v>
      </c>
      <c r="E265" s="162">
        <v>34</v>
      </c>
      <c r="F265" s="692"/>
      <c r="G265" s="693">
        <f t="shared" ref="G265:G271" si="58">F265*E265</f>
        <v>0</v>
      </c>
      <c r="H265" s="500" t="s">
        <v>911</v>
      </c>
      <c r="I265" s="864"/>
      <c r="J265" s="865"/>
      <c r="K265" s="352"/>
      <c r="L265" s="352"/>
      <c r="M265" s="491"/>
      <c r="N265" s="657"/>
    </row>
    <row r="266" spans="1:14" ht="15" customHeight="1">
      <c r="A266" s="648"/>
      <c r="B266" s="616"/>
      <c r="C266" s="616"/>
      <c r="D266" s="694" t="s">
        <v>843</v>
      </c>
      <c r="E266" s="124"/>
      <c r="F266" s="488">
        <f>SUM(F264:F265)</f>
        <v>0</v>
      </c>
      <c r="G266" s="695">
        <f>SUM(G264:G265)</f>
        <v>0</v>
      </c>
      <c r="H266" s="616"/>
      <c r="I266" s="844" t="s">
        <v>906</v>
      </c>
      <c r="J266" s="845"/>
      <c r="K266" s="490">
        <f>SUM(K258:K265)</f>
        <v>0</v>
      </c>
      <c r="L266" s="491"/>
      <c r="M266" s="489">
        <f>SUM(M258:M265)</f>
        <v>0</v>
      </c>
      <c r="N266" s="657"/>
    </row>
    <row r="267" spans="1:14" ht="15" customHeight="1">
      <c r="A267" s="657"/>
      <c r="B267" s="31"/>
      <c r="C267" s="31"/>
      <c r="D267" s="180" t="s">
        <v>1070</v>
      </c>
      <c r="E267" s="162">
        <v>227</v>
      </c>
      <c r="F267" s="692"/>
      <c r="G267" s="693">
        <f t="shared" si="58"/>
        <v>0</v>
      </c>
      <c r="H267" s="616"/>
      <c r="I267" s="616"/>
      <c r="J267" s="616"/>
      <c r="K267" s="616"/>
      <c r="L267" s="616"/>
      <c r="M267" s="696">
        <f>G253+M266</f>
        <v>0</v>
      </c>
      <c r="N267" s="657"/>
    </row>
    <row r="268" spans="1:14" ht="15" customHeight="1">
      <c r="A268" s="657"/>
      <c r="B268" s="31"/>
      <c r="C268" s="31"/>
      <c r="D268" s="180" t="s">
        <v>1065</v>
      </c>
      <c r="E268" s="615">
        <v>165</v>
      </c>
      <c r="F268" s="692"/>
      <c r="G268" s="693">
        <f t="shared" si="58"/>
        <v>0</v>
      </c>
      <c r="H268" s="616"/>
      <c r="I268" s="616"/>
      <c r="J268" s="616"/>
      <c r="K268" s="616"/>
      <c r="L268" s="616"/>
      <c r="M268" s="657"/>
      <c r="N268" s="657"/>
    </row>
    <row r="269" spans="1:14" ht="15" customHeight="1">
      <c r="A269" s="657"/>
      <c r="B269" s="31"/>
      <c r="C269" s="31"/>
      <c r="D269" s="697" t="s">
        <v>1066</v>
      </c>
      <c r="E269" s="615">
        <v>165</v>
      </c>
      <c r="F269" s="692"/>
      <c r="G269" s="693">
        <f t="shared" si="58"/>
        <v>0</v>
      </c>
      <c r="H269" s="616"/>
      <c r="I269" s="616"/>
      <c r="J269" s="616"/>
      <c r="K269" s="616"/>
      <c r="L269" s="616"/>
      <c r="M269" s="657"/>
      <c r="N269" s="657"/>
    </row>
    <row r="270" spans="1:14" ht="15" customHeight="1">
      <c r="A270" s="657"/>
      <c r="B270" s="31"/>
      <c r="C270" s="31"/>
      <c r="D270" s="180" t="s">
        <v>1067</v>
      </c>
      <c r="E270" s="615">
        <v>416</v>
      </c>
      <c r="F270" s="698"/>
      <c r="G270" s="693">
        <f t="shared" si="58"/>
        <v>0</v>
      </c>
      <c r="H270" s="616"/>
      <c r="I270" s="616"/>
      <c r="J270" s="616"/>
      <c r="K270" s="616"/>
      <c r="L270" s="616"/>
      <c r="M270" s="657"/>
      <c r="N270" s="657"/>
    </row>
    <row r="271" spans="1:14" ht="15" customHeight="1">
      <c r="A271" s="657"/>
      <c r="B271" s="31"/>
      <c r="C271" s="31"/>
      <c r="D271" s="180" t="s">
        <v>907</v>
      </c>
      <c r="E271" s="615">
        <v>46</v>
      </c>
      <c r="F271" s="692"/>
      <c r="G271" s="693">
        <f t="shared" si="58"/>
        <v>0</v>
      </c>
      <c r="H271" s="31"/>
      <c r="I271" s="31"/>
      <c r="J271" s="31"/>
      <c r="K271" s="31"/>
      <c r="L271" s="31"/>
      <c r="M271" s="657"/>
      <c r="N271" s="657"/>
    </row>
    <row r="272" spans="1:14" ht="15" customHeight="1">
      <c r="A272" s="657"/>
      <c r="B272" s="31"/>
      <c r="C272" s="31"/>
      <c r="D272" s="180" t="s">
        <v>27</v>
      </c>
      <c r="E272" s="162">
        <v>22</v>
      </c>
      <c r="F272" s="692"/>
      <c r="G272" s="693"/>
      <c r="H272" s="657"/>
      <c r="I272" s="657"/>
      <c r="J272" s="657"/>
      <c r="K272" s="657"/>
      <c r="L272" s="657"/>
      <c r="M272" s="657"/>
      <c r="N272" s="657"/>
    </row>
    <row r="273" spans="1:14" ht="15" customHeight="1">
      <c r="A273" s="657"/>
      <c r="B273" s="31"/>
      <c r="C273" s="31"/>
      <c r="D273" s="180" t="s">
        <v>1062</v>
      </c>
      <c r="E273" s="162">
        <v>34</v>
      </c>
      <c r="F273" s="692"/>
      <c r="G273" s="693"/>
      <c r="H273" s="657"/>
      <c r="I273" s="657"/>
      <c r="J273" s="657"/>
      <c r="K273" s="657"/>
      <c r="L273" s="657"/>
      <c r="M273" s="657"/>
      <c r="N273" s="657"/>
    </row>
    <row r="274" spans="1:14" ht="15" customHeight="1">
      <c r="A274" s="657"/>
      <c r="B274" s="31"/>
      <c r="C274" s="31"/>
      <c r="D274" s="180" t="s">
        <v>24</v>
      </c>
      <c r="E274" s="162">
        <v>74</v>
      </c>
      <c r="F274" s="692"/>
      <c r="G274" s="693"/>
      <c r="H274" s="657"/>
      <c r="I274" s="657"/>
      <c r="J274" s="657"/>
      <c r="K274" s="657"/>
      <c r="L274" s="657"/>
      <c r="M274" s="657"/>
      <c r="N274" s="657"/>
    </row>
    <row r="275" spans="1:14" ht="15" customHeight="1">
      <c r="A275" s="657"/>
      <c r="B275" s="31"/>
      <c r="C275" s="31"/>
      <c r="D275" s="699" t="s">
        <v>185</v>
      </c>
      <c r="E275" s="162">
        <v>490</v>
      </c>
      <c r="F275" s="692"/>
      <c r="G275" s="693"/>
      <c r="H275" s="657"/>
      <c r="I275" s="657"/>
      <c r="J275" s="657"/>
      <c r="K275" s="657"/>
      <c r="L275" s="657"/>
      <c r="M275" s="657"/>
      <c r="N275" s="657"/>
    </row>
    <row r="276" spans="1:14" ht="15" customHeight="1">
      <c r="A276" s="657"/>
      <c r="B276" s="657"/>
      <c r="C276" s="657"/>
      <c r="D276" s="180" t="s">
        <v>184</v>
      </c>
      <c r="E276" s="162">
        <v>336</v>
      </c>
      <c r="F276" s="692"/>
      <c r="G276" s="693"/>
      <c r="H276" s="657"/>
      <c r="I276" s="657"/>
      <c r="J276" s="657"/>
      <c r="K276" s="657"/>
      <c r="L276" s="657"/>
      <c r="M276" s="657"/>
      <c r="N276" s="657"/>
    </row>
    <row r="277" spans="1:14" ht="15" customHeight="1">
      <c r="A277" s="657"/>
      <c r="B277" s="657"/>
      <c r="C277" s="657"/>
      <c r="D277" s="697" t="s">
        <v>968</v>
      </c>
      <c r="E277" s="162">
        <v>360</v>
      </c>
      <c r="F277" s="692"/>
      <c r="G277" s="693"/>
      <c r="H277" s="657"/>
      <c r="I277" s="657"/>
      <c r="J277" s="657"/>
      <c r="K277" s="657"/>
      <c r="L277" s="657"/>
      <c r="M277" s="657"/>
      <c r="N277" s="657"/>
    </row>
    <row r="278" spans="1:14" ht="15" customHeight="1">
      <c r="A278" s="657"/>
      <c r="B278" s="657"/>
      <c r="C278" s="657"/>
      <c r="D278" s="700" t="s">
        <v>843</v>
      </c>
      <c r="E278" s="162"/>
      <c r="F278" s="692">
        <f>SUM(F267:F271)</f>
        <v>0</v>
      </c>
      <c r="G278" s="693">
        <f>SUM(G267:G271)</f>
        <v>0</v>
      </c>
      <c r="H278" s="657"/>
      <c r="I278" s="657"/>
      <c r="J278" s="657"/>
      <c r="K278" s="657"/>
      <c r="L278" s="657"/>
      <c r="M278" s="657"/>
      <c r="N278" s="657"/>
    </row>
    <row r="279" spans="1:14" ht="15" customHeight="1">
      <c r="A279" s="657"/>
      <c r="B279" s="657"/>
      <c r="C279" s="657"/>
      <c r="D279" s="694" t="s">
        <v>969</v>
      </c>
      <c r="E279" s="124"/>
      <c r="F279" s="488">
        <f>F266+F278</f>
        <v>0</v>
      </c>
      <c r="G279" s="695">
        <f>G266+G278</f>
        <v>0</v>
      </c>
      <c r="H279" s="657"/>
      <c r="I279" s="657"/>
      <c r="J279" s="657"/>
      <c r="K279" s="657"/>
      <c r="L279" s="657"/>
      <c r="M279" s="657"/>
      <c r="N279" s="657"/>
    </row>
    <row r="280" spans="1:14" ht="15" customHeight="1">
      <c r="A280" s="657"/>
      <c r="B280" s="657"/>
      <c r="C280" s="657"/>
      <c r="D280" s="657"/>
      <c r="E280" s="657"/>
      <c r="F280" s="657"/>
      <c r="G280" s="657"/>
      <c r="H280" s="657"/>
      <c r="I280" s="657"/>
      <c r="J280" s="657"/>
      <c r="K280" s="657"/>
      <c r="L280" s="657"/>
      <c r="M280" s="657"/>
      <c r="N280" s="657"/>
    </row>
    <row r="281" spans="1:14" ht="15" customHeight="1">
      <c r="A281" s="657"/>
      <c r="B281" s="657"/>
      <c r="C281" s="657"/>
      <c r="D281" s="657"/>
      <c r="E281" s="657"/>
      <c r="F281" s="657"/>
      <c r="G281" s="657"/>
      <c r="H281" s="657"/>
      <c r="I281" s="657"/>
      <c r="J281" s="657"/>
      <c r="K281" s="657"/>
      <c r="L281" s="657"/>
      <c r="M281" s="657"/>
      <c r="N281" s="657"/>
    </row>
    <row r="282" spans="1:14" ht="15" customHeight="1">
      <c r="A282" s="657"/>
      <c r="B282" s="657"/>
      <c r="C282" s="657"/>
      <c r="D282" s="657"/>
      <c r="E282" s="657"/>
      <c r="F282" s="657"/>
      <c r="G282" s="657"/>
      <c r="H282" s="657"/>
      <c r="I282" s="657"/>
      <c r="J282" s="657"/>
      <c r="K282" s="657"/>
      <c r="L282" s="657"/>
      <c r="M282" s="657"/>
      <c r="N282" s="657"/>
    </row>
    <row r="283" spans="1:14" ht="15" customHeight="1">
      <c r="A283" s="657"/>
      <c r="B283" s="657"/>
      <c r="C283" s="657"/>
      <c r="D283" s="657"/>
      <c r="E283" s="657"/>
      <c r="F283" s="657"/>
      <c r="G283" s="657"/>
      <c r="H283" s="657"/>
      <c r="I283" s="657"/>
      <c r="J283" s="657"/>
      <c r="K283" s="657"/>
      <c r="L283" s="657"/>
      <c r="M283" s="657"/>
      <c r="N283" s="657"/>
    </row>
    <row r="284" spans="1:14" ht="15" customHeight="1">
      <c r="A284" s="657"/>
      <c r="B284" s="657"/>
      <c r="C284" s="657"/>
      <c r="D284" s="657"/>
      <c r="E284" s="657"/>
      <c r="F284" s="657"/>
      <c r="G284" s="657"/>
      <c r="H284" s="657"/>
      <c r="I284" s="657"/>
      <c r="J284" s="657"/>
      <c r="K284" s="657"/>
      <c r="L284" s="657"/>
      <c r="M284" s="657"/>
      <c r="N284" s="657"/>
    </row>
    <row r="285" spans="1:14" ht="15" customHeight="1">
      <c r="A285" s="657"/>
      <c r="B285" s="657"/>
      <c r="C285" s="657"/>
      <c r="D285" s="657"/>
      <c r="E285" s="657"/>
      <c r="F285" s="657"/>
      <c r="G285" s="657"/>
      <c r="H285" s="657"/>
      <c r="I285" s="657"/>
      <c r="J285" s="657"/>
      <c r="K285" s="657"/>
      <c r="L285" s="657"/>
      <c r="M285" s="657"/>
      <c r="N285" s="657"/>
    </row>
    <row r="286" spans="1:14" ht="15" customHeight="1">
      <c r="A286" s="657"/>
      <c r="B286" s="657"/>
      <c r="C286" s="657"/>
      <c r="D286" s="657"/>
      <c r="E286" s="657"/>
      <c r="F286" s="657"/>
      <c r="G286" s="657"/>
      <c r="H286" s="657"/>
      <c r="I286" s="657"/>
      <c r="J286" s="657"/>
      <c r="K286" s="657"/>
      <c r="L286" s="657"/>
      <c r="M286" s="657"/>
      <c r="N286" s="657"/>
    </row>
    <row r="287" spans="1:14" ht="15" customHeight="1">
      <c r="A287" s="657"/>
      <c r="B287" s="657"/>
      <c r="C287" s="657"/>
      <c r="D287" s="657"/>
      <c r="E287" s="657"/>
      <c r="F287" s="657"/>
      <c r="G287" s="657"/>
      <c r="H287" s="657"/>
      <c r="I287" s="657"/>
      <c r="J287" s="657"/>
      <c r="K287" s="657"/>
      <c r="L287" s="657"/>
      <c r="M287" s="657"/>
      <c r="N287" s="657"/>
    </row>
    <row r="288" spans="1:14" ht="15" customHeight="1">
      <c r="A288" s="657"/>
      <c r="B288" s="657"/>
      <c r="C288" s="657"/>
      <c r="D288" s="657"/>
      <c r="E288" s="657"/>
      <c r="F288" s="657"/>
      <c r="G288" s="657"/>
      <c r="H288" s="657"/>
      <c r="I288" s="657"/>
      <c r="J288" s="657"/>
      <c r="K288" s="657"/>
      <c r="L288" s="657"/>
      <c r="M288" s="657"/>
      <c r="N288" s="657"/>
    </row>
    <row r="289" spans="1:14" s="64" customFormat="1" ht="15" customHeight="1">
      <c r="A289" s="863" t="s">
        <v>240</v>
      </c>
      <c r="B289" s="863"/>
      <c r="C289" s="863" t="s">
        <v>765</v>
      </c>
      <c r="D289" s="863"/>
      <c r="E289" s="863" t="s">
        <v>764</v>
      </c>
      <c r="F289" s="863"/>
      <c r="G289" s="701" t="s">
        <v>66</v>
      </c>
      <c r="H289" s="863" t="s">
        <v>411</v>
      </c>
      <c r="I289" s="863"/>
      <c r="J289" s="863"/>
      <c r="K289" s="863" t="s">
        <v>68</v>
      </c>
      <c r="L289" s="863"/>
      <c r="M289" s="863"/>
      <c r="N289" s="657"/>
    </row>
    <row r="290" spans="1:14">
      <c r="A290" s="120"/>
      <c r="B290" s="120"/>
      <c r="C290" s="120"/>
      <c r="D290" s="120"/>
      <c r="E290" s="120"/>
      <c r="F290" s="87"/>
      <c r="G290" s="79" t="s">
        <v>46</v>
      </c>
      <c r="H290" s="79"/>
      <c r="I290" s="81"/>
      <c r="J290" s="81">
        <v>311</v>
      </c>
      <c r="K290" s="81">
        <f t="shared" ref="K290:K291" si="59">I290*J290</f>
        <v>0</v>
      </c>
      <c r="L290" s="79"/>
      <c r="M290" s="79"/>
    </row>
    <row r="291" spans="1:14">
      <c r="A291" s="120"/>
      <c r="B291" s="120"/>
      <c r="C291" s="120"/>
      <c r="D291" s="120"/>
      <c r="E291" s="120"/>
      <c r="F291" s="87"/>
      <c r="G291" s="79" t="s">
        <v>47</v>
      </c>
      <c r="H291" s="79"/>
      <c r="I291" s="81"/>
      <c r="J291" s="81">
        <v>390</v>
      </c>
      <c r="K291" s="81">
        <f t="shared" si="59"/>
        <v>0</v>
      </c>
      <c r="L291" s="79"/>
      <c r="M291" s="79"/>
    </row>
    <row r="292" spans="1:14">
      <c r="A292" s="120"/>
      <c r="B292" s="120"/>
      <c r="C292" s="120"/>
      <c r="D292" s="120"/>
      <c r="E292" s="194" t="s">
        <v>9</v>
      </c>
      <c r="F292" s="108">
        <f>SUM(F283:F291)</f>
        <v>0</v>
      </c>
      <c r="G292" s="194"/>
      <c r="H292" s="194"/>
      <c r="I292" s="81"/>
      <c r="J292" s="81"/>
      <c r="K292" s="103">
        <f>SUM(K284:K291)</f>
        <v>0</v>
      </c>
      <c r="L292" s="103" t="e">
        <f>K292/F292</f>
        <v>#DIV/0!</v>
      </c>
      <c r="M292" s="79"/>
    </row>
    <row r="293" spans="1:14" s="33" customFormat="1">
      <c r="A293" s="120"/>
      <c r="B293" s="120"/>
      <c r="C293" s="120"/>
      <c r="D293" s="120"/>
      <c r="E293" s="120"/>
      <c r="F293" s="198"/>
      <c r="G293" s="79" t="s">
        <v>55</v>
      </c>
      <c r="H293" s="79"/>
      <c r="I293" s="81"/>
      <c r="J293" s="81">
        <v>195</v>
      </c>
      <c r="K293" s="81">
        <f t="shared" ref="K293" si="60">I293*J293</f>
        <v>0</v>
      </c>
      <c r="L293" s="112"/>
      <c r="M293" s="112"/>
    </row>
    <row r="294" spans="1:14">
      <c r="A294" s="120"/>
      <c r="B294" s="120"/>
      <c r="C294" s="120"/>
      <c r="D294" s="120"/>
      <c r="E294" s="120"/>
      <c r="F294" s="87"/>
      <c r="G294" s="79" t="s">
        <v>43</v>
      </c>
      <c r="H294" s="79"/>
      <c r="I294" s="81"/>
      <c r="J294" s="81">
        <v>463</v>
      </c>
      <c r="K294" s="81">
        <f t="shared" ref="K294:K302" si="61">I294*J294</f>
        <v>0</v>
      </c>
      <c r="L294" s="79"/>
      <c r="M294" s="79"/>
    </row>
    <row r="295" spans="1:14">
      <c r="A295" s="120"/>
      <c r="B295" s="120"/>
      <c r="C295" s="120"/>
      <c r="D295" s="120"/>
      <c r="E295" s="120"/>
      <c r="F295" s="87"/>
      <c r="G295" s="79" t="s">
        <v>41</v>
      </c>
      <c r="H295" s="79"/>
      <c r="I295" s="81"/>
      <c r="J295" s="81">
        <v>951</v>
      </c>
      <c r="K295" s="81">
        <f t="shared" si="61"/>
        <v>0</v>
      </c>
      <c r="L295" s="79"/>
      <c r="M295" s="79"/>
    </row>
    <row r="296" spans="1:14">
      <c r="A296" s="120"/>
      <c r="B296" s="120"/>
      <c r="C296" s="120"/>
      <c r="D296" s="120"/>
      <c r="E296" s="120"/>
      <c r="F296" s="87"/>
      <c r="G296" s="79" t="s">
        <v>51</v>
      </c>
      <c r="H296" s="79"/>
      <c r="I296" s="81"/>
      <c r="J296" s="81">
        <v>600</v>
      </c>
      <c r="K296" s="81">
        <f t="shared" si="61"/>
        <v>0</v>
      </c>
      <c r="L296" s="79"/>
      <c r="M296" s="79"/>
    </row>
    <row r="297" spans="1:14">
      <c r="A297" s="120"/>
      <c r="B297" s="120"/>
      <c r="C297" s="120"/>
      <c r="D297" s="120"/>
      <c r="E297" s="120"/>
      <c r="F297" s="87"/>
      <c r="G297" s="79" t="s">
        <v>29</v>
      </c>
      <c r="H297" s="79"/>
      <c r="I297" s="81"/>
      <c r="J297" s="81">
        <v>114</v>
      </c>
      <c r="K297" s="81">
        <f t="shared" si="61"/>
        <v>0</v>
      </c>
      <c r="L297" s="79"/>
      <c r="M297" s="79"/>
    </row>
    <row r="298" spans="1:14">
      <c r="A298" s="120"/>
      <c r="B298" s="120"/>
      <c r="C298" s="120"/>
      <c r="D298" s="120"/>
      <c r="E298" s="120"/>
      <c r="F298" s="87"/>
      <c r="G298" s="79" t="s">
        <v>44</v>
      </c>
      <c r="H298" s="79"/>
      <c r="I298" s="81"/>
      <c r="J298" s="81">
        <v>400</v>
      </c>
      <c r="K298" s="81">
        <f t="shared" si="61"/>
        <v>0</v>
      </c>
      <c r="L298" s="79"/>
      <c r="M298" s="79"/>
    </row>
    <row r="299" spans="1:14">
      <c r="A299" s="120"/>
      <c r="B299" s="120"/>
      <c r="C299" s="120"/>
      <c r="D299" s="120"/>
      <c r="E299" s="120"/>
      <c r="F299" s="87"/>
      <c r="G299" s="79" t="s">
        <v>45</v>
      </c>
      <c r="H299" s="79"/>
      <c r="I299" s="81"/>
      <c r="J299" s="81">
        <v>32</v>
      </c>
      <c r="K299" s="81">
        <f t="shared" si="61"/>
        <v>0</v>
      </c>
      <c r="L299" s="79"/>
      <c r="M299" s="79"/>
    </row>
    <row r="300" spans="1:14">
      <c r="A300" s="120"/>
      <c r="B300" s="120"/>
      <c r="C300" s="120"/>
      <c r="D300" s="120"/>
      <c r="E300" s="120"/>
      <c r="F300" s="87"/>
      <c r="G300" s="79" t="s">
        <v>28</v>
      </c>
      <c r="H300" s="79"/>
      <c r="I300" s="81"/>
      <c r="J300" s="81">
        <v>17</v>
      </c>
      <c r="K300" s="81">
        <f t="shared" si="61"/>
        <v>0</v>
      </c>
      <c r="L300" s="79"/>
      <c r="M300" s="79"/>
    </row>
    <row r="301" spans="1:14">
      <c r="A301" s="120"/>
      <c r="B301" s="120"/>
      <c r="C301" s="120"/>
      <c r="D301" s="120"/>
      <c r="E301" s="120"/>
      <c r="F301" s="87"/>
      <c r="G301" s="79" t="s">
        <v>46</v>
      </c>
      <c r="H301" s="79"/>
      <c r="I301" s="81"/>
      <c r="J301" s="81">
        <v>311</v>
      </c>
      <c r="K301" s="81">
        <f t="shared" si="61"/>
        <v>0</v>
      </c>
      <c r="L301" s="79"/>
      <c r="M301" s="79"/>
    </row>
    <row r="302" spans="1:14">
      <c r="A302" s="120"/>
      <c r="B302" s="120"/>
      <c r="C302" s="120"/>
      <c r="D302" s="120"/>
      <c r="E302" s="120"/>
      <c r="F302" s="87"/>
      <c r="G302" s="79" t="s">
        <v>47</v>
      </c>
      <c r="H302" s="79"/>
      <c r="I302" s="81"/>
      <c r="J302" s="81">
        <v>390</v>
      </c>
      <c r="K302" s="81">
        <f t="shared" si="61"/>
        <v>0</v>
      </c>
      <c r="L302" s="79"/>
      <c r="M302" s="79"/>
    </row>
    <row r="303" spans="1:14">
      <c r="A303" s="120"/>
      <c r="B303" s="120"/>
      <c r="C303" s="120"/>
      <c r="D303" s="120"/>
      <c r="E303" s="194" t="s">
        <v>9</v>
      </c>
      <c r="F303" s="108">
        <f>SUM(F293:F302)</f>
        <v>0</v>
      </c>
      <c r="G303" s="194"/>
      <c r="H303" s="194"/>
      <c r="I303" s="81"/>
      <c r="J303" s="81"/>
      <c r="K303" s="103">
        <f>SUM(K294:K302)</f>
        <v>0</v>
      </c>
      <c r="L303" s="103" t="e">
        <f>K303/F303</f>
        <v>#DIV/0!</v>
      </c>
      <c r="M303" s="79"/>
    </row>
    <row r="304" spans="1:14" s="33" customFormat="1">
      <c r="A304" s="120"/>
      <c r="B304" s="120"/>
      <c r="C304" s="120"/>
      <c r="D304" s="120"/>
      <c r="E304" s="120"/>
      <c r="F304" s="198"/>
      <c r="G304" s="79" t="s">
        <v>55</v>
      </c>
      <c r="H304" s="79"/>
      <c r="I304" s="81"/>
      <c r="J304" s="81">
        <v>195</v>
      </c>
      <c r="K304" s="81">
        <f t="shared" ref="K304:K313" si="62">I304*J304</f>
        <v>0</v>
      </c>
      <c r="L304" s="112"/>
      <c r="M304" s="112"/>
    </row>
    <row r="305" spans="1:13">
      <c r="A305" s="120"/>
      <c r="B305" s="120"/>
      <c r="C305" s="120"/>
      <c r="D305" s="120"/>
      <c r="E305" s="120"/>
      <c r="F305" s="87"/>
      <c r="G305" s="79" t="s">
        <v>43</v>
      </c>
      <c r="H305" s="79"/>
      <c r="I305" s="81"/>
      <c r="J305" s="81">
        <v>463</v>
      </c>
      <c r="K305" s="81">
        <f t="shared" si="62"/>
        <v>0</v>
      </c>
      <c r="L305" s="79"/>
      <c r="M305" s="79"/>
    </row>
    <row r="306" spans="1:13">
      <c r="A306" s="120"/>
      <c r="B306" s="120"/>
      <c r="C306" s="120"/>
      <c r="D306" s="120"/>
      <c r="E306" s="120"/>
      <c r="F306" s="87"/>
      <c r="G306" s="79" t="s">
        <v>41</v>
      </c>
      <c r="H306" s="79"/>
      <c r="I306" s="81"/>
      <c r="J306" s="81">
        <v>951</v>
      </c>
      <c r="K306" s="81">
        <f t="shared" si="62"/>
        <v>0</v>
      </c>
      <c r="L306" s="79"/>
      <c r="M306" s="79"/>
    </row>
    <row r="307" spans="1:13">
      <c r="A307" s="120"/>
      <c r="B307" s="120"/>
      <c r="C307" s="120"/>
      <c r="D307" s="120"/>
      <c r="E307" s="120"/>
      <c r="F307" s="87"/>
      <c r="G307" s="79" t="s">
        <v>51</v>
      </c>
      <c r="H307" s="79"/>
      <c r="I307" s="81"/>
      <c r="J307" s="81">
        <v>600</v>
      </c>
      <c r="K307" s="81">
        <f t="shared" si="62"/>
        <v>0</v>
      </c>
      <c r="L307" s="79"/>
      <c r="M307" s="79"/>
    </row>
    <row r="308" spans="1:13">
      <c r="A308" s="120"/>
      <c r="B308" s="120"/>
      <c r="C308" s="120"/>
      <c r="D308" s="120"/>
      <c r="E308" s="120"/>
      <c r="F308" s="87"/>
      <c r="G308" s="79" t="s">
        <v>29</v>
      </c>
      <c r="H308" s="79"/>
      <c r="I308" s="81"/>
      <c r="J308" s="81">
        <v>114</v>
      </c>
      <c r="K308" s="81">
        <f t="shared" si="62"/>
        <v>0</v>
      </c>
      <c r="L308" s="79"/>
      <c r="M308" s="79"/>
    </row>
    <row r="309" spans="1:13">
      <c r="A309" s="120"/>
      <c r="B309" s="120"/>
      <c r="C309" s="120"/>
      <c r="D309" s="120"/>
      <c r="E309" s="120"/>
      <c r="F309" s="87"/>
      <c r="G309" s="79" t="s">
        <v>44</v>
      </c>
      <c r="H309" s="79"/>
      <c r="I309" s="81"/>
      <c r="J309" s="81">
        <v>400</v>
      </c>
      <c r="K309" s="81">
        <f t="shared" si="62"/>
        <v>0</v>
      </c>
      <c r="L309" s="79"/>
      <c r="M309" s="79"/>
    </row>
    <row r="310" spans="1:13">
      <c r="A310" s="120"/>
      <c r="B310" s="120"/>
      <c r="C310" s="120"/>
      <c r="D310" s="120"/>
      <c r="E310" s="120"/>
      <c r="F310" s="87"/>
      <c r="G310" s="79" t="s">
        <v>45</v>
      </c>
      <c r="H310" s="79"/>
      <c r="I310" s="81"/>
      <c r="J310" s="81">
        <v>32</v>
      </c>
      <c r="K310" s="81">
        <f t="shared" si="62"/>
        <v>0</v>
      </c>
      <c r="L310" s="79"/>
      <c r="M310" s="79"/>
    </row>
    <row r="311" spans="1:13">
      <c r="A311" s="120"/>
      <c r="B311" s="120"/>
      <c r="C311" s="120"/>
      <c r="D311" s="120"/>
      <c r="E311" s="120"/>
      <c r="F311" s="87"/>
      <c r="G311" s="79" t="s">
        <v>28</v>
      </c>
      <c r="H311" s="79"/>
      <c r="I311" s="81"/>
      <c r="J311" s="81">
        <v>17</v>
      </c>
      <c r="K311" s="81">
        <f t="shared" si="62"/>
        <v>0</v>
      </c>
      <c r="L311" s="79"/>
      <c r="M311" s="79"/>
    </row>
    <row r="312" spans="1:13">
      <c r="A312" s="120"/>
      <c r="B312" s="120"/>
      <c r="C312" s="120"/>
      <c r="D312" s="120"/>
      <c r="E312" s="120"/>
      <c r="F312" s="87"/>
      <c r="G312" s="79" t="s">
        <v>46</v>
      </c>
      <c r="H312" s="79"/>
      <c r="I312" s="81"/>
      <c r="J312" s="81">
        <v>311</v>
      </c>
      <c r="K312" s="81">
        <f t="shared" si="62"/>
        <v>0</v>
      </c>
      <c r="L312" s="79"/>
      <c r="M312" s="79"/>
    </row>
    <row r="313" spans="1:13">
      <c r="A313" s="120"/>
      <c r="B313" s="120"/>
      <c r="C313" s="120"/>
      <c r="D313" s="120"/>
      <c r="E313" s="120"/>
      <c r="F313" s="87"/>
      <c r="G313" s="79" t="s">
        <v>47</v>
      </c>
      <c r="H313" s="79"/>
      <c r="I313" s="81"/>
      <c r="J313" s="81">
        <v>390</v>
      </c>
      <c r="K313" s="81">
        <f t="shared" si="62"/>
        <v>0</v>
      </c>
      <c r="L313" s="79"/>
      <c r="M313" s="79"/>
    </row>
    <row r="314" spans="1:13">
      <c r="A314" s="120"/>
      <c r="B314" s="120"/>
      <c r="C314" s="120"/>
      <c r="D314" s="120"/>
      <c r="E314" s="194" t="s">
        <v>9</v>
      </c>
      <c r="F314" s="108">
        <f>SUM(F304:F313)</f>
        <v>0</v>
      </c>
      <c r="G314" s="194"/>
      <c r="H314" s="194"/>
      <c r="I314" s="81"/>
      <c r="J314" s="81"/>
      <c r="K314" s="103">
        <f>SUM(K305:K313)</f>
        <v>0</v>
      </c>
      <c r="L314" s="103" t="e">
        <f>K314/F314</f>
        <v>#DIV/0!</v>
      </c>
      <c r="M314" s="79"/>
    </row>
    <row r="315" spans="1:13">
      <c r="A315" s="107"/>
      <c r="B315" s="107"/>
      <c r="C315" s="107"/>
      <c r="D315" s="133" t="s">
        <v>30</v>
      </c>
      <c r="E315" s="133"/>
      <c r="F315" s="122">
        <f>F272+F282+F292+F303+F314</f>
        <v>0</v>
      </c>
      <c r="G315" s="186"/>
      <c r="H315" s="186"/>
      <c r="I315" s="186"/>
      <c r="J315" s="186"/>
      <c r="K315" s="122">
        <f>K272+K282+K292+K303+K314</f>
        <v>0</v>
      </c>
      <c r="L315" s="103" t="e">
        <f>K315/F315</f>
        <v>#DIV/0!</v>
      </c>
      <c r="M315" s="107"/>
    </row>
    <row r="316" spans="1:13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</row>
    <row r="317" spans="1:13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</row>
    <row r="318" spans="1:13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</row>
    <row r="319" spans="1:13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</row>
    <row r="320" spans="1:13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</row>
    <row r="321" spans="1:13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</row>
    <row r="322" spans="1:13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</row>
    <row r="323" spans="1:13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</row>
    <row r="324" spans="1:13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</row>
    <row r="325" spans="1:13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</row>
    <row r="326" spans="1:13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</row>
    <row r="327" spans="1:13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</row>
    <row r="328" spans="1:13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</row>
    <row r="329" spans="1:13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</row>
    <row r="330" spans="1:13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</row>
    <row r="331" spans="1:13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</row>
    <row r="332" spans="1:13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</row>
    <row r="333" spans="1:13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</row>
    <row r="334" spans="1:13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</row>
    <row r="335" spans="1:13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</row>
    <row r="336" spans="1:13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</row>
    <row r="337" spans="1:13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</row>
    <row r="338" spans="1:13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</row>
    <row r="339" spans="1:13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</row>
    <row r="340" spans="1:13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</row>
    <row r="341" spans="1:13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</row>
    <row r="342" spans="1:13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</row>
    <row r="343" spans="1:13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</row>
    <row r="344" spans="1:13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</row>
    <row r="345" spans="1:13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</row>
    <row r="346" spans="1:13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</row>
    <row r="347" spans="1:13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</row>
    <row r="348" spans="1:13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</row>
    <row r="349" spans="1:13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</row>
    <row r="350" spans="1:13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</row>
    <row r="351" spans="1:13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</row>
    <row r="352" spans="1:13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</row>
    <row r="353" spans="1:13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</row>
    <row r="354" spans="1:13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</row>
    <row r="355" spans="1:13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</row>
    <row r="356" spans="1:13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</row>
    <row r="357" spans="1:13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</row>
    <row r="358" spans="1:13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</row>
    <row r="359" spans="1:13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</row>
    <row r="360" spans="1:13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</row>
    <row r="361" spans="1:13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</row>
    <row r="362" spans="1:13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</row>
    <row r="363" spans="1:13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</row>
    <row r="364" spans="1:13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</row>
    <row r="365" spans="1:13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</row>
    <row r="366" spans="1:13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</row>
    <row r="367" spans="1:13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</row>
    <row r="368" spans="1:13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</row>
    <row r="369" spans="1:13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</row>
    <row r="370" spans="1:13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</row>
    <row r="371" spans="1:13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</row>
    <row r="372" spans="1:13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</row>
    <row r="373" spans="1:13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</row>
    <row r="374" spans="1:13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</row>
    <row r="375" spans="1:13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</row>
    <row r="376" spans="1:13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</row>
    <row r="377" spans="1:13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</row>
    <row r="378" spans="1:13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</row>
    <row r="379" spans="1:13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</row>
    <row r="380" spans="1:13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</row>
    <row r="381" spans="1:13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</row>
    <row r="382" spans="1:13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</row>
    <row r="383" spans="1:13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</row>
    <row r="384" spans="1:13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</row>
    <row r="385" spans="1:13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</row>
    <row r="386" spans="1:13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</row>
    <row r="387" spans="1:13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</row>
    <row r="388" spans="1:13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</row>
    <row r="389" spans="1:13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</row>
    <row r="390" spans="1:13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</row>
    <row r="391" spans="1:13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</row>
    <row r="392" spans="1:13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</row>
    <row r="393" spans="1:13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</row>
    <row r="394" spans="1:13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</row>
    <row r="395" spans="1:13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</row>
    <row r="396" spans="1:13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</row>
    <row r="397" spans="1:13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</row>
    <row r="398" spans="1:13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</row>
    <row r="399" spans="1:13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</row>
    <row r="400" spans="1:13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</row>
    <row r="401" spans="1:13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</row>
    <row r="402" spans="1:13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</row>
    <row r="403" spans="1:13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</row>
    <row r="404" spans="1:13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</row>
    <row r="405" spans="1:13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</row>
    <row r="406" spans="1:13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</row>
    <row r="407" spans="1:13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</row>
    <row r="408" spans="1:13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</row>
    <row r="409" spans="1:13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</row>
    <row r="410" spans="1:13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</row>
    <row r="411" spans="1:13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</row>
    <row r="412" spans="1:13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</row>
    <row r="413" spans="1:13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</row>
    <row r="414" spans="1:13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</row>
    <row r="415" spans="1:13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</row>
    <row r="416" spans="1:13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</row>
    <row r="417" spans="1:13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</row>
    <row r="418" spans="1:13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</row>
    <row r="419" spans="1:13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</row>
    <row r="420" spans="1:13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</row>
    <row r="421" spans="1:13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</row>
    <row r="422" spans="1:13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</row>
    <row r="423" spans="1:13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</row>
    <row r="424" spans="1:13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</row>
    <row r="425" spans="1:13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</row>
    <row r="426" spans="1:13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</row>
    <row r="427" spans="1:13">
      <c r="A427" s="107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</row>
    <row r="428" spans="1:13">
      <c r="A428" s="107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</row>
    <row r="429" spans="1:13">
      <c r="A429" s="107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</row>
    <row r="430" spans="1:13">
      <c r="A430" s="107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</row>
    <row r="431" spans="1:13">
      <c r="A431" s="107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</row>
    <row r="432" spans="1:13">
      <c r="A432" s="107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</row>
    <row r="433" spans="1:13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</row>
    <row r="434" spans="1:13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</row>
    <row r="435" spans="1:13">
      <c r="A435" s="107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</row>
    <row r="436" spans="1:13">
      <c r="A436" s="107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</row>
    <row r="437" spans="1:13">
      <c r="A437" s="107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</row>
  </sheetData>
  <mergeCells count="29">
    <mergeCell ref="K289:M289"/>
    <mergeCell ref="I264:J264"/>
    <mergeCell ref="I265:J265"/>
    <mergeCell ref="I266:J266"/>
    <mergeCell ref="A289:B289"/>
    <mergeCell ref="C289:D289"/>
    <mergeCell ref="E289:F289"/>
    <mergeCell ref="H289:J289"/>
    <mergeCell ref="D260:E260"/>
    <mergeCell ref="I260:J260"/>
    <mergeCell ref="I261:J261"/>
    <mergeCell ref="I262:J262"/>
    <mergeCell ref="B263:C263"/>
    <mergeCell ref="I263:J263"/>
    <mergeCell ref="K75:M75"/>
    <mergeCell ref="K93:M93"/>
    <mergeCell ref="K99:M99"/>
    <mergeCell ref="K194:M194"/>
    <mergeCell ref="K216:M216"/>
    <mergeCell ref="A1:N1"/>
    <mergeCell ref="A2:N2"/>
    <mergeCell ref="A3:N3"/>
    <mergeCell ref="K4:M4"/>
    <mergeCell ref="K42:M42"/>
    <mergeCell ref="K229:M229"/>
    <mergeCell ref="D258:E258"/>
    <mergeCell ref="D259:E259"/>
    <mergeCell ref="I258:J258"/>
    <mergeCell ref="I259:J259"/>
  </mergeCells>
  <pageMargins left="0.45" right="0.45" top="0.5" bottom="0.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31</vt:lpstr>
      <vt:lpstr>30</vt:lpstr>
      <vt:lpstr>29</vt:lpstr>
      <vt:lpstr>28</vt:lpstr>
      <vt:lpstr>27</vt:lpstr>
      <vt:lpstr>26</vt:lpstr>
      <vt:lpstr>25</vt:lpstr>
      <vt:lpstr>24</vt:lpstr>
      <vt:lpstr>23</vt:lpstr>
      <vt:lpstr>22</vt:lpstr>
      <vt:lpstr>21</vt:lpstr>
      <vt:lpstr>20</vt:lpstr>
      <vt:lpstr>19</vt:lpstr>
      <vt:lpstr>18</vt:lpstr>
      <vt:lpstr>17</vt:lpstr>
      <vt:lpstr>16</vt:lpstr>
      <vt:lpstr>15</vt:lpstr>
      <vt:lpstr>Sum</vt:lpstr>
      <vt:lpstr>14</vt:lpstr>
      <vt:lpstr>13</vt:lpstr>
      <vt:lpstr>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02</vt:lpstr>
      <vt:lpstr>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2018-11-01T11:45:38Z</dcterms:modified>
</cp:coreProperties>
</file>