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harts/chart2.xml" ContentType="application/vnd.openxmlformats-officedocument.drawingml.chart+xml"/>
  <Override PartName="/xl/drawings/drawing4.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DieseArbeitsmappe" defaultThemeVersion="124226"/>
  <mc:AlternateContent xmlns:mc="http://schemas.openxmlformats.org/markup-compatibility/2006">
    <mc:Choice Requires="x15">
      <x15ac:absPath xmlns:x15ac="http://schemas.microsoft.com/office/spreadsheetml/2010/11/ac" url="Z:\SE\de.htwg.se.qwirkle\doc\"/>
    </mc:Choice>
  </mc:AlternateContent>
  <bookViews>
    <workbookView xWindow="0" yWindow="0" windowWidth="28800" windowHeight="12435" tabRatio="758" activeTab="7"/>
  </bookViews>
  <sheets>
    <sheet name="Info" sheetId="18" r:id="rId1"/>
    <sheet name="Kosten" sheetId="13" r:id="rId2"/>
    <sheet name="Dauer" sheetId="26" r:id="rId3"/>
    <sheet name="Ressourcen" sheetId="25" r:id="rId4"/>
    <sheet name="% Konfidenz" sheetId="21" r:id="rId5"/>
    <sheet name="Gesamtprojekt" sheetId="15" r:id="rId6"/>
    <sheet name="Hardware" sheetId="22" r:id="rId7"/>
    <sheet name="Software" sheetId="23" r:id="rId8"/>
    <sheet name="Standard-Software" sheetId="24" r:id="rId9"/>
    <sheet name="Risikoanalyse" sheetId="28" r:id="rId10"/>
    <sheet name="Risikospinne" sheetId="29" r:id="rId11"/>
  </sheets>
  <definedNames>
    <definedName name="ACwvu.Bearbeitung." localSheetId="9" hidden="1">Risikoanalyse!$C:$I</definedName>
    <definedName name="ACwvu.user." localSheetId="9" hidden="1">Risikoanalyse!$D:$F</definedName>
    <definedName name="AngebotsNr">#REF!</definedName>
    <definedName name="Angebotspreis">#REF!</definedName>
    <definedName name="Divisor">#REF!</definedName>
    <definedName name="_xlnm.Print_Area" localSheetId="5">Gesamtprojekt!$A$1:$H$59</definedName>
    <definedName name="_xlnm.Print_Area" localSheetId="6">Hardware!$A$1:$H$51</definedName>
    <definedName name="_xlnm.Print_Area" localSheetId="9">Risikoanalyse!$A$1:$I$107</definedName>
    <definedName name="_xlnm.Print_Area" localSheetId="10">Risikospinne!$A$1:$J$37</definedName>
    <definedName name="_xlnm.Print_Area" localSheetId="7">Software!$A$1:$H$53</definedName>
    <definedName name="_xlnm.Print_Area" localSheetId="8">'Standard-Software'!$A$1:$H$44</definedName>
    <definedName name="_xlnm.Print_Titles" localSheetId="5">Gesamtprojekt!$1:$1</definedName>
    <definedName name="_xlnm.Print_Titles" localSheetId="6">Hardware!$1:$1</definedName>
    <definedName name="_xlnm.Print_Titles" localSheetId="9">Risikoanalyse!$1:$1</definedName>
    <definedName name="_xlnm.Print_Titles" localSheetId="7">Software!$1:$1</definedName>
    <definedName name="_xlnm.Print_Titles" localSheetId="8">'Standard-Software'!$1:$1</definedName>
    <definedName name="FehlerkostenSumme">#REF!</definedName>
    <definedName name="Formularname">#REF!</definedName>
    <definedName name="GFK_Adr">#REF!</definedName>
    <definedName name="GFK_Name">#REF!</definedName>
    <definedName name="GFK_Org">#REF!</definedName>
    <definedName name="GFL_Adr">#REF!</definedName>
    <definedName name="GFL_Name">#REF!</definedName>
    <definedName name="GFL_Org">#REF!</definedName>
    <definedName name="GGL_Adr">#REF!</definedName>
    <definedName name="GGL_Name">#REF!</definedName>
    <definedName name="GGL_Org">#REF!</definedName>
    <definedName name="HKTabelle">#REF!</definedName>
    <definedName name="KW_AktGJ">#REF!</definedName>
    <definedName name="KW_AngebotTyp">#REF!</definedName>
    <definedName name="KW_Aufwand">#REF!</definedName>
    <definedName name="KW_FormDatum">#REF!</definedName>
    <definedName name="KW_FormVersion">#REF!</definedName>
    <definedName name="KW_GF_AkoSatz">#REF!</definedName>
    <definedName name="KW_GF_Name">#REF!</definedName>
    <definedName name="KW_GJ">#REF!</definedName>
    <definedName name="KW_Personalkosten">#REF!</definedName>
    <definedName name="KW_ProjektTyp">#REF!</definedName>
    <definedName name="KW_Reisekosten">#REF!</definedName>
    <definedName name="Phase0">#REF!</definedName>
    <definedName name="Phase1">#REF!</definedName>
    <definedName name="Phase2">#REF!</definedName>
    <definedName name="Phase3">#REF!</definedName>
    <definedName name="Phase4">#REF!</definedName>
    <definedName name="Phase5">#REF!</definedName>
    <definedName name="Phase6">#REF!</definedName>
    <definedName name="Phase7">#REF!</definedName>
    <definedName name="Phase8">#REF!</definedName>
    <definedName name="Phase9">#REF!</definedName>
    <definedName name="PhaseAlle">#REF!</definedName>
    <definedName name="PL_Adr">#REF!</definedName>
    <definedName name="PL_Name">#REF!</definedName>
    <definedName name="PL_Org">#REF!</definedName>
    <definedName name="ProjektaufwandMh">#REF!</definedName>
    <definedName name="ProjektaufwandMh_mitGWL">#REF!</definedName>
    <definedName name="Projektname">#REF!</definedName>
    <definedName name="Proz" localSheetId="6">Hardware!$C$53:$C$62</definedName>
    <definedName name="Proz" localSheetId="7">Software!$C$55:$C$64</definedName>
    <definedName name="Proz" localSheetId="8">'Standard-Software'!$C$46:$C$55</definedName>
    <definedName name="Proz">Gesamtprojekt!$C$61:$C$70</definedName>
    <definedName name="Prozentsatz">#REF!</definedName>
    <definedName name="Prüfung_Kalkulation">#REF!</definedName>
    <definedName name="QSV_Adr">#REF!</definedName>
    <definedName name="QSV_Name">#REF!</definedName>
    <definedName name="QSV_Org">#REF!</definedName>
    <definedName name="Rwvu.user." localSheetId="9" hidden="1">Risikoanalyse!$D:$F</definedName>
    <definedName name="SchaetzungDB">#REF!</definedName>
    <definedName name="SchaetzungDB_Start">#REF!</definedName>
    <definedName name="SchaetzungMhGesamt">#REF!</definedName>
    <definedName name="SummeAnzReisen">#REF!</definedName>
    <definedName name="SummeHKPersonal">#REF!</definedName>
    <definedName name="SummeHKRechner">#REF!</definedName>
    <definedName name="SummeHKReisen">#REF!</definedName>
    <definedName name="SummeHKSonstiges">#REF!</definedName>
    <definedName name="SummeMMRechner">#REF!</definedName>
    <definedName name="Swvu.Bearbeitung." localSheetId="9" hidden="1">Risikoanalyse!$C:$I</definedName>
    <definedName name="Swvu.user." localSheetId="9" hidden="1">Risikoanalyse!$D:$F</definedName>
    <definedName name="wvu.Bearbeitung." localSheetId="9" hidden="1">{TRUE,FALSE,-1.25,-15.5,604.5,381,FALSE,TRUE,TRUE,TRUE,0,1,#N/A,1,#N/A,5.46822742474916,30.0666666666667,1,FALSE,FALSE,3,TRUE,1,FALSE,89,"Swvu.Bearbeitung.","ACwvu.Bearbeitung.",#N/A,FALSE,FALSE,0.78740157480315,0.78740157480315,0.78740157480315,0.78740157480315,2,"Angebots-Checkliste","&amp;L&amp;D&amp;C&amp;""Arial,Fett""Vertraulich&amp;RSeite &amp;P",FALSE,FALSE,FALSE,TRUE,1,100,#N/A,#N/A,"=R1C1:R87C6",FALSE,FALSE,FALSE,FALSE,FALSE,TRUE,9,65532,65532,FALSE,FALSE,TRUE,TRUE,TRUE}</definedName>
    <definedName name="wvu.user." localSheetId="9" hidden="1">{TRUE,TRUE,-1.25,-15.5,604.5,381,FALSE,TRUE,TRUE,TRUE,0,1,#N/A,1,#N/A,5.82608695652174,30.0666666666667,1,FALSE,FALSE,3,TRUE,1,FALSE,89,"Swvu.user.","ACwvu.user.",#N/A,FALSE,FALSE,0.78740157480315,0.78740157480315,0.78740157480315,0.78740157480315,2,"Angebots-Checkliste","&amp;L&amp;D&amp;C&amp;""Arial,Fett""Vertraulich&amp;RSeite &amp;P",FALSE,FALSE,FALSE,TRUE,1,100,#N/A,#N/A,"=R1C1:R87C6",FALSE,"Rwvu.user.",#N/A,FALSE,FALSE,TRUE,9,65532,65532,FALSE,FALSE,TRUE,TRUE,TRUE}</definedName>
    <definedName name="Z_576B7D16_5152_11D3_BFEB_00105A2EAD63_.wvu.PrintArea" localSheetId="9" hidden="1">Risikoanalyse!$B$1:$I$105</definedName>
    <definedName name="Z_576B7D17_5152_11D3_BFEB_00105A2EAD63_.wvu.Cols" localSheetId="9" hidden="1">Risikoanalyse!$D:$F</definedName>
    <definedName name="Z_576B7D17_5152_11D3_BFEB_00105A2EAD63_.wvu.PrintArea" localSheetId="9" hidden="1">Risikoanalyse!$B$1:$I$105</definedName>
    <definedName name="Ziel">#REF!</definedName>
    <definedName name="ZuschlagFinanzierung">#REF!</definedName>
    <definedName name="ZuschlagGewährleistung">#REF!</definedName>
    <definedName name="ZuschlagMengenrisiko">#REF!</definedName>
    <definedName name="ZuschlagValorisierung">#REF!</definedName>
    <definedName name="ZuschlagVE">#REF!</definedName>
    <definedName name="ZuschlagVWGK">#REF!</definedName>
  </definedNames>
  <calcPr calcId="152511"/>
</workbook>
</file>

<file path=xl/calcChain.xml><?xml version="1.0" encoding="utf-8"?>
<calcChain xmlns="http://schemas.openxmlformats.org/spreadsheetml/2006/main">
  <c r="I28" i="23" l="1"/>
  <c r="I23" i="23"/>
  <c r="I24" i="23"/>
  <c r="I25" i="23"/>
  <c r="I32" i="23"/>
  <c r="I33" i="23"/>
  <c r="I20" i="23"/>
  <c r="I19" i="23"/>
  <c r="I18" i="23"/>
  <c r="I21" i="23"/>
  <c r="K28" i="23" a="1"/>
  <c r="K23" i="23" a="1"/>
  <c r="K24" i="23" a="1"/>
  <c r="K25" i="23" a="1"/>
  <c r="K32" i="23" a="1"/>
  <c r="K33" i="23" a="1"/>
  <c r="K19" i="23" a="1"/>
  <c r="K18" i="23" a="1"/>
  <c r="K20" i="23" a="1"/>
  <c r="K21" i="23" a="1"/>
  <c r="K28" i="23" l="1"/>
  <c r="L28" i="23" s="1"/>
  <c r="M28" i="23" s="1"/>
  <c r="K25" i="23"/>
  <c r="L25" i="23" s="1"/>
  <c r="M25" i="23" s="1"/>
  <c r="K24" i="23"/>
  <c r="L24" i="23" s="1"/>
  <c r="M24" i="23" s="1"/>
  <c r="K23" i="23"/>
  <c r="L23" i="23" s="1"/>
  <c r="M23" i="23" s="1"/>
  <c r="K33" i="23"/>
  <c r="L33" i="23" s="1"/>
  <c r="M33" i="23" s="1"/>
  <c r="K32" i="23"/>
  <c r="L32" i="23" s="1"/>
  <c r="M32" i="23" s="1"/>
  <c r="K20" i="23"/>
  <c r="L20" i="23" s="1"/>
  <c r="M20" i="23" s="1"/>
  <c r="K18" i="23"/>
  <c r="L18" i="23" s="1"/>
  <c r="M18" i="23" s="1"/>
  <c r="K19" i="23"/>
  <c r="L19" i="23" s="1"/>
  <c r="M19" i="23" s="1"/>
  <c r="K21" i="23"/>
  <c r="L21" i="23" s="1"/>
  <c r="M21" i="23" s="1"/>
  <c r="I22" i="23"/>
  <c r="K22" i="23" a="1"/>
  <c r="K22" i="23"/>
  <c r="L22" i="23" s="1"/>
  <c r="M22" i="23" s="1"/>
  <c r="I26" i="23"/>
  <c r="K26" i="23" a="1"/>
  <c r="K26" i="23"/>
  <c r="L26" i="23" s="1"/>
  <c r="M26" i="23" s="1"/>
  <c r="I27" i="23"/>
  <c r="K27" i="23" a="1"/>
  <c r="K27" i="23"/>
  <c r="L27" i="23" s="1"/>
  <c r="M27" i="23" s="1"/>
  <c r="I10" i="23" l="1"/>
  <c r="I4" i="23"/>
  <c r="I6" i="22"/>
  <c r="I3" i="15"/>
  <c r="I4" i="15"/>
  <c r="D56" i="28"/>
  <c r="F56" i="28" s="1"/>
  <c r="D58" i="28"/>
  <c r="F58" i="28" s="1"/>
  <c r="D59" i="28"/>
  <c r="F59" i="28" s="1"/>
  <c r="D60" i="28"/>
  <c r="F60" i="28" s="1"/>
  <c r="D61" i="28"/>
  <c r="F61" i="28" s="1"/>
  <c r="D62" i="28"/>
  <c r="F62" i="28" s="1"/>
  <c r="D63" i="28"/>
  <c r="F63" i="28" s="1"/>
  <c r="D64" i="28"/>
  <c r="F64" i="28" s="1"/>
  <c r="D65" i="28"/>
  <c r="F65" i="28" s="1"/>
  <c r="D66" i="28"/>
  <c r="F66" i="28" s="1"/>
  <c r="D67" i="28"/>
  <c r="F67" i="28" s="1"/>
  <c r="D68" i="28"/>
  <c r="F68" i="28" s="1"/>
  <c r="D69" i="28"/>
  <c r="F69" i="28" s="1"/>
  <c r="D70" i="28"/>
  <c r="F70" i="28" s="1"/>
  <c r="D73" i="28"/>
  <c r="F73" i="28" s="1"/>
  <c r="D74" i="28"/>
  <c r="F74" i="28" s="1"/>
  <c r="D75" i="28"/>
  <c r="F75" i="28" s="1"/>
  <c r="D76" i="28"/>
  <c r="F76" i="28" s="1"/>
  <c r="D77" i="28"/>
  <c r="F77" i="28" s="1"/>
  <c r="D78" i="28"/>
  <c r="F78" i="28" s="1"/>
  <c r="D79" i="28"/>
  <c r="F79" i="28" s="1"/>
  <c r="D86" i="28"/>
  <c r="F86" i="28" s="1"/>
  <c r="D87" i="28"/>
  <c r="F87" i="28" s="1"/>
  <c r="D88" i="28"/>
  <c r="F88" i="28" s="1"/>
  <c r="D89" i="28"/>
  <c r="F89" i="28" s="1"/>
  <c r="D90" i="28"/>
  <c r="F90" i="28" s="1"/>
  <c r="D91" i="28"/>
  <c r="F91" i="28" s="1"/>
  <c r="C93" i="28"/>
  <c r="D93" i="28" s="1"/>
  <c r="F93" i="28" s="1"/>
  <c r="C94" i="28"/>
  <c r="D94" i="28"/>
  <c r="F94" i="28" s="1"/>
  <c r="C95" i="28"/>
  <c r="D95" i="28" s="1"/>
  <c r="F95" i="28" s="1"/>
  <c r="D96" i="28"/>
  <c r="F96" i="28" s="1"/>
  <c r="C98" i="28"/>
  <c r="D98" i="28" s="1"/>
  <c r="F98" i="28" s="1"/>
  <c r="C99" i="28"/>
  <c r="D99" i="28" s="1"/>
  <c r="F99" i="28" s="1"/>
  <c r="D5" i="28"/>
  <c r="F5" i="28"/>
  <c r="G5" i="28"/>
  <c r="G86" i="28"/>
  <c r="G56" i="28"/>
  <c r="G58" i="28"/>
  <c r="G59" i="28"/>
  <c r="G60" i="28"/>
  <c r="G61" i="28"/>
  <c r="G62" i="28"/>
  <c r="G63" i="28"/>
  <c r="G64" i="28"/>
  <c r="G65" i="28"/>
  <c r="G66" i="28"/>
  <c r="G67" i="28"/>
  <c r="G68" i="28"/>
  <c r="G69" i="28"/>
  <c r="G70" i="28"/>
  <c r="G73" i="28"/>
  <c r="G74" i="28"/>
  <c r="G75" i="28"/>
  <c r="G76" i="28"/>
  <c r="G77" i="28"/>
  <c r="G78" i="28"/>
  <c r="G79" i="28"/>
  <c r="G87" i="28"/>
  <c r="G88" i="28"/>
  <c r="G89" i="28"/>
  <c r="G90" i="28"/>
  <c r="G91" i="28"/>
  <c r="G93" i="28"/>
  <c r="G94" i="28"/>
  <c r="G95" i="28"/>
  <c r="G96" i="28"/>
  <c r="G99" i="28"/>
  <c r="H5" i="28"/>
  <c r="H86" i="28"/>
  <c r="H56" i="28"/>
  <c r="H58" i="28"/>
  <c r="H59" i="28"/>
  <c r="H60" i="28"/>
  <c r="H61" i="28"/>
  <c r="H62" i="28"/>
  <c r="H63" i="28"/>
  <c r="H64" i="28"/>
  <c r="H65" i="28"/>
  <c r="H66" i="28"/>
  <c r="H67" i="28"/>
  <c r="H68" i="28"/>
  <c r="H69" i="28"/>
  <c r="H70" i="28"/>
  <c r="H73" i="28"/>
  <c r="H74" i="28"/>
  <c r="H75" i="28"/>
  <c r="H76" i="28"/>
  <c r="H77" i="28"/>
  <c r="H78" i="28"/>
  <c r="H79" i="28"/>
  <c r="H87" i="28"/>
  <c r="H88" i="28"/>
  <c r="H89" i="28"/>
  <c r="H90" i="28"/>
  <c r="H91" i="28"/>
  <c r="H93" i="28"/>
  <c r="H94" i="28"/>
  <c r="H95" i="28"/>
  <c r="H96" i="28"/>
  <c r="H99" i="28"/>
  <c r="D3" i="28"/>
  <c r="F3" i="28" s="1"/>
  <c r="G3" i="28"/>
  <c r="H3" i="28"/>
  <c r="D4" i="28"/>
  <c r="D6" i="28"/>
  <c r="F6" i="28" s="1"/>
  <c r="G6" i="28"/>
  <c r="H6" i="28"/>
  <c r="D7" i="28"/>
  <c r="F7" i="28" s="1"/>
  <c r="G7" i="28"/>
  <c r="H7" i="28"/>
  <c r="D8" i="28"/>
  <c r="F8" i="28" s="1"/>
  <c r="G8" i="28"/>
  <c r="H8" i="28"/>
  <c r="C9" i="28"/>
  <c r="D9" i="28" s="1"/>
  <c r="F9" i="28" s="1"/>
  <c r="H9" i="28"/>
  <c r="D10" i="28"/>
  <c r="F10" i="28" s="1"/>
  <c r="G10" i="28"/>
  <c r="H10" i="28"/>
  <c r="D11" i="28"/>
  <c r="F11" i="28" s="1"/>
  <c r="G11" i="28"/>
  <c r="H11" i="28"/>
  <c r="D12" i="28"/>
  <c r="D13" i="28"/>
  <c r="F14" i="28"/>
  <c r="G14" i="28"/>
  <c r="H14" i="28"/>
  <c r="F15" i="28"/>
  <c r="G15" i="28"/>
  <c r="H15" i="28"/>
  <c r="D16" i="28"/>
  <c r="F16" i="28"/>
  <c r="G16" i="28"/>
  <c r="H16" i="28"/>
  <c r="D17" i="28"/>
  <c r="H17" i="28"/>
  <c r="D18" i="28"/>
  <c r="F18" i="28" s="1"/>
  <c r="G18" i="28"/>
  <c r="H18" i="28"/>
  <c r="C19" i="28"/>
  <c r="D19" i="28" s="1"/>
  <c r="F19" i="28" s="1"/>
  <c r="D20" i="28"/>
  <c r="F20" i="28" s="1"/>
  <c r="G20" i="28"/>
  <c r="H20" i="28"/>
  <c r="D21" i="28"/>
  <c r="F21" i="28" s="1"/>
  <c r="G21" i="28"/>
  <c r="H21" i="28"/>
  <c r="D22" i="28"/>
  <c r="F22" i="28" s="1"/>
  <c r="G22" i="28"/>
  <c r="H22" i="28"/>
  <c r="D23" i="28"/>
  <c r="G23" i="28"/>
  <c r="H23" i="28"/>
  <c r="C24" i="28"/>
  <c r="D24" i="28" s="1"/>
  <c r="F24" i="28" s="1"/>
  <c r="D25" i="28"/>
  <c r="F25" i="28" s="1"/>
  <c r="G25" i="28"/>
  <c r="H25" i="28"/>
  <c r="D26" i="28"/>
  <c r="D27" i="28"/>
  <c r="D28" i="28"/>
  <c r="F28" i="28" s="1"/>
  <c r="G28" i="28"/>
  <c r="H28" i="28"/>
  <c r="D29" i="28"/>
  <c r="F29" i="28" s="1"/>
  <c r="G29" i="28"/>
  <c r="H29" i="28"/>
  <c r="D30" i="28"/>
  <c r="F30" i="28" s="1"/>
  <c r="G30" i="28"/>
  <c r="H30" i="28"/>
  <c r="D31" i="28"/>
  <c r="F31" i="28" s="1"/>
  <c r="G31" i="28"/>
  <c r="H31" i="28"/>
  <c r="D32" i="28"/>
  <c r="F32" i="28" s="1"/>
  <c r="G32" i="28"/>
  <c r="H32" i="28"/>
  <c r="D33" i="28"/>
  <c r="F33" i="28" s="1"/>
  <c r="G33" i="28"/>
  <c r="H33" i="28"/>
  <c r="D34" i="28"/>
  <c r="F34" i="28" s="1"/>
  <c r="G34" i="28"/>
  <c r="H34" i="28"/>
  <c r="D35" i="28"/>
  <c r="F35" i="28" s="1"/>
  <c r="G35" i="28"/>
  <c r="H35" i="28"/>
  <c r="D36" i="28"/>
  <c r="F36" i="28" s="1"/>
  <c r="G36" i="28"/>
  <c r="H36" i="28"/>
  <c r="D37" i="28"/>
  <c r="F37" i="28" s="1"/>
  <c r="G37" i="28"/>
  <c r="H37" i="28"/>
  <c r="D38" i="28"/>
  <c r="C39" i="28"/>
  <c r="D39" i="28" s="1"/>
  <c r="F39" i="28" s="1"/>
  <c r="H39" i="28"/>
  <c r="C40" i="28"/>
  <c r="D40" i="28"/>
  <c r="F40" i="28" s="1"/>
  <c r="G40" i="28"/>
  <c r="H40" i="28"/>
  <c r="D41" i="28"/>
  <c r="D42" i="28"/>
  <c r="D43" i="28"/>
  <c r="F43" i="28" s="1"/>
  <c r="G43" i="28"/>
  <c r="H43" i="28"/>
  <c r="D44" i="28"/>
  <c r="F44" i="28" s="1"/>
  <c r="G44" i="28"/>
  <c r="H44" i="28"/>
  <c r="D45" i="28"/>
  <c r="F45" i="28" s="1"/>
  <c r="G45" i="28"/>
  <c r="H45" i="28"/>
  <c r="D46" i="28"/>
  <c r="F46" i="28" s="1"/>
  <c r="G46" i="28"/>
  <c r="H46" i="28"/>
  <c r="D47" i="28"/>
  <c r="F47" i="28" s="1"/>
  <c r="G47" i="28"/>
  <c r="H47" i="28"/>
  <c r="D48" i="28"/>
  <c r="F48" i="28" s="1"/>
  <c r="G48" i="28"/>
  <c r="H48" i="28"/>
  <c r="D49" i="28"/>
  <c r="F49" i="28" s="1"/>
  <c r="G49" i="28"/>
  <c r="H49" i="28"/>
  <c r="D50" i="28"/>
  <c r="F50" i="28" s="1"/>
  <c r="G50" i="28"/>
  <c r="H50" i="28"/>
  <c r="D51" i="28"/>
  <c r="F51" i="28" s="1"/>
  <c r="G51" i="28"/>
  <c r="H51" i="28"/>
  <c r="D52" i="28"/>
  <c r="F52" i="28" s="1"/>
  <c r="G52" i="28"/>
  <c r="H52" i="28"/>
  <c r="D53" i="28"/>
  <c r="F53" i="28" s="1"/>
  <c r="G53" i="28"/>
  <c r="H53" i="28"/>
  <c r="D54" i="28"/>
  <c r="D55" i="28"/>
  <c r="D57" i="28"/>
  <c r="D71" i="28"/>
  <c r="D72" i="28"/>
  <c r="D80" i="28"/>
  <c r="F80" i="28"/>
  <c r="G80" i="28"/>
  <c r="H80" i="28"/>
  <c r="D81" i="28"/>
  <c r="F81" i="28"/>
  <c r="G81" i="28"/>
  <c r="H81" i="28"/>
  <c r="D82" i="28"/>
  <c r="F82" i="28"/>
  <c r="G82" i="28"/>
  <c r="H82" i="28"/>
  <c r="D83" i="28"/>
  <c r="F83" i="28" s="1"/>
  <c r="G83" i="28"/>
  <c r="H83" i="28"/>
  <c r="D84" i="28"/>
  <c r="D85" i="28"/>
  <c r="D92" i="28"/>
  <c r="D97" i="28"/>
  <c r="D100" i="28"/>
  <c r="F100" i="28" s="1"/>
  <c r="G100" i="28"/>
  <c r="H100" i="28"/>
  <c r="D101" i="28"/>
  <c r="F101" i="28" s="1"/>
  <c r="G101" i="28"/>
  <c r="H101" i="28"/>
  <c r="D102" i="28"/>
  <c r="F102" i="28" s="1"/>
  <c r="G102" i="28"/>
  <c r="H102" i="28"/>
  <c r="D103" i="28"/>
  <c r="F103" i="28" s="1"/>
  <c r="G103" i="28"/>
  <c r="H103" i="28"/>
  <c r="D104" i="28"/>
  <c r="F104" i="28" s="1"/>
  <c r="G104" i="28"/>
  <c r="H104" i="28"/>
  <c r="D105" i="28"/>
  <c r="F105" i="28" s="1"/>
  <c r="G105" i="28"/>
  <c r="H105" i="28"/>
  <c r="D106" i="28"/>
  <c r="F106" i="28" s="1"/>
  <c r="G106" i="28"/>
  <c r="H106" i="28"/>
  <c r="D107" i="28"/>
  <c r="F107" i="28" s="1"/>
  <c r="G107" i="28"/>
  <c r="H107" i="28"/>
  <c r="A1" i="29"/>
  <c r="B1" i="29"/>
  <c r="C1" i="29"/>
  <c r="D1" i="29"/>
  <c r="E1" i="29"/>
  <c r="F1" i="29"/>
  <c r="G1" i="29"/>
  <c r="E2" i="24"/>
  <c r="E35" i="15" s="1"/>
  <c r="F2" i="24"/>
  <c r="F35" i="15" s="1"/>
  <c r="G2" i="24"/>
  <c r="G35" i="15" s="1"/>
  <c r="I3" i="24"/>
  <c r="I4" i="24"/>
  <c r="I5" i="24"/>
  <c r="I6" i="24"/>
  <c r="I7" i="24"/>
  <c r="I8" i="24"/>
  <c r="I9" i="24"/>
  <c r="I10" i="24"/>
  <c r="I11" i="24"/>
  <c r="I12" i="24"/>
  <c r="I13" i="24"/>
  <c r="I14" i="24"/>
  <c r="I15" i="24"/>
  <c r="I16" i="24"/>
  <c r="I17" i="24"/>
  <c r="I18" i="24"/>
  <c r="I19" i="24"/>
  <c r="I20" i="24"/>
  <c r="I21" i="24"/>
  <c r="I22" i="24"/>
  <c r="I23" i="24"/>
  <c r="I24" i="24"/>
  <c r="I25" i="24"/>
  <c r="I26" i="24"/>
  <c r="I27" i="24"/>
  <c r="I28" i="24"/>
  <c r="I29" i="24"/>
  <c r="I30" i="24"/>
  <c r="I31" i="24"/>
  <c r="I32" i="24"/>
  <c r="I33" i="24"/>
  <c r="I34" i="24"/>
  <c r="I35" i="24"/>
  <c r="I36" i="24"/>
  <c r="I37" i="24"/>
  <c r="I38" i="24"/>
  <c r="I39" i="24"/>
  <c r="I40" i="24"/>
  <c r="I41" i="24"/>
  <c r="I42" i="24"/>
  <c r="I43" i="24"/>
  <c r="I44" i="24"/>
  <c r="E2" i="23"/>
  <c r="E34" i="15" s="1"/>
  <c r="F2" i="23"/>
  <c r="F34" i="15" s="1"/>
  <c r="G2" i="23"/>
  <c r="G34" i="15" s="1"/>
  <c r="I3" i="23"/>
  <c r="I5" i="23"/>
  <c r="I6" i="23"/>
  <c r="I7" i="23"/>
  <c r="I8" i="23"/>
  <c r="I11" i="23"/>
  <c r="I12" i="23"/>
  <c r="I13" i="23"/>
  <c r="I14" i="23"/>
  <c r="I15" i="23"/>
  <c r="I16" i="23"/>
  <c r="I17" i="23"/>
  <c r="I29" i="23"/>
  <c r="I30" i="23"/>
  <c r="I31" i="23"/>
  <c r="I34" i="23"/>
  <c r="I35" i="23"/>
  <c r="I36" i="23"/>
  <c r="I37" i="23"/>
  <c r="I38" i="23"/>
  <c r="I39" i="23"/>
  <c r="I40" i="23"/>
  <c r="I41" i="23"/>
  <c r="I42" i="23"/>
  <c r="I43" i="23"/>
  <c r="I44" i="23"/>
  <c r="I45" i="23"/>
  <c r="I46" i="23"/>
  <c r="I47" i="23"/>
  <c r="I48" i="23"/>
  <c r="I49" i="23"/>
  <c r="I50" i="23"/>
  <c r="I51" i="23"/>
  <c r="I52" i="23"/>
  <c r="I53" i="23"/>
  <c r="E2" i="22"/>
  <c r="E33" i="15" s="1"/>
  <c r="F2" i="22"/>
  <c r="F33" i="15" s="1"/>
  <c r="G2" i="22"/>
  <c r="G33" i="15" s="1"/>
  <c r="I3" i="22"/>
  <c r="I4" i="22"/>
  <c r="I5" i="22"/>
  <c r="I7" i="22"/>
  <c r="I8" i="22"/>
  <c r="I9" i="22"/>
  <c r="I10" i="22"/>
  <c r="I11" i="22"/>
  <c r="I12" i="22"/>
  <c r="I13" i="22"/>
  <c r="I14" i="22"/>
  <c r="I15" i="22"/>
  <c r="I16" i="22"/>
  <c r="I17" i="22"/>
  <c r="I18" i="22"/>
  <c r="I19" i="22"/>
  <c r="I20" i="22"/>
  <c r="I21" i="22"/>
  <c r="I22" i="22"/>
  <c r="I23" i="22"/>
  <c r="I24" i="22"/>
  <c r="I25" i="22"/>
  <c r="I26" i="22"/>
  <c r="I27" i="22"/>
  <c r="I28" i="22"/>
  <c r="I29" i="22"/>
  <c r="I30" i="22"/>
  <c r="I31" i="22"/>
  <c r="I32" i="22"/>
  <c r="I33" i="22"/>
  <c r="I34" i="22"/>
  <c r="I35" i="22"/>
  <c r="I36" i="22"/>
  <c r="I37" i="22"/>
  <c r="I38" i="22"/>
  <c r="I39" i="22"/>
  <c r="I40" i="22"/>
  <c r="I41" i="22"/>
  <c r="I42" i="22"/>
  <c r="I43" i="22"/>
  <c r="I44" i="22"/>
  <c r="I45" i="22"/>
  <c r="I46" i="22"/>
  <c r="I47" i="22"/>
  <c r="I48" i="22"/>
  <c r="I49" i="22"/>
  <c r="I50" i="22"/>
  <c r="I51" i="22"/>
  <c r="I5" i="15"/>
  <c r="I6" i="15"/>
  <c r="I7" i="15"/>
  <c r="I8" i="15"/>
  <c r="I9" i="15"/>
  <c r="I10" i="15"/>
  <c r="I11" i="15"/>
  <c r="I12" i="15"/>
  <c r="I13" i="15"/>
  <c r="I14" i="15"/>
  <c r="I15" i="15"/>
  <c r="I16" i="15"/>
  <c r="I17" i="15"/>
  <c r="I18" i="15"/>
  <c r="I19" i="15"/>
  <c r="I20" i="15"/>
  <c r="I21" i="15"/>
  <c r="I22" i="15"/>
  <c r="I23" i="15"/>
  <c r="I24" i="15"/>
  <c r="I25" i="15"/>
  <c r="I26" i="15"/>
  <c r="I27" i="15"/>
  <c r="I28" i="15"/>
  <c r="I29" i="15"/>
  <c r="I30" i="15"/>
  <c r="I31" i="15"/>
  <c r="I32" i="15"/>
  <c r="I36" i="15"/>
  <c r="I37" i="15"/>
  <c r="I38" i="15"/>
  <c r="I39" i="15"/>
  <c r="I40" i="15"/>
  <c r="I41" i="15"/>
  <c r="I42" i="15"/>
  <c r="I43" i="15"/>
  <c r="I44" i="15"/>
  <c r="I45" i="15"/>
  <c r="I46" i="15"/>
  <c r="I47" i="15"/>
  <c r="I48" i="15"/>
  <c r="I49" i="15"/>
  <c r="I50" i="15"/>
  <c r="I51" i="15"/>
  <c r="I52" i="15"/>
  <c r="I53" i="15"/>
  <c r="I54" i="15"/>
  <c r="I55" i="15"/>
  <c r="I56" i="15"/>
  <c r="I57" i="15"/>
  <c r="I58" i="15"/>
  <c r="I59" i="15"/>
  <c r="B36" i="21"/>
  <c r="F17" i="25"/>
  <c r="B19" i="25"/>
  <c r="F22" i="25"/>
  <c r="F23" i="25" s="1"/>
  <c r="C19" i="25" s="1"/>
  <c r="C18" i="25" s="1"/>
  <c r="C7" i="13"/>
  <c r="G39" i="28"/>
  <c r="K57" i="15" a="1"/>
  <c r="K12" i="22" a="1"/>
  <c r="K37" i="24" a="1"/>
  <c r="K9" i="15" a="1"/>
  <c r="K4" i="24" a="1"/>
  <c r="K16" i="23" a="1"/>
  <c r="K47" i="15" a="1"/>
  <c r="K11" i="15" a="1"/>
  <c r="K6" i="24" a="1"/>
  <c r="K42" i="22" a="1"/>
  <c r="K58" i="15" a="1"/>
  <c r="K22" i="15" a="1"/>
  <c r="K18" i="22" a="1"/>
  <c r="K43" i="24" a="1"/>
  <c r="K30" i="23" a="1"/>
  <c r="K49" i="23" a="1"/>
  <c r="K33" i="24" a="1"/>
  <c r="K51" i="23" a="1"/>
  <c r="K36" i="22" a="1"/>
  <c r="K24" i="15" a="1"/>
  <c r="K40" i="24" a="1"/>
  <c r="K26" i="15" a="1"/>
  <c r="K29" i="23" a="1"/>
  <c r="K30" i="22" a="1"/>
  <c r="K51" i="15" a="1"/>
  <c r="K3" i="15" a="1"/>
  <c r="K13" i="22" a="1"/>
  <c r="K14" i="15" a="1"/>
  <c r="K32" i="22" a="1"/>
  <c r="K34" i="22" a="1"/>
  <c r="K36" i="23" a="1"/>
  <c r="K29" i="22" a="1"/>
  <c r="K45" i="15" a="1"/>
  <c r="K30" i="15" a="1"/>
  <c r="K25" i="24" a="1"/>
  <c r="K35" i="23" a="1"/>
  <c r="K23" i="24" a="1"/>
  <c r="K32" i="15" a="1"/>
  <c r="K27" i="24" a="1"/>
  <c r="K37" i="23" a="1"/>
  <c r="K45" i="23" a="1"/>
  <c r="K25" i="22" a="1"/>
  <c r="K22" i="24" a="1"/>
  <c r="K24" i="22" a="1"/>
  <c r="K46" i="22" a="1"/>
  <c r="K17" i="22" a="1"/>
  <c r="K42" i="24" a="1"/>
  <c r="K18" i="15" a="1"/>
  <c r="K52" i="15" a="1"/>
  <c r="K19" i="22" a="1"/>
  <c r="K44" i="24" a="1"/>
  <c r="K20" i="15" a="1"/>
  <c r="K15" i="24" a="1"/>
  <c r="K47" i="22" a="1"/>
  <c r="K36" i="15" a="1"/>
  <c r="K23" i="22" a="1"/>
  <c r="K11" i="22" a="1"/>
  <c r="K7" i="15" a="1"/>
  <c r="K38" i="15" a="1"/>
  <c r="K14" i="24" a="1"/>
  <c r="K37" i="22" a="1"/>
  <c r="K43" i="23" a="1"/>
  <c r="K6" i="23" a="1"/>
  <c r="K12" i="15" a="1"/>
  <c r="K28" i="15" a="1"/>
  <c r="K29" i="24" a="1"/>
  <c r="K38" i="22" a="1"/>
  <c r="K30" i="24" a="1"/>
  <c r="K7" i="22" a="1"/>
  <c r="K13" i="15" a="1"/>
  <c r="K8" i="22" a="1"/>
  <c r="K50" i="22" a="1"/>
  <c r="K31" i="23" a="1"/>
  <c r="K41" i="23" a="1"/>
  <c r="K26" i="22" a="1"/>
  <c r="K42" i="15" a="1"/>
  <c r="K17" i="23" a="1"/>
  <c r="K28" i="22" a="1"/>
  <c r="K44" i="15" a="1"/>
  <c r="K25" i="15" a="1"/>
  <c r="K20" i="24" a="1"/>
  <c r="K7" i="24" a="1"/>
  <c r="K47" i="23" a="1"/>
  <c r="K6" i="22" a="1"/>
  <c r="K44" i="23" a="1"/>
  <c r="K5" i="15" a="1"/>
  <c r="K12" i="23" a="1"/>
  <c r="K9" i="22" a="1"/>
  <c r="K39" i="15" a="1"/>
  <c r="K19" i="24" a="1"/>
  <c r="K41" i="15" a="1"/>
  <c r="K21" i="24" a="1"/>
  <c r="K39" i="23" a="1"/>
  <c r="K24" i="24" a="1"/>
  <c r="K40" i="22" a="1"/>
  <c r="K5" i="24" a="1"/>
  <c r="K6" i="15" a="1"/>
  <c r="K38" i="24" a="1"/>
  <c r="K9" i="24" a="1"/>
  <c r="K42" i="23" a="1"/>
  <c r="K29" i="15" a="1"/>
  <c r="K31" i="15" a="1"/>
  <c r="K5" i="23" a="1"/>
  <c r="K16" i="15" a="1"/>
  <c r="K11" i="24" a="1"/>
  <c r="K43" i="22" a="1"/>
  <c r="K59" i="15" a="1"/>
  <c r="K14" i="22" a="1"/>
  <c r="K39" i="24" a="1"/>
  <c r="K45" i="22" a="1"/>
  <c r="K4" i="23" a="1"/>
  <c r="K16" i="22" a="1"/>
  <c r="K41" i="24" a="1"/>
  <c r="K37" i="15" a="1"/>
  <c r="K27" i="15" a="1"/>
  <c r="K8" i="23" a="1"/>
  <c r="K15" i="15" a="1"/>
  <c r="K17" i="15" a="1"/>
  <c r="K7" i="23" a="1"/>
  <c r="K21" i="15" a="1"/>
  <c r="K38" i="23" a="1"/>
  <c r="K18" i="24" a="1"/>
  <c r="K40" i="23" a="1"/>
  <c r="K21" i="22" a="1"/>
  <c r="K44" i="22" a="1"/>
  <c r="K10" i="24" a="1"/>
  <c r="K15" i="22" a="1"/>
  <c r="K10" i="22" a="1"/>
  <c r="K46" i="15" a="1"/>
  <c r="K46" i="23" a="1"/>
  <c r="K48" i="15" a="1"/>
  <c r="K53" i="23" a="1"/>
  <c r="K5" i="22" a="1"/>
  <c r="K23" i="15" a="1"/>
  <c r="K32" i="24" a="1"/>
  <c r="K48" i="23" a="1"/>
  <c r="K3" i="22" a="1"/>
  <c r="K28" i="24" a="1"/>
  <c r="K4" i="15" a="1"/>
  <c r="K50" i="23" a="1"/>
  <c r="K11" i="23" a="1"/>
  <c r="K31" i="22" a="1"/>
  <c r="K13" i="24" a="1"/>
  <c r="K52" i="23" a="1"/>
  <c r="K13" i="23" a="1"/>
  <c r="K33" i="22" a="1"/>
  <c r="K49" i="15" a="1"/>
  <c r="K4" i="22" a="1"/>
  <c r="K15" i="23" a="1"/>
  <c r="K34" i="24" a="1"/>
  <c r="K10" i="15" a="1"/>
  <c r="K3" i="23" a="1"/>
  <c r="K36" i="24" a="1"/>
  <c r="K51" i="22" a="1"/>
  <c r="K22" i="22" a="1"/>
  <c r="K19" i="15" a="1"/>
  <c r="K53" i="15" a="1"/>
  <c r="K55" i="15" a="1"/>
  <c r="K35" i="24" a="1"/>
  <c r="K3" i="24" a="1"/>
  <c r="K17" i="24" a="1"/>
  <c r="K31" i="24" a="1"/>
  <c r="K34" i="23" a="1"/>
  <c r="K43" i="15" a="1"/>
  <c r="K35" i="22" a="1"/>
  <c r="K26" i="24" a="1"/>
  <c r="K10" i="23" a="1"/>
  <c r="K40" i="15" a="1"/>
  <c r="K16" i="24" a="1"/>
  <c r="K41" i="22" a="1"/>
  <c r="K8" i="24" a="1"/>
  <c r="K20" i="22" a="1"/>
  <c r="K12" i="24" a="1"/>
  <c r="K39" i="22" a="1"/>
  <c r="K27" i="22" a="1"/>
  <c r="K50" i="15" a="1"/>
  <c r="K14" i="23" a="1"/>
  <c r="K54" i="15" a="1"/>
  <c r="K56" i="15" a="1"/>
  <c r="K8" i="15" a="1"/>
  <c r="K49" i="22" a="1"/>
  <c r="K48" i="22" a="1"/>
  <c r="H19" i="28" l="1"/>
  <c r="H98" i="28"/>
  <c r="I2" i="22"/>
  <c r="I2" i="24"/>
  <c r="G19" i="28"/>
  <c r="G24" i="28"/>
  <c r="G98" i="28"/>
  <c r="K10" i="23"/>
  <c r="L10" i="23" s="1"/>
  <c r="M10" i="23" s="1"/>
  <c r="H24" i="28"/>
  <c r="I2" i="23"/>
  <c r="F2" i="15"/>
  <c r="I34" i="15"/>
  <c r="F42" i="28"/>
  <c r="D6" i="29" s="1"/>
  <c r="D2" i="29" s="1"/>
  <c r="B25" i="21" s="1"/>
  <c r="D25" i="21" s="1"/>
  <c r="E25" i="21" s="1"/>
  <c r="F27" i="28"/>
  <c r="C6" i="29" s="1"/>
  <c r="C2" i="29" s="1"/>
  <c r="B24" i="21" s="1"/>
  <c r="D24" i="21" s="1"/>
  <c r="F13" i="28"/>
  <c r="B6" i="29" s="1"/>
  <c r="B2" i="29" s="1"/>
  <c r="B23" i="21" s="1"/>
  <c r="D23" i="21" s="1"/>
  <c r="E23" i="21" s="1"/>
  <c r="F2" i="28"/>
  <c r="A6" i="29" s="1"/>
  <c r="A2" i="29" s="1"/>
  <c r="B22" i="21" s="1"/>
  <c r="D22" i="21" s="1"/>
  <c r="E22" i="21" s="1"/>
  <c r="F85" i="28"/>
  <c r="G6" i="29" s="1"/>
  <c r="G2" i="29" s="1"/>
  <c r="B28" i="21" s="1"/>
  <c r="D28" i="21" s="1"/>
  <c r="E28" i="21" s="1"/>
  <c r="G2" i="15"/>
  <c r="I33" i="15"/>
  <c r="I35" i="15"/>
  <c r="E2" i="15"/>
  <c r="F72" i="28"/>
  <c r="F6" i="29" s="1"/>
  <c r="F2" i="29" s="1"/>
  <c r="B27" i="21" s="1"/>
  <c r="D27" i="21" s="1"/>
  <c r="E27" i="21" s="1"/>
  <c r="F55" i="28"/>
  <c r="E6" i="29" s="1"/>
  <c r="E2" i="29" s="1"/>
  <c r="B26" i="21" s="1"/>
  <c r="D26" i="21" s="1"/>
  <c r="E26" i="21" s="1"/>
  <c r="G9" i="28"/>
  <c r="G2" i="28" s="1"/>
  <c r="H2" i="29" s="1"/>
  <c r="H3" i="29" s="1"/>
  <c r="K5" i="23"/>
  <c r="L5" i="23" s="1"/>
  <c r="M5" i="23" s="1"/>
  <c r="K39" i="24"/>
  <c r="L39" i="24" s="1"/>
  <c r="M39" i="24" s="1"/>
  <c r="K7" i="24"/>
  <c r="L7" i="24" s="1"/>
  <c r="M7" i="24" s="1"/>
  <c r="K40" i="22"/>
  <c r="L40" i="22" s="1"/>
  <c r="M40" i="22" s="1"/>
  <c r="K8" i="22"/>
  <c r="L8" i="22" s="1"/>
  <c r="M8" i="22" s="1"/>
  <c r="K6" i="15"/>
  <c r="L6" i="15" s="1"/>
  <c r="M6" i="15" s="1"/>
  <c r="K47" i="15"/>
  <c r="L47" i="15" s="1"/>
  <c r="M47" i="15" s="1"/>
  <c r="K24" i="24"/>
  <c r="L24" i="24" s="1"/>
  <c r="M24" i="24" s="1"/>
  <c r="K43" i="23"/>
  <c r="L43" i="23" s="1"/>
  <c r="M43" i="23" s="1"/>
  <c r="K25" i="22"/>
  <c r="L25" i="22" s="1"/>
  <c r="M25" i="22" s="1"/>
  <c r="K23" i="15"/>
  <c r="L23" i="15" s="1"/>
  <c r="M23" i="15" s="1"/>
  <c r="K36" i="15"/>
  <c r="L36" i="15" s="1"/>
  <c r="M36" i="15" s="1"/>
  <c r="K13" i="24"/>
  <c r="L13" i="24" s="1"/>
  <c r="M13" i="24" s="1"/>
  <c r="K46" i="22"/>
  <c r="L46" i="22" s="1"/>
  <c r="M46" i="22" s="1"/>
  <c r="K46" i="15"/>
  <c r="L46" i="15" s="1"/>
  <c r="M46" i="15" s="1"/>
  <c r="K23" i="24"/>
  <c r="L23" i="24" s="1"/>
  <c r="M23" i="24" s="1"/>
  <c r="K42" i="23"/>
  <c r="L42" i="23" s="1"/>
  <c r="M42" i="23" s="1"/>
  <c r="K24" i="22"/>
  <c r="L24" i="22" s="1"/>
  <c r="M24" i="22" s="1"/>
  <c r="K22" i="15"/>
  <c r="L22" i="15" s="1"/>
  <c r="M22" i="15" s="1"/>
  <c r="K17" i="23"/>
  <c r="L17" i="23" s="1"/>
  <c r="M17" i="23" s="1"/>
  <c r="K6" i="23"/>
  <c r="L6" i="23" s="1"/>
  <c r="M6" i="23" s="1"/>
  <c r="K40" i="24"/>
  <c r="L40" i="24" s="1"/>
  <c r="M40" i="24" s="1"/>
  <c r="K8" i="24"/>
  <c r="L8" i="24" s="1"/>
  <c r="M8" i="24" s="1"/>
  <c r="K41" i="22"/>
  <c r="L41" i="22" s="1"/>
  <c r="M41" i="22" s="1"/>
  <c r="K9" i="22"/>
  <c r="L9" i="22" s="1"/>
  <c r="M9" i="22" s="1"/>
  <c r="K7" i="15"/>
  <c r="L7" i="15" s="1"/>
  <c r="M7" i="15" s="1"/>
  <c r="K15" i="23"/>
  <c r="L15" i="23" s="1"/>
  <c r="M15" i="23" s="1"/>
  <c r="K52" i="15"/>
  <c r="L52" i="15" s="1"/>
  <c r="M52" i="15" s="1"/>
  <c r="K29" i="24"/>
  <c r="L29" i="24" s="1"/>
  <c r="M29" i="24" s="1"/>
  <c r="K48" i="23"/>
  <c r="L48" i="23" s="1"/>
  <c r="M48" i="23" s="1"/>
  <c r="K30" i="22"/>
  <c r="L30" i="22" s="1"/>
  <c r="M30" i="22" s="1"/>
  <c r="K14" i="22"/>
  <c r="L14" i="22" s="1"/>
  <c r="M14" i="22" s="1"/>
  <c r="K28" i="15"/>
  <c r="L28" i="15" s="1"/>
  <c r="M28" i="15" s="1"/>
  <c r="K12" i="15"/>
  <c r="L12" i="15" s="1"/>
  <c r="M12" i="15" s="1"/>
  <c r="K16" i="23"/>
  <c r="L16" i="23" s="1"/>
  <c r="M16" i="23" s="1"/>
  <c r="K53" i="15"/>
  <c r="L53" i="15" s="1"/>
  <c r="M53" i="15" s="1"/>
  <c r="K37" i="15"/>
  <c r="L37" i="15" s="1"/>
  <c r="M37" i="15" s="1"/>
  <c r="K30" i="24"/>
  <c r="L30" i="24" s="1"/>
  <c r="M30" i="24" s="1"/>
  <c r="K14" i="24"/>
  <c r="L14" i="24" s="1"/>
  <c r="M14" i="24" s="1"/>
  <c r="K49" i="23"/>
  <c r="L49" i="23" s="1"/>
  <c r="M49" i="23" s="1"/>
  <c r="K47" i="22"/>
  <c r="L47" i="22" s="1"/>
  <c r="M47" i="22" s="1"/>
  <c r="K31" i="22"/>
  <c r="L31" i="22" s="1"/>
  <c r="M31" i="22" s="1"/>
  <c r="K15" i="22"/>
  <c r="L15" i="22" s="1"/>
  <c r="M15" i="22" s="1"/>
  <c r="K29" i="15"/>
  <c r="L29" i="15" s="1"/>
  <c r="M29" i="15" s="1"/>
  <c r="K13" i="15"/>
  <c r="L13" i="15" s="1"/>
  <c r="M13" i="15" s="1"/>
  <c r="K35" i="23"/>
  <c r="L35" i="23" s="1"/>
  <c r="M35" i="23" s="1"/>
  <c r="K58" i="15"/>
  <c r="L58" i="15" s="1"/>
  <c r="M58" i="15" s="1"/>
  <c r="K42" i="15"/>
  <c r="L42" i="15" s="1"/>
  <c r="M42" i="15" s="1"/>
  <c r="K35" i="24"/>
  <c r="L35" i="24" s="1"/>
  <c r="M35" i="24" s="1"/>
  <c r="K19" i="24"/>
  <c r="L19" i="24" s="1"/>
  <c r="M19" i="24" s="1"/>
  <c r="K3" i="24"/>
  <c r="L3" i="24" s="1"/>
  <c r="M3" i="24" s="1"/>
  <c r="K38" i="23"/>
  <c r="L38" i="23" s="1"/>
  <c r="M38" i="23" s="1"/>
  <c r="K36" i="22"/>
  <c r="L36" i="22" s="1"/>
  <c r="M36" i="22" s="1"/>
  <c r="K20" i="22"/>
  <c r="L20" i="22" s="1"/>
  <c r="M20" i="22" s="1"/>
  <c r="K4" i="22"/>
  <c r="L4" i="22" s="1"/>
  <c r="M4" i="22" s="1"/>
  <c r="K18" i="15"/>
  <c r="L18" i="15" s="1"/>
  <c r="M18" i="15" s="1"/>
  <c r="K36" i="23"/>
  <c r="L36" i="23" s="1"/>
  <c r="M36" i="23" s="1"/>
  <c r="K59" i="15"/>
  <c r="L59" i="15" s="1"/>
  <c r="M59" i="15" s="1"/>
  <c r="K43" i="15"/>
  <c r="L43" i="15" s="1"/>
  <c r="M43" i="15" s="1"/>
  <c r="K36" i="24"/>
  <c r="L36" i="24" s="1"/>
  <c r="M36" i="24" s="1"/>
  <c r="K20" i="24"/>
  <c r="L20" i="24" s="1"/>
  <c r="M20" i="24" s="1"/>
  <c r="K4" i="24"/>
  <c r="L4" i="24" s="1"/>
  <c r="M4" i="24" s="1"/>
  <c r="K39" i="23"/>
  <c r="L39" i="23" s="1"/>
  <c r="M39" i="23" s="1"/>
  <c r="K37" i="22"/>
  <c r="L37" i="22" s="1"/>
  <c r="M37" i="22" s="1"/>
  <c r="K21" i="22"/>
  <c r="L21" i="22" s="1"/>
  <c r="M21" i="22" s="1"/>
  <c r="K5" i="22"/>
  <c r="L5" i="22" s="1"/>
  <c r="M5" i="22" s="1"/>
  <c r="K19" i="15"/>
  <c r="L19" i="15" s="1"/>
  <c r="M19" i="15" s="1"/>
  <c r="K3" i="15"/>
  <c r="L3" i="15" s="1"/>
  <c r="M3" i="15" s="1"/>
  <c r="K11" i="23"/>
  <c r="L11" i="23" s="1"/>
  <c r="M11" i="23" s="1"/>
  <c r="K7" i="23"/>
  <c r="L7" i="23" s="1"/>
  <c r="M7" i="23" s="1"/>
  <c r="K48" i="15"/>
  <c r="L48" i="15" s="1"/>
  <c r="M48" i="15" s="1"/>
  <c r="K41" i="24"/>
  <c r="L41" i="24" s="1"/>
  <c r="M41" i="24" s="1"/>
  <c r="K25" i="24"/>
  <c r="L25" i="24" s="1"/>
  <c r="M25" i="24" s="1"/>
  <c r="K9" i="24"/>
  <c r="L9" i="24" s="1"/>
  <c r="M9" i="24" s="1"/>
  <c r="K44" i="23"/>
  <c r="L44" i="23" s="1"/>
  <c r="M44" i="23" s="1"/>
  <c r="K42" i="22"/>
  <c r="L42" i="22" s="1"/>
  <c r="M42" i="22" s="1"/>
  <c r="K26" i="22"/>
  <c r="L26" i="22" s="1"/>
  <c r="M26" i="22" s="1"/>
  <c r="K10" i="22"/>
  <c r="L10" i="22" s="1"/>
  <c r="M10" i="22" s="1"/>
  <c r="K24" i="15"/>
  <c r="L24" i="15" s="1"/>
  <c r="M24" i="15" s="1"/>
  <c r="K8" i="15"/>
  <c r="L8" i="15" s="1"/>
  <c r="M8" i="15" s="1"/>
  <c r="K12" i="23"/>
  <c r="L12" i="23" s="1"/>
  <c r="M12" i="23" s="1"/>
  <c r="K8" i="23"/>
  <c r="L8" i="23" s="1"/>
  <c r="M8" i="23" s="1"/>
  <c r="K49" i="15"/>
  <c r="L49" i="15" s="1"/>
  <c r="M49" i="15" s="1"/>
  <c r="K42" i="24"/>
  <c r="L42" i="24" s="1"/>
  <c r="M42" i="24" s="1"/>
  <c r="K26" i="24"/>
  <c r="L26" i="24" s="1"/>
  <c r="M26" i="24" s="1"/>
  <c r="K10" i="24"/>
  <c r="L10" i="24" s="1"/>
  <c r="M10" i="24" s="1"/>
  <c r="K45" i="23"/>
  <c r="L45" i="23" s="1"/>
  <c r="M45" i="23" s="1"/>
  <c r="K43" i="22"/>
  <c r="L43" i="22" s="1"/>
  <c r="M43" i="22" s="1"/>
  <c r="K27" i="22"/>
  <c r="L27" i="22" s="1"/>
  <c r="M27" i="22" s="1"/>
  <c r="K11" i="22"/>
  <c r="L11" i="22" s="1"/>
  <c r="M11" i="22" s="1"/>
  <c r="K25" i="15"/>
  <c r="L25" i="15" s="1"/>
  <c r="M25" i="15" s="1"/>
  <c r="K9" i="15"/>
  <c r="L9" i="15" s="1"/>
  <c r="M9" i="15" s="1"/>
  <c r="K29" i="23"/>
  <c r="L29" i="23" s="1"/>
  <c r="M29" i="23" s="1"/>
  <c r="K54" i="15"/>
  <c r="L54" i="15" s="1"/>
  <c r="M54" i="15" s="1"/>
  <c r="K38" i="15"/>
  <c r="L38" i="15" s="1"/>
  <c r="M38" i="15" s="1"/>
  <c r="K31" i="24"/>
  <c r="L31" i="24" s="1"/>
  <c r="M31" i="24" s="1"/>
  <c r="K15" i="24"/>
  <c r="L15" i="24" s="1"/>
  <c r="M15" i="24" s="1"/>
  <c r="K50" i="23"/>
  <c r="L50" i="23" s="1"/>
  <c r="M50" i="23" s="1"/>
  <c r="K48" i="22"/>
  <c r="L48" i="22" s="1"/>
  <c r="M48" i="22" s="1"/>
  <c r="K32" i="22"/>
  <c r="L32" i="22" s="1"/>
  <c r="M32" i="22" s="1"/>
  <c r="K16" i="22"/>
  <c r="L16" i="22" s="1"/>
  <c r="M16" i="22" s="1"/>
  <c r="K30" i="15"/>
  <c r="L30" i="15" s="1"/>
  <c r="M30" i="15" s="1"/>
  <c r="K14" i="15"/>
  <c r="L14" i="15" s="1"/>
  <c r="M14" i="15" s="1"/>
  <c r="K30" i="23"/>
  <c r="L30" i="23" s="1"/>
  <c r="M30" i="23" s="1"/>
  <c r="K55" i="15"/>
  <c r="L55" i="15" s="1"/>
  <c r="M55" i="15" s="1"/>
  <c r="K39" i="15"/>
  <c r="L39" i="15" s="1"/>
  <c r="M39" i="15" s="1"/>
  <c r="K32" i="24"/>
  <c r="L32" i="24" s="1"/>
  <c r="M32" i="24" s="1"/>
  <c r="K16" i="24"/>
  <c r="L16" i="24" s="1"/>
  <c r="M16" i="24" s="1"/>
  <c r="K51" i="23"/>
  <c r="L51" i="23" s="1"/>
  <c r="M51" i="23" s="1"/>
  <c r="K49" i="22"/>
  <c r="L49" i="22" s="1"/>
  <c r="M49" i="22" s="1"/>
  <c r="K33" i="22"/>
  <c r="L33" i="22" s="1"/>
  <c r="M33" i="22" s="1"/>
  <c r="K17" i="22"/>
  <c r="L17" i="22" s="1"/>
  <c r="M17" i="22" s="1"/>
  <c r="K31" i="15"/>
  <c r="L31" i="15" s="1"/>
  <c r="M31" i="15" s="1"/>
  <c r="K15" i="15"/>
  <c r="L15" i="15" s="1"/>
  <c r="M15" i="15" s="1"/>
  <c r="K37" i="23"/>
  <c r="L37" i="23" s="1"/>
  <c r="M37" i="23" s="1"/>
  <c r="K3" i="23"/>
  <c r="L3" i="23" s="1"/>
  <c r="M3" i="23" s="1"/>
  <c r="K44" i="15"/>
  <c r="L44" i="15" s="1"/>
  <c r="M44" i="15" s="1"/>
  <c r="K37" i="24"/>
  <c r="L37" i="24" s="1"/>
  <c r="M37" i="24" s="1"/>
  <c r="K21" i="24"/>
  <c r="L21" i="24" s="1"/>
  <c r="M21" i="24" s="1"/>
  <c r="K5" i="24"/>
  <c r="L5" i="24" s="1"/>
  <c r="M5" i="24" s="1"/>
  <c r="K40" i="23"/>
  <c r="L40" i="23" s="1"/>
  <c r="M40" i="23" s="1"/>
  <c r="K38" i="22"/>
  <c r="L38" i="22" s="1"/>
  <c r="M38" i="22" s="1"/>
  <c r="K22" i="22"/>
  <c r="L22" i="22" s="1"/>
  <c r="M22" i="22" s="1"/>
  <c r="K6" i="22"/>
  <c r="L6" i="22" s="1"/>
  <c r="M6" i="22" s="1"/>
  <c r="K20" i="15"/>
  <c r="L20" i="15" s="1"/>
  <c r="M20" i="15" s="1"/>
  <c r="K4" i="15"/>
  <c r="L4" i="15" s="1"/>
  <c r="M4" i="15" s="1"/>
  <c r="K4" i="23"/>
  <c r="L4" i="23" s="1"/>
  <c r="M4" i="23" s="1"/>
  <c r="K45" i="15"/>
  <c r="L45" i="15" s="1"/>
  <c r="M45" i="15" s="1"/>
  <c r="K38" i="24"/>
  <c r="L38" i="24" s="1"/>
  <c r="M38" i="24" s="1"/>
  <c r="K22" i="24"/>
  <c r="L22" i="24" s="1"/>
  <c r="M22" i="24" s="1"/>
  <c r="K6" i="24"/>
  <c r="L6" i="24" s="1"/>
  <c r="M6" i="24" s="1"/>
  <c r="K41" i="23"/>
  <c r="L41" i="23" s="1"/>
  <c r="M41" i="23" s="1"/>
  <c r="K39" i="22"/>
  <c r="L39" i="22" s="1"/>
  <c r="M39" i="22" s="1"/>
  <c r="K23" i="22"/>
  <c r="L23" i="22" s="1"/>
  <c r="M23" i="22" s="1"/>
  <c r="K7" i="22"/>
  <c r="L7" i="22" s="1"/>
  <c r="M7" i="22" s="1"/>
  <c r="K21" i="15"/>
  <c r="L21" i="15" s="1"/>
  <c r="M21" i="15" s="1"/>
  <c r="K5" i="15"/>
  <c r="L5" i="15" s="1"/>
  <c r="M5" i="15" s="1"/>
  <c r="K13" i="23"/>
  <c r="L13" i="23" s="1"/>
  <c r="M13" i="23" s="1"/>
  <c r="K50" i="15"/>
  <c r="L50" i="15" s="1"/>
  <c r="M50" i="15" s="1"/>
  <c r="K43" i="24"/>
  <c r="L43" i="24" s="1"/>
  <c r="M43" i="24" s="1"/>
  <c r="K27" i="24"/>
  <c r="L27" i="24" s="1"/>
  <c r="M27" i="24" s="1"/>
  <c r="K11" i="24"/>
  <c r="L11" i="24" s="1"/>
  <c r="M11" i="24" s="1"/>
  <c r="K46" i="23"/>
  <c r="L46" i="23" s="1"/>
  <c r="M46" i="23" s="1"/>
  <c r="K44" i="22"/>
  <c r="L44" i="22" s="1"/>
  <c r="M44" i="22" s="1"/>
  <c r="K28" i="22"/>
  <c r="L28" i="22" s="1"/>
  <c r="M28" i="22" s="1"/>
  <c r="K12" i="22"/>
  <c r="L12" i="22" s="1"/>
  <c r="M12" i="22" s="1"/>
  <c r="K26" i="15"/>
  <c r="L26" i="15" s="1"/>
  <c r="M26" i="15" s="1"/>
  <c r="K10" i="15"/>
  <c r="L10" i="15" s="1"/>
  <c r="M10" i="15" s="1"/>
  <c r="K14" i="23"/>
  <c r="L14" i="23" s="1"/>
  <c r="M14" i="23" s="1"/>
  <c r="K51" i="15"/>
  <c r="L51" i="15" s="1"/>
  <c r="M51" i="15" s="1"/>
  <c r="K44" i="24"/>
  <c r="L44" i="24" s="1"/>
  <c r="M44" i="24" s="1"/>
  <c r="K28" i="24"/>
  <c r="L28" i="24" s="1"/>
  <c r="M28" i="24" s="1"/>
  <c r="K12" i="24"/>
  <c r="L12" i="24" s="1"/>
  <c r="M12" i="24" s="1"/>
  <c r="K47" i="23"/>
  <c r="L47" i="23" s="1"/>
  <c r="M47" i="23" s="1"/>
  <c r="K45" i="22"/>
  <c r="L45" i="22" s="1"/>
  <c r="M45" i="22" s="1"/>
  <c r="K29" i="22"/>
  <c r="L29" i="22" s="1"/>
  <c r="M29" i="22" s="1"/>
  <c r="K13" i="22"/>
  <c r="L13" i="22" s="1"/>
  <c r="M13" i="22" s="1"/>
  <c r="K27" i="15"/>
  <c r="L27" i="15" s="1"/>
  <c r="M27" i="15" s="1"/>
  <c r="K11" i="15"/>
  <c r="L11" i="15" s="1"/>
  <c r="M11" i="15" s="1"/>
  <c r="K31" i="23"/>
  <c r="L31" i="23" s="1"/>
  <c r="M31" i="23" s="1"/>
  <c r="K56" i="15"/>
  <c r="L56" i="15" s="1"/>
  <c r="M56" i="15" s="1"/>
  <c r="K40" i="15"/>
  <c r="L40" i="15" s="1"/>
  <c r="M40" i="15" s="1"/>
  <c r="K33" i="24"/>
  <c r="L33" i="24" s="1"/>
  <c r="M33" i="24" s="1"/>
  <c r="K17" i="24"/>
  <c r="L17" i="24" s="1"/>
  <c r="M17" i="24" s="1"/>
  <c r="K52" i="23"/>
  <c r="L52" i="23" s="1"/>
  <c r="M52" i="23" s="1"/>
  <c r="K50" i="22"/>
  <c r="L50" i="22" s="1"/>
  <c r="M50" i="22" s="1"/>
  <c r="K34" i="22"/>
  <c r="L34" i="22" s="1"/>
  <c r="M34" i="22" s="1"/>
  <c r="K18" i="22"/>
  <c r="L18" i="22" s="1"/>
  <c r="M18" i="22" s="1"/>
  <c r="K32" i="15"/>
  <c r="L32" i="15" s="1"/>
  <c r="M32" i="15" s="1"/>
  <c r="K16" i="15"/>
  <c r="L16" i="15" s="1"/>
  <c r="M16" i="15" s="1"/>
  <c r="K34" i="23"/>
  <c r="L34" i="23" s="1"/>
  <c r="M34" i="23" s="1"/>
  <c r="K57" i="15"/>
  <c r="L57" i="15" s="1"/>
  <c r="M57" i="15" s="1"/>
  <c r="K41" i="15"/>
  <c r="L41" i="15" s="1"/>
  <c r="M41" i="15" s="1"/>
  <c r="K34" i="24"/>
  <c r="L34" i="24" s="1"/>
  <c r="M34" i="24" s="1"/>
  <c r="K18" i="24"/>
  <c r="L18" i="24" s="1"/>
  <c r="M18" i="24" s="1"/>
  <c r="K53" i="23"/>
  <c r="L53" i="23" s="1"/>
  <c r="M53" i="23" s="1"/>
  <c r="K51" i="22"/>
  <c r="L51" i="22" s="1"/>
  <c r="M51" i="22" s="1"/>
  <c r="K35" i="22"/>
  <c r="L35" i="22" s="1"/>
  <c r="M35" i="22" s="1"/>
  <c r="K19" i="22"/>
  <c r="L19" i="22" s="1"/>
  <c r="M19" i="22" s="1"/>
  <c r="K3" i="22"/>
  <c r="L3" i="22" s="1"/>
  <c r="M3" i="22" s="1"/>
  <c r="K17" i="15"/>
  <c r="L17" i="15" s="1"/>
  <c r="M17" i="15" s="1"/>
  <c r="H2" i="28" l="1"/>
  <c r="I2" i="29" s="1"/>
  <c r="I3" i="29" s="1"/>
  <c r="I2" i="15"/>
  <c r="F23" i="21" s="1"/>
  <c r="D29" i="21"/>
  <c r="E24" i="21"/>
  <c r="E29" i="21" s="1"/>
  <c r="M2" i="22"/>
  <c r="M2" i="23"/>
  <c r="M2" i="24"/>
  <c r="F22" i="21" l="1"/>
  <c r="F25" i="21"/>
  <c r="I22" i="21"/>
  <c r="B11" i="21" s="1"/>
  <c r="C11" i="21" s="1"/>
  <c r="F26" i="21"/>
  <c r="F28" i="21"/>
  <c r="F24" i="21"/>
  <c r="F27" i="21"/>
  <c r="L2" i="22"/>
  <c r="M33" i="15"/>
  <c r="L2" i="24"/>
  <c r="M35" i="15"/>
  <c r="L2" i="23"/>
  <c r="M34" i="15"/>
  <c r="D14" i="13" l="1"/>
  <c r="D19" i="13" s="1"/>
  <c r="D11" i="21"/>
  <c r="E6" i="25" s="1"/>
  <c r="E11" i="21"/>
  <c r="M2" i="15"/>
  <c r="L2" i="15" s="1"/>
  <c r="D15" i="13" l="1"/>
  <c r="E4" i="25"/>
  <c r="E6" i="26"/>
  <c r="C58" i="26" s="1"/>
  <c r="C11" i="25"/>
  <c r="F25" i="26"/>
  <c r="I58" i="26" s="1"/>
  <c r="F24" i="26"/>
  <c r="H58" i="26" s="1"/>
  <c r="E16" i="26"/>
  <c r="E19" i="26" s="1"/>
  <c r="E11" i="26"/>
  <c r="D58" i="26" s="1"/>
  <c r="E17" i="26"/>
  <c r="G58" i="26" s="1"/>
  <c r="E5" i="26"/>
  <c r="B58" i="26" s="1"/>
  <c r="E7" i="26"/>
  <c r="E15" i="26"/>
  <c r="E58" i="26" s="1"/>
  <c r="E5" i="25"/>
  <c r="B12" i="21"/>
  <c r="B17" i="21"/>
  <c r="B18" i="21"/>
  <c r="B6" i="21"/>
  <c r="B7" i="21"/>
  <c r="B13" i="21"/>
  <c r="B15" i="21"/>
  <c r="B8" i="21"/>
  <c r="B4" i="21"/>
  <c r="B9" i="21"/>
  <c r="B16" i="21"/>
  <c r="B14" i="21"/>
  <c r="B5" i="21"/>
  <c r="B10" i="21"/>
  <c r="F58" i="26" l="1"/>
  <c r="E20" i="26"/>
  <c r="E18" i="26"/>
  <c r="E9" i="21"/>
  <c r="D9" i="21"/>
  <c r="C9" i="21"/>
  <c r="C5" i="21"/>
  <c r="E5" i="21"/>
  <c r="D5" i="21"/>
  <c r="E16" i="21"/>
  <c r="D16" i="21"/>
  <c r="C16" i="21"/>
  <c r="D4" i="21"/>
  <c r="E4" i="21"/>
  <c r="C4" i="21"/>
  <c r="E15" i="21"/>
  <c r="D15" i="21"/>
  <c r="C15" i="21"/>
  <c r="D7" i="21"/>
  <c r="C7" i="21"/>
  <c r="E7" i="21"/>
  <c r="D18" i="21"/>
  <c r="E18" i="21"/>
  <c r="F14" i="13"/>
  <c r="C18" i="21"/>
  <c r="C12" i="21"/>
  <c r="E12" i="21"/>
  <c r="D12" i="21"/>
  <c r="D10" i="21"/>
  <c r="C10" i="21"/>
  <c r="E10" i="21"/>
  <c r="D14" i="21"/>
  <c r="C14" i="21"/>
  <c r="E14" i="13"/>
  <c r="E14" i="21"/>
  <c r="D8" i="21"/>
  <c r="E8" i="21"/>
  <c r="C8" i="21"/>
  <c r="C14" i="13"/>
  <c r="E13" i="21"/>
  <c r="D13" i="21"/>
  <c r="C13" i="21"/>
  <c r="C6" i="21"/>
  <c r="E6" i="21"/>
  <c r="D6" i="21"/>
  <c r="E17" i="21"/>
  <c r="D17" i="21"/>
  <c r="C17" i="21"/>
  <c r="E25" i="26" l="1"/>
  <c r="I57" i="26" s="1"/>
  <c r="E24" i="26"/>
  <c r="H57" i="26" s="1"/>
  <c r="D6" i="26"/>
  <c r="C57" i="26" s="1"/>
  <c r="D5" i="26"/>
  <c r="B57" i="26" s="1"/>
  <c r="D17" i="26"/>
  <c r="D15" i="26"/>
  <c r="D18" i="26" s="1"/>
  <c r="D4" i="25"/>
  <c r="D6" i="25"/>
  <c r="D16" i="26"/>
  <c r="D11" i="26"/>
  <c r="D57" i="26" s="1"/>
  <c r="D7" i="26"/>
  <c r="D5" i="25"/>
  <c r="B11" i="25"/>
  <c r="E19" i="13"/>
  <c r="E15" i="13"/>
  <c r="F7" i="26"/>
  <c r="F5" i="25"/>
  <c r="G25" i="26"/>
  <c r="I59" i="26" s="1"/>
  <c r="G24" i="26"/>
  <c r="H59" i="26" s="1"/>
  <c r="F17" i="26"/>
  <c r="F16" i="26"/>
  <c r="F11" i="26"/>
  <c r="D59" i="26" s="1"/>
  <c r="F4" i="25"/>
  <c r="F6" i="25"/>
  <c r="F5" i="26"/>
  <c r="B59" i="26" s="1"/>
  <c r="F15" i="26"/>
  <c r="D11" i="25"/>
  <c r="F6" i="26"/>
  <c r="C59" i="26" s="1"/>
  <c r="F19" i="13"/>
  <c r="F15" i="13"/>
  <c r="G6" i="26"/>
  <c r="C60" i="26" s="1"/>
  <c r="G5" i="26"/>
  <c r="B60" i="26" s="1"/>
  <c r="G4" i="25"/>
  <c r="G6" i="25"/>
  <c r="G16" i="26"/>
  <c r="G11" i="26"/>
  <c r="D60" i="26" s="1"/>
  <c r="G7" i="26"/>
  <c r="H25" i="26"/>
  <c r="I60" i="26" s="1"/>
  <c r="H24" i="26"/>
  <c r="H60" i="26" s="1"/>
  <c r="G17" i="26"/>
  <c r="G5" i="25"/>
  <c r="E11" i="25"/>
  <c r="G15" i="26"/>
  <c r="C15" i="13"/>
  <c r="C19" i="13"/>
  <c r="G18" i="26" l="1"/>
  <c r="E60" i="26"/>
  <c r="F60" i="26"/>
  <c r="G19" i="26"/>
  <c r="F59" i="26"/>
  <c r="F19" i="26"/>
  <c r="D19" i="26"/>
  <c r="F57" i="26"/>
  <c r="G57" i="26"/>
  <c r="D20" i="26"/>
  <c r="G60" i="26"/>
  <c r="G20" i="26"/>
  <c r="F18" i="26"/>
  <c r="E59" i="26"/>
  <c r="F20" i="26"/>
  <c r="G59" i="26"/>
  <c r="E57" i="26"/>
</calcChain>
</file>

<file path=xl/sharedStrings.xml><?xml version="1.0" encoding="utf-8"?>
<sst xmlns="http://schemas.openxmlformats.org/spreadsheetml/2006/main" count="623" uniqueCount="504">
  <si>
    <t>PSP Nr.</t>
  </si>
  <si>
    <t>Projektphase</t>
  </si>
  <si>
    <t>Arbeitspaket (TopLevel)</t>
  </si>
  <si>
    <t>Grobplanung</t>
  </si>
  <si>
    <t>Detailplanung</t>
  </si>
  <si>
    <t>Umsetzung</t>
  </si>
  <si>
    <t>Stabilisierung</t>
  </si>
  <si>
    <t>Installation / Rollout</t>
  </si>
  <si>
    <t>Zeitplanung (PAP)</t>
  </si>
  <si>
    <t>Arbeitspakete definieren (PSP)</t>
  </si>
  <si>
    <t>Risikoanalyse</t>
  </si>
  <si>
    <t>optional: Feasibility Study</t>
  </si>
  <si>
    <t>optional: Prototyp umsetzen</t>
  </si>
  <si>
    <t>Schaltungsdesign</t>
  </si>
  <si>
    <t>Simulation</t>
  </si>
  <si>
    <t>Print Erstellung</t>
  </si>
  <si>
    <t>Prototyp-Aufbau</t>
  </si>
  <si>
    <t>Messungen / Versuche</t>
  </si>
  <si>
    <t>Golden Device</t>
  </si>
  <si>
    <t>Projektmanagementprozess aufsetzen (Modellauswahl)</t>
  </si>
  <si>
    <t>Projektcontrollingstruktur und Team-Reviewmeetings aufsetzen</t>
  </si>
  <si>
    <t>Entwicklungsumgbung aufsetzen (für Hardware- / Software-Entwicklung, z.B. Visual Studio, Eclipse)</t>
  </si>
  <si>
    <t>Begleitendes Projektmanagement &amp; Controlling</t>
  </si>
  <si>
    <t>Hardwareentwicklung (Summe Detailblatt)</t>
  </si>
  <si>
    <t>Softwareentwicklung (Summe Detailblatt)</t>
  </si>
  <si>
    <t>Reviews des Gesamtsystems</t>
  </si>
  <si>
    <t>P</t>
  </si>
  <si>
    <t>optional: Prüfung von Fördermöglichkeiten und wenn möglich einreichen eines Förderantrags</t>
  </si>
  <si>
    <t>Aufwandschätzung / Kostenschätzung / Ressorcenschätzung</t>
  </si>
  <si>
    <t>Angebotslegung (extern / intern je nach Projektart)</t>
  </si>
  <si>
    <t>Team zusammenstellen, Rollen zuteilen, Ressourcenaufteilung</t>
  </si>
  <si>
    <t>Terminplanung / Projektkalender erstellen</t>
  </si>
  <si>
    <t>Bisherige Projekplanung reviewen und aktualisieren</t>
  </si>
  <si>
    <t>Fertigstellung technische Dokumentation</t>
  </si>
  <si>
    <t>Benutzerhandbuch erstellen</t>
  </si>
  <si>
    <t>Auslieferung</t>
  </si>
  <si>
    <t>Vertragsgestalung für Wartung</t>
  </si>
  <si>
    <t>1.1</t>
  </si>
  <si>
    <t>1.2</t>
  </si>
  <si>
    <t>1.3</t>
  </si>
  <si>
    <t>1.4</t>
  </si>
  <si>
    <t>1.5</t>
  </si>
  <si>
    <t>1.6</t>
  </si>
  <si>
    <t>1.7</t>
  </si>
  <si>
    <t>1.8</t>
  </si>
  <si>
    <t>1.9</t>
  </si>
  <si>
    <t>2.1</t>
  </si>
  <si>
    <t>2.2</t>
  </si>
  <si>
    <t>2.3</t>
  </si>
  <si>
    <t>2.4</t>
  </si>
  <si>
    <t>2.5</t>
  </si>
  <si>
    <t>2.6</t>
  </si>
  <si>
    <t>2.7</t>
  </si>
  <si>
    <t>3.1</t>
  </si>
  <si>
    <t>3.2</t>
  </si>
  <si>
    <t>3.3</t>
  </si>
  <si>
    <t>3.4</t>
  </si>
  <si>
    <t>3.5</t>
  </si>
  <si>
    <t>3.6</t>
  </si>
  <si>
    <t>3.7</t>
  </si>
  <si>
    <t>4.1</t>
  </si>
  <si>
    <t>5.1</t>
  </si>
  <si>
    <t>4.2</t>
  </si>
  <si>
    <t>5.2</t>
  </si>
  <si>
    <t>Angebote einholen</t>
  </si>
  <si>
    <t>Spezifikation der Anforderungen</t>
  </si>
  <si>
    <t>Hardware assemblieren und konfigurieren</t>
  </si>
  <si>
    <t>Infrastruktur</t>
  </si>
  <si>
    <t>Webserver einrichten</t>
  </si>
  <si>
    <t>Datenbank(server) einrichten</t>
  </si>
  <si>
    <t>Security</t>
  </si>
  <si>
    <t>Rightsmanagement / Authorization / Authentication</t>
  </si>
  <si>
    <t>Verkabelung, Wireless, etc.</t>
  </si>
  <si>
    <t>2.2.1</t>
  </si>
  <si>
    <t>2.2.2</t>
  </si>
  <si>
    <t>Schnittstellen definieren</t>
  </si>
  <si>
    <t>Systemintegration &amp; Systemumfeld definieren bzw. abgrenzen</t>
  </si>
  <si>
    <t>Installationstests</t>
  </si>
  <si>
    <t>User Acceptance Test (am Testsystem)</t>
  </si>
  <si>
    <t>User Acceptance Test (am Produktionssystem)</t>
  </si>
  <si>
    <t>Endabnahme</t>
  </si>
  <si>
    <t>5.3</t>
  </si>
  <si>
    <t>5.4</t>
  </si>
  <si>
    <t>4.3</t>
  </si>
  <si>
    <t>4.4</t>
  </si>
  <si>
    <t>Sub-Pakete</t>
  </si>
  <si>
    <t>Varianz</t>
  </si>
  <si>
    <t>Günstigster Fall (h)</t>
  </si>
  <si>
    <t>Schlechtester Fall (h)</t>
  </si>
  <si>
    <t>Annahmen, Überlegungen und Diskussionen aus den Schätzmeetings</t>
  </si>
  <si>
    <t>Erwarteter Fall  PERT (h)</t>
  </si>
  <si>
    <t>opt.: Prototyp</t>
  </si>
  <si>
    <t>Divisor für diese einzelne Schätzung</t>
  </si>
  <si>
    <t>Prozentsatz in den die tatsächlichen, einzelnen Ergebnisse innerhalb der geschätzen Bereiche fallen</t>
  </si>
  <si>
    <t>Divisor</t>
  </si>
  <si>
    <t>Wahrscheinlichster Fall (h)</t>
  </si>
  <si>
    <t>p(mit.)</t>
  </si>
  <si>
    <t>Std. Abweichung (h)</t>
  </si>
  <si>
    <t>Prozent Konfidenzintervall der Aufwandschätzung</t>
  </si>
  <si>
    <t>% Konfidenz</t>
  </si>
  <si>
    <t>Gesamtaufwand (h)</t>
  </si>
  <si>
    <t>Gesamtaufwand (Tage)</t>
  </si>
  <si>
    <t>Stunden pro Tag</t>
  </si>
  <si>
    <t>Unternehmensparameter</t>
  </si>
  <si>
    <t>Kalkulation</t>
  </si>
  <si>
    <t>Kostensätze</t>
  </si>
  <si>
    <t>Stundensatz (EUR)</t>
  </si>
  <si>
    <t>Tagsatzsatz (EUR)</t>
  </si>
  <si>
    <t>Zusatzkosten 1 (EUR)</t>
  </si>
  <si>
    <t>Zusatzkosten 2 (EUR)</t>
  </si>
  <si>
    <t>Gesamtkosten (EUR)</t>
  </si>
  <si>
    <t>Grobdefinition (Grundsätzliche Analyse)</t>
  </si>
  <si>
    <t>Rechtliches zur Gestaltung der Projektkooperation (Vertragsgestaltung)</t>
  </si>
  <si>
    <t>Vertragsverhandlung &amp; -abschluss</t>
  </si>
  <si>
    <t>Feinspezifikation (Pflichtenheft, Systemarchitektur und -design)</t>
  </si>
  <si>
    <t>Change Management aufsetzen</t>
  </si>
  <si>
    <t>Versionierungsmanagement-Prozess einrichten (Code Management, z.B. MS Teamserver, Source Safe, CVS, etc. und Dokumentenablage)</t>
  </si>
  <si>
    <t xml:space="preserve">laufende Teammeetings (z.B. SCRUM) </t>
  </si>
  <si>
    <t>Betriebssysteminstallation</t>
  </si>
  <si>
    <t>H1</t>
  </si>
  <si>
    <t>H1.1</t>
  </si>
  <si>
    <t>H1.2</t>
  </si>
  <si>
    <t>H1.3</t>
  </si>
  <si>
    <t>H1.4</t>
  </si>
  <si>
    <t>H1.5</t>
  </si>
  <si>
    <t>H1.6</t>
  </si>
  <si>
    <t>H2</t>
  </si>
  <si>
    <t>H2.1</t>
  </si>
  <si>
    <t>H2.2</t>
  </si>
  <si>
    <t>HP</t>
  </si>
  <si>
    <t>H3</t>
  </si>
  <si>
    <t>H3.1</t>
  </si>
  <si>
    <t>Elektronik-entwicklung</t>
  </si>
  <si>
    <t>Computer-anlagen</t>
  </si>
  <si>
    <t>Sonstiges (Projekt-spezifisch)</t>
  </si>
  <si>
    <t>H3.2</t>
  </si>
  <si>
    <t>H3.3</t>
  </si>
  <si>
    <t>H3.4</t>
  </si>
  <si>
    <t>H3.5</t>
  </si>
  <si>
    <t>H4</t>
  </si>
  <si>
    <t>anderes Blatt</t>
  </si>
  <si>
    <t>S1</t>
  </si>
  <si>
    <t>S1.1</t>
  </si>
  <si>
    <t>S1.2</t>
  </si>
  <si>
    <t>S1.3</t>
  </si>
  <si>
    <t>S1.4</t>
  </si>
  <si>
    <t>S1.5</t>
  </si>
  <si>
    <t>S2</t>
  </si>
  <si>
    <t>S2.1</t>
  </si>
  <si>
    <t>S2.2</t>
  </si>
  <si>
    <t>S2.3</t>
  </si>
  <si>
    <t>S2.4</t>
  </si>
  <si>
    <t>S2.5</t>
  </si>
  <si>
    <t>S3</t>
  </si>
  <si>
    <t>S4</t>
  </si>
  <si>
    <t>S5</t>
  </si>
  <si>
    <t>S6</t>
  </si>
  <si>
    <t>Testing</t>
  </si>
  <si>
    <t>3.8</t>
  </si>
  <si>
    <t>Standardsoftware (Summe Detailblatt)</t>
  </si>
  <si>
    <t>C1</t>
  </si>
  <si>
    <t>C1.1</t>
  </si>
  <si>
    <t>Software-Zukauf</t>
  </si>
  <si>
    <t>Analyse geeigneter Systeme</t>
  </si>
  <si>
    <t>Kostenvergleich</t>
  </si>
  <si>
    <t>Analyse Demo- oder Testinstallation</t>
  </si>
  <si>
    <t>Lizenzvertrags-Gestaltung</t>
  </si>
  <si>
    <t>Analyseworkshops</t>
  </si>
  <si>
    <t>Ausschreibungsdesign</t>
  </si>
  <si>
    <t>C2</t>
  </si>
  <si>
    <t>Customizing</t>
  </si>
  <si>
    <t>C1.2</t>
  </si>
  <si>
    <t>C1.3</t>
  </si>
  <si>
    <t>C1.4</t>
  </si>
  <si>
    <t>C1.5</t>
  </si>
  <si>
    <t>C1.6</t>
  </si>
  <si>
    <t>C2.1</t>
  </si>
  <si>
    <t>Trainings</t>
  </si>
  <si>
    <t>Umsetzung der Anforderungen (ev. Software-Karteiblatt dazu verwenden!)</t>
  </si>
  <si>
    <t>C3</t>
  </si>
  <si>
    <t>Geschäftsprozess-Analyse</t>
  </si>
  <si>
    <t>Dokumentation</t>
  </si>
  <si>
    <t>Modellierung</t>
  </si>
  <si>
    <t>Präsentation der Ergebnisse</t>
  </si>
  <si>
    <t>C3.1</t>
  </si>
  <si>
    <t>C3.2</t>
  </si>
  <si>
    <t>C3.3</t>
  </si>
  <si>
    <t>C3.4</t>
  </si>
  <si>
    <t>C3.5</t>
  </si>
  <si>
    <t>C4</t>
  </si>
  <si>
    <t>Organisations-beratung</t>
  </si>
  <si>
    <t>Analyse der Organisatorischen Strukturen</t>
  </si>
  <si>
    <t>Änderungsdesign</t>
  </si>
  <si>
    <t>Änderungsmanagement</t>
  </si>
  <si>
    <t>Teammeetings</t>
  </si>
  <si>
    <t>Workshops</t>
  </si>
  <si>
    <t>C4.1</t>
  </si>
  <si>
    <t>C4.2</t>
  </si>
  <si>
    <t>C4.3</t>
  </si>
  <si>
    <t>C4.4</t>
  </si>
  <si>
    <t>C4.5</t>
  </si>
  <si>
    <t>Testen</t>
  </si>
  <si>
    <t>H3.6</t>
  </si>
  <si>
    <t>H2.3</t>
  </si>
  <si>
    <t>H2.4</t>
  </si>
  <si>
    <t>H2.5</t>
  </si>
  <si>
    <t>H1.7</t>
  </si>
  <si>
    <t>Stunden pro Personentag</t>
  </si>
  <si>
    <t>Aufwand (Personenstunden)</t>
  </si>
  <si>
    <t>Stunden pro Monat</t>
  </si>
  <si>
    <t>Stunden pro Jahr</t>
  </si>
  <si>
    <t>Summe max. Arbeitstage</t>
  </si>
  <si>
    <t>Summe max. Arbeitsstunden</t>
  </si>
  <si>
    <t>Aufwand (Personentage brutto)</t>
  </si>
  <si>
    <t>Aufwand (Personenmonate brutto)</t>
  </si>
  <si>
    <t>Aufwand (Personenjahre brutto)</t>
  </si>
  <si>
    <t>brutto-Wert (ohne: Urlaub, Feiertage, Krankheit)</t>
  </si>
  <si>
    <t>Umrechnung</t>
  </si>
  <si>
    <t>Brutto Umrechnungswerte für Stundeneinheiten im Unternehmen</t>
  </si>
  <si>
    <t>Projektdauer-Prognose</t>
  </si>
  <si>
    <t>netto-Wert (siehe eigene Berechnung)</t>
  </si>
  <si>
    <t>Netto Detailwerte in österreichischen Unternehmen</t>
  </si>
  <si>
    <t>Tage pro Jahr</t>
  </si>
  <si>
    <t>Wochenenden (Sa, So)</t>
  </si>
  <si>
    <t>Krankheit und Sonstiges</t>
  </si>
  <si>
    <t>Annahme 1: ohne Überstunden!</t>
  </si>
  <si>
    <t>Annahme 2: Fortbildung innerhalb der Projektzeit!</t>
  </si>
  <si>
    <t>Dauer (Monate) 25% Konfidenz</t>
  </si>
  <si>
    <t>Dauer (Monate) 75% Konfidenz</t>
  </si>
  <si>
    <t>Dauer (Monate) 50% Konfidenz</t>
  </si>
  <si>
    <t>Dauer (Monate) 98% Konfidenz</t>
  </si>
  <si>
    <t>Ressourcen-Schätzung</t>
  </si>
  <si>
    <t>Multiplikator</t>
  </si>
  <si>
    <t>Exponent</t>
  </si>
  <si>
    <t xml:space="preserve">Projektdauer </t>
  </si>
  <si>
    <t>Projektdauer (Multiplikator aus historischen Daten im Bereich 2,0 bis 4,0 selbst ermittlen und eintragen!)</t>
  </si>
  <si>
    <t>Dauer Historisch</t>
  </si>
  <si>
    <t>Aufwand Historisch</t>
  </si>
  <si>
    <t>Projektdauer (kleine Projekte)</t>
  </si>
  <si>
    <t>Projektdauer (mittlere bis große Projekte &gt; 50 Personenmonate)</t>
  </si>
  <si>
    <t>Kostenoptimale Dauer nach Boehm (COCOMO): Dauer (Monate) = Multiplikator x PersonenMonate ^(Exponent)</t>
  </si>
  <si>
    <t>Optimale Dauer (einfache Projekte)</t>
  </si>
  <si>
    <t>Optimale Dauer (mittlere Projekte)</t>
  </si>
  <si>
    <t>Optimale Dauer (komplexe Projekte)</t>
  </si>
  <si>
    <t>NV</t>
  </si>
  <si>
    <t>Minimale Dauer  75% (einfache Projekte)</t>
  </si>
  <si>
    <t>Minimale Dauer 75% (mittlere Projekte)</t>
  </si>
  <si>
    <t>Minimale Dauer 75% (komplexe Projekte)</t>
  </si>
  <si>
    <t>Optimale Mitarbeiter-Anzahl nach Boehm (COCOMO): MA = Multiplikator x PersonenMonate ^(Exponent)</t>
  </si>
  <si>
    <t>Optimale Mitarbeiteranzahl (einfache Projekte)</t>
  </si>
  <si>
    <t>Optimale Mitarbeiteranzahl (mittlere Projekte)</t>
  </si>
  <si>
    <t>Optimale Mitarbeiteranzahl (komplexe Projekte)</t>
  </si>
  <si>
    <t>Achtung: Diese Formeln sind auf Personenmonate zu je 152 Arbeitsstunden abgeglichen!</t>
  </si>
  <si>
    <t>Daumen-mal-Pi Formel für die Mitarbeiteranzahl: MA = PM^(1/2)</t>
  </si>
  <si>
    <t>Reale netto-Umrechnungswerte für Stundeneinheiten im Unternehmen</t>
  </si>
  <si>
    <t>Mitarbeiteranzahl-Prognose</t>
  </si>
  <si>
    <t>grobe Projektdauer-Prognose</t>
  </si>
  <si>
    <r>
      <t xml:space="preserve">Daumen-mal-Pi Formel </t>
    </r>
    <r>
      <rPr>
        <sz val="10"/>
        <rFont val="Arial"/>
        <family val="2"/>
      </rPr>
      <t xml:space="preserve">für die Projektdauer: </t>
    </r>
    <r>
      <rPr>
        <b/>
        <sz val="10"/>
        <rFont val="Arial"/>
        <family val="2"/>
      </rPr>
      <t>Dauer (Monate) = Personenmonate ^(1/2)</t>
    </r>
  </si>
  <si>
    <r>
      <t xml:space="preserve">Dauer nach McConnell </t>
    </r>
    <r>
      <rPr>
        <sz val="10"/>
        <rFont val="Arial"/>
        <family val="2"/>
      </rPr>
      <t xml:space="preserve">für mittlere bis große Projekte: </t>
    </r>
    <r>
      <rPr>
        <b/>
        <sz val="10"/>
        <rFont val="Arial"/>
        <family val="2"/>
      </rPr>
      <t>Dauer (Monate) = Multiplikator x PersonenMonate ^(Exponent)</t>
    </r>
  </si>
  <si>
    <r>
      <t>Dauer nach Roetzheim</t>
    </r>
    <r>
      <rPr>
        <sz val="10"/>
        <rFont val="Arial"/>
        <family val="2"/>
      </rPr>
      <t xml:space="preserve"> für mittlere bis große Projekte: </t>
    </r>
    <r>
      <rPr>
        <b/>
        <sz val="10"/>
        <rFont val="Arial"/>
        <family val="2"/>
      </rPr>
      <t>Dauer (Monate) = DauerHistorisch x (PersonenMonate / AufwandHistorisch) ^(Exponent)</t>
    </r>
  </si>
  <si>
    <t>Anmerkung1: Umrechnungsfaktor "Stunden pro Tag" gilt für die Kostenrechnung, nicht für die Ressourcen!</t>
  </si>
  <si>
    <t>Anmerkung2: Der Tagsatz bzw. Stundensatz enthält auch den Gemeinkostenanteil des Unternehmens!</t>
  </si>
  <si>
    <t>25% Konfidenz</t>
  </si>
  <si>
    <t>50% Konfidenz</t>
  </si>
  <si>
    <t>75% Konfidenz</t>
  </si>
  <si>
    <t>98% Konfidenz</t>
  </si>
  <si>
    <t>Zone des Unmöglichen (Minimale Dauer)</t>
  </si>
  <si>
    <t>Nicht für Angebot geeignet - nur für den internen Gebrauch!</t>
  </si>
  <si>
    <t>Bestenfalls bei strategischem Projekt als Angebot verwendbar.</t>
  </si>
  <si>
    <t>Bei gut bekannten Projekttypen für Angebot einsetzbar.</t>
  </si>
  <si>
    <t>Gut als Basis für Angebot einsetzbar.</t>
  </si>
  <si>
    <t>Bemerkung zum Ergebnis</t>
  </si>
  <si>
    <t>Frage Nr.</t>
  </si>
  <si>
    <t>Risikogruppe</t>
  </si>
  <si>
    <t>nein=0    ja=1 teilweise=0,1..0,9 weiß nicht=2 unzutreffend=3</t>
  </si>
  <si>
    <t>W</t>
  </si>
  <si>
    <t>Gewichtung</t>
  </si>
  <si>
    <t>Wert</t>
  </si>
  <si>
    <t>Unsicherheit</t>
  </si>
  <si>
    <t>Uzutreffend</t>
  </si>
  <si>
    <t>Kommentar</t>
  </si>
  <si>
    <t>System-Spezifikation</t>
  </si>
  <si>
    <t>Wurde ein situationsadäquates Pflichtenheft erstellt? (nur 0/1/2/3)</t>
  </si>
  <si>
    <t>wenn nicht (0):</t>
  </si>
  <si>
    <t xml:space="preserve">   - Wurde ein Analysedokument (Visiondokument) auf Basis eines Workshops mit dem Kunden erstellt?</t>
  </si>
  <si>
    <t xml:space="preserve">   - Wurden Projektziele und Abnahmebedingungen festgelegt bzw. lassen sich diese definieren?</t>
  </si>
  <si>
    <t xml:space="preserve">   - Ist die Erfüllung der Ziele möglichst objektiv messbar?</t>
  </si>
  <si>
    <t xml:space="preserve">   - Ist eine detaillierte Spezifikation grundsätzlich möglich (also KEIN evolutionäres / "Feuerlösch"-Projekt)?</t>
  </si>
  <si>
    <t xml:space="preserve">   - Sind Ressourcen für die Erstellung einer detaillierten Spezifikation vorhanden (Zeit, Budget)?</t>
  </si>
  <si>
    <t>Wurden Mitarbeiter des Kunden in den Analyse- / Spezifikationsprozess situationsadäquat eingebunden?</t>
  </si>
  <si>
    <t>Wurden Analysedokument / Spezifikation und Systemgrenzen (Scope) reviewt (eigenes Team und Kunde)?</t>
  </si>
  <si>
    <t>Projektstruktur- und Projektablaufplanung</t>
  </si>
  <si>
    <t>5</t>
  </si>
  <si>
    <t>Wurden die Use-Cases und Geschäftsprozesse der zu entwickelnden Lösung analysiert und definiert?</t>
  </si>
  <si>
    <t>6</t>
  </si>
  <si>
    <t>Wurden diese Use-Cases und Geschäftsprozesse mit dem Kunden gemeinsam entwickelt oder reviewt?</t>
  </si>
  <si>
    <t>7</t>
  </si>
  <si>
    <t>Wurden sinnvolle Arbeitspakete (auf Basis der Use-Case- und Geschäftsprozessanalyse) definiert? (nur 0/1/2/3)</t>
  </si>
  <si>
    <t>wenn ja (1):</t>
  </si>
  <si>
    <t>7.1</t>
  </si>
  <si>
    <t xml:space="preserve">   - Wurde jedes Arbeitspaket auf Realisierbarkeit geprüft (technisch und organisatorisch)?</t>
  </si>
  <si>
    <t>7.2</t>
  </si>
  <si>
    <t xml:space="preserve">   - Wurde die Aufwandschätzung auf Basis dieser Arbeitspakete durchgeführt (z.B. Broadband Delphi)?</t>
  </si>
  <si>
    <t>8</t>
  </si>
  <si>
    <t>Wurde eine Projektstrukturplanung (PSP) durchgeführt (Projektphasen, Organisationsgruppen)?</t>
  </si>
  <si>
    <t>9</t>
  </si>
  <si>
    <t>Wurde eine detaillierte Projektablaufplanung (PAP) durchgeführt (Termine, Milestones, Projektplan)?</t>
  </si>
  <si>
    <t>10</t>
  </si>
  <si>
    <t>Wurde bereits einmal ein ähnliches, vergleichbares Projekt abgewickelt (ähnliche Spezifikation)? (nur 0/1/2/3)</t>
  </si>
  <si>
    <t>wenn nein (0):</t>
  </si>
  <si>
    <t>10.1</t>
  </si>
  <si>
    <t xml:space="preserve">    - weiß der Kunde über diesen besonderen Projektcharakter (=Erstmaligkeit, Innovation) bescheid?</t>
  </si>
  <si>
    <t>11</t>
  </si>
  <si>
    <t>Wurde eine detaillierte Ressourcenplanung auf Basis realistischer Daten durchgeführt?</t>
  </si>
  <si>
    <t>Technische Machbarkeit</t>
  </si>
  <si>
    <t>12</t>
  </si>
  <si>
    <t>Ist die Entwicklungsumgebung vorhanden (inkl. Testumgebung, HW / spez.HW)?</t>
  </si>
  <si>
    <t>13</t>
  </si>
  <si>
    <t xml:space="preserve">Ist die Entwicklungsumgebung ausreichend performant und gut erprobt? </t>
  </si>
  <si>
    <t>14</t>
  </si>
  <si>
    <t>Ist die Technologie erprobt und wird vom Hersteller gut unterstützt (Support, Doku, Patches, wenige Bugs)?</t>
  </si>
  <si>
    <t>15</t>
  </si>
  <si>
    <t>Ist eine klare technische Machbarkeit zu erwarten (nicht "riskant" wie Forschungsprojekt, Prototyp, Feasibility)?</t>
  </si>
  <si>
    <t>16</t>
  </si>
  <si>
    <t>Ist die Lösung weitestgehend eigenständig lauffähig (keine Systemintegration, Plugins, Treiber,..)?</t>
  </si>
  <si>
    <t>17</t>
  </si>
  <si>
    <t>Handelt es sich um eine "unbelastete" Neuentwicklung (kein Refactoring, "Feuerlöschen", Bugfixing)?</t>
  </si>
  <si>
    <t>18</t>
  </si>
  <si>
    <t>Keine hardwarenahe Programmierung erforderlich (KEINE Ansteuerung von Hardware, Echtzeit,…).</t>
  </si>
  <si>
    <t>19</t>
  </si>
  <si>
    <t xml:space="preserve">Ist die Datenstruktur klar definierbar oder schon vorhanden, scheint die Datenbankkomponente lösbar? </t>
  </si>
  <si>
    <t>20</t>
  </si>
  <si>
    <t>Sind Installation und Rollout technisch leicht lösbar bzw. nicht komplex?</t>
  </si>
  <si>
    <t>21</t>
  </si>
  <si>
    <t>Die Lösung ist für Standard-PCs/Server (KEINE Mobile-Devices, Embedded Systems, Cluster,…)? (nur 0/1/2/3)</t>
  </si>
  <si>
    <t>21.1</t>
  </si>
  <si>
    <t xml:space="preserve">   - Ist diese Spezialhardware schon vorhanden, bekannt und eine technische Machbarkeit klar zu erwarten?</t>
  </si>
  <si>
    <t>21.2</t>
  </si>
  <si>
    <t xml:space="preserve">   - Ist diese Spezialhardware in ausreichender Anzahl vor Ort im Team vorhanden (auch Test-Ressourcen)?</t>
  </si>
  <si>
    <t>Teamskills und Ressourcen</t>
  </si>
  <si>
    <t>22</t>
  </si>
  <si>
    <t>Hat das Team Skills und Erfahrung in der (Geschäfts-) Prozessanalyse und Spezifikation?</t>
  </si>
  <si>
    <t>23</t>
  </si>
  <si>
    <t>Kennt das Team die Entwicklungsumgebung, Prog.-Sprache, Systemarchitektur und hat Praxiserfahrung damit?</t>
  </si>
  <si>
    <t>24</t>
  </si>
  <si>
    <t>Sind die erforderlichen Development-Methoden, OO-Design, Patterns, (GUI-) Libraries bekannt und erprobt?</t>
  </si>
  <si>
    <t>25</t>
  </si>
  <si>
    <t>Kennen einander die Teammitglieder bereits und können diese gut zusammenarbeiten?</t>
  </si>
  <si>
    <t>26</t>
  </si>
  <si>
    <t>Sind dem Team Configuration-Management-Regeln und einzusetzende Test-Tools bekannt?</t>
  </si>
  <si>
    <t>27</t>
  </si>
  <si>
    <t>Werden coding styleguides und naming conventions Prog.-sprach-abhängig und vereinheitlicht eingesetzt?</t>
  </si>
  <si>
    <t>28</t>
  </si>
  <si>
    <t>Hat das Team Erfahrung mit Projekten dieser Art (technisch und organisatorisch)?</t>
  </si>
  <si>
    <t>29</t>
  </si>
  <si>
    <t>Können fehlende Skills rechtzeitig erworben werden (Trainings, KollegInnen) und ist ein Budget dafür vorhanden?</t>
  </si>
  <si>
    <t>30</t>
  </si>
  <si>
    <t>Sind Personalressourcen ausreichend und rechtzeitig vorhanden (auch beim Kunden)?</t>
  </si>
  <si>
    <t>31</t>
  </si>
  <si>
    <t>Sind die zugeteilten Personalressourcen ausschließlich diesem Projekt zugeordnet?</t>
  </si>
  <si>
    <t>32</t>
  </si>
  <si>
    <t>Sind die dem Projekt zugeteilten Personen vollzeitbeschäftigt (&gt; 35 Stunden pro Woche)?</t>
  </si>
  <si>
    <t>Aufwandschätzung und Zusage eines Angebots</t>
  </si>
  <si>
    <t>33</t>
  </si>
  <si>
    <t>Wurde eine projektadäquate, methodische Aufwandschätzung durchgeführt? (nur 0/1/2/3)</t>
  </si>
  <si>
    <t>33.1</t>
  </si>
  <si>
    <t xml:space="preserve">   - Wurden alle Elemente des Projekts berücksichtigt (PM, Config.-M., Setup erstellen, Doku,Datenimport)?</t>
  </si>
  <si>
    <t>33.2</t>
  </si>
  <si>
    <t xml:space="preserve">   - Wurden dabei Reviews (Code, PM, Schätzung) und Tests explizit als Aufwand bedacht?</t>
  </si>
  <si>
    <t>33.3</t>
  </si>
  <si>
    <t xml:space="preserve">   - Wurde die Schätzung mit verschiedenen Methoden durchgeführt und waren die Ergebnisse ähnlich?</t>
  </si>
  <si>
    <t>33.4</t>
  </si>
  <si>
    <t xml:space="preserve">   - Wenn über die Schätzung verhandelt wurde: nur über Eingabeparameter (nicht über Ergebnis oder Prozess)?</t>
  </si>
  <si>
    <t>33.5</t>
  </si>
  <si>
    <t xml:space="preserve">   - Wurden historische Daten aus dem eigenen Unternehmen / Team verwendet (spezifisch kalibrierte Methode)?</t>
  </si>
  <si>
    <t>33.6</t>
  </si>
  <si>
    <t xml:space="preserve">   - Wurden Kosten für Stabilizing und kleine Changes aufgrund von Missverständnissen berücksichtigt?</t>
  </si>
  <si>
    <t>33.7</t>
  </si>
  <si>
    <t xml:space="preserve">   - Haben Personen, die die eigentliche Arbeit ausführen an der Schätzung mitgearbeitet &amp; steht zum Ergebnis?</t>
  </si>
  <si>
    <t>33.8</t>
  </si>
  <si>
    <t xml:space="preserve">   - Hatten die schätzenden Personen Expertenwissen im Bereich Aufwandschätzung &amp; eingesetzten Methode?</t>
  </si>
  <si>
    <t>33.9</t>
  </si>
  <si>
    <t xml:space="preserve">   - Wurde ein Review der Aufwandsschätzung durchgeführt (z.B. Broadband Delphi, Gruppenschätzung)?</t>
  </si>
  <si>
    <t>33.10</t>
  </si>
  <si>
    <t xml:space="preserve">   - Wurde bei der Aufwandsschätzung das Prinzip "ohne politischen &amp; strategischen Einfluss" angewendet?</t>
  </si>
  <si>
    <t>34</t>
  </si>
  <si>
    <t>Wurde eine fundierte Kosten- und Angebotskalkulation durchgeführt?</t>
  </si>
  <si>
    <t>35</t>
  </si>
  <si>
    <t>Wäre zusätzlicher Aufwand bei unerwarteter Erhöhung verrechenbar (KEIN Fixpreisangebot)?</t>
  </si>
  <si>
    <t>36</t>
  </si>
  <si>
    <t>Projektmanagement</t>
  </si>
  <si>
    <t>37</t>
  </si>
  <si>
    <t>Existiert eine klare Rollenverteilung im eigenen Team und wird diese auch gelebt?</t>
  </si>
  <si>
    <t>38</t>
  </si>
  <si>
    <t>Existieren klare Rollen beim Kunden, sind die zuständigen Personen für Rückfragen erreichbar?</t>
  </si>
  <si>
    <t>39</t>
  </si>
  <si>
    <t>Haben die verantwortlichen Personen auch das Recht Entscheidungen zu treffen?</t>
  </si>
  <si>
    <t>40</t>
  </si>
  <si>
    <t>Können Entscheidungen rechtzeitig getroffen werden und ist dies aufgrund der Organisationsform zu erwarten?</t>
  </si>
  <si>
    <t>41</t>
  </si>
  <si>
    <t>Ist die Rolle des Projektleiters klar definiert und mit den nötigen Rechten ausgestattet?</t>
  </si>
  <si>
    <t>42</t>
  </si>
  <si>
    <t xml:space="preserve">Wird ein projektadäquates, methodisches Projektmanagement-Modell eingesetzt (MSF, RUP, SCRUM, XP,…)? </t>
  </si>
  <si>
    <t>43</t>
  </si>
  <si>
    <t xml:space="preserve">Ist ein Issue- und Change-Management-Prozess etabliert und wird dieser gelebt? </t>
  </si>
  <si>
    <t>44</t>
  </si>
  <si>
    <t>Werden erprobte PM-Tools eingesetzt (für Planung, Kommunikation, Config.Man., Kalkulation, Issues…)?</t>
  </si>
  <si>
    <t>45</t>
  </si>
  <si>
    <t>Ist ein Budget für projektbegleitendes PM und Projekt-Controlling vorhanden?</t>
  </si>
  <si>
    <t>46</t>
  </si>
  <si>
    <t>Kann und wird projektbegleitendes PM und Projekt-Controlling aktiv und regelmäßig betrieben werden?</t>
  </si>
  <si>
    <t>47</t>
  </si>
  <si>
    <t>Kann und wird Projektmarketing sinnvoll projektbegleitend eingesetzt werden?</t>
  </si>
  <si>
    <t>Risikobeherrschung</t>
  </si>
  <si>
    <t>48</t>
  </si>
  <si>
    <t xml:space="preserve">Wurde (am besten vor Auftragsannahme) eine adäquate, nachvollziehbare Risikoanalyse durchgeführt? </t>
  </si>
  <si>
    <t>49</t>
  </si>
  <si>
    <t>Liegen besonders kritische Anforderungen vor ("Sportlicher Terminplan", Komplexität, Normen, Haftung)?</t>
  </si>
  <si>
    <t>50</t>
  </si>
  <si>
    <t>Sind die Skills im Team bezüglich dieses Projektes als "mangelhaft" einzustufen (technisch, fachlich)?</t>
  </si>
  <si>
    <t>51</t>
  </si>
  <si>
    <t xml:space="preserve">Wird besondere HW oder SW benötigt und ist diese noch weitgehend unbekannt / unerprobt? </t>
  </si>
  <si>
    <t>52</t>
  </si>
  <si>
    <t>Werden von diesen Komponenten ausgehende Risiken mit-übernommen (Kunde trägt sie NICHT selbst)?</t>
  </si>
  <si>
    <t>53</t>
  </si>
  <si>
    <t>Wird das Projekt mit Partnern oder externen Consultants abgewickelt? (nur 0/1/2/3)</t>
  </si>
  <si>
    <t>53.1</t>
  </si>
  <si>
    <t xml:space="preserve">   - Ist man auch für deren Leistung direkt verantwortlich (Generalunternehmerschaft)?</t>
  </si>
  <si>
    <t>53.2</t>
  </si>
  <si>
    <t xml:space="preserve">   - Wird erstmals mit diesen Partnern kooperiert und wird diese Kooperation als "riskant" eingeschätzt?</t>
  </si>
  <si>
    <t>53.3</t>
  </si>
  <si>
    <t xml:space="preserve">   - Ist die Rolle / Verantwortung der "Externen" unklar definiert und ist das Projekt von diesen abhängig?</t>
  </si>
  <si>
    <t>54</t>
  </si>
  <si>
    <t>Sind für den Projekterfolg externes Material und / oder externe Daten erforderlich? (nur 0/1/2/3)</t>
  </si>
  <si>
    <t>54.1</t>
  </si>
  <si>
    <t xml:space="preserve">   - Bestehen hierbei bes. Risiken (Termintreue, Qualität, Falschlieferung = nicht das Richtige, Erwartete)? </t>
  </si>
  <si>
    <t>54.2</t>
  </si>
  <si>
    <t xml:space="preserve">   - Haben diese Daten / dieses Material gravierende Auswirkungen auf den Gesamtprojekterfolg? </t>
  </si>
  <si>
    <t>55</t>
  </si>
  <si>
    <t xml:space="preserve">Erfolgt die Projektumsetzung an mehreren Orten oder mittels Teleworking in parallel arbeitenden Teams? </t>
  </si>
  <si>
    <t>56</t>
  </si>
  <si>
    <t>Ist der Fachbereich des Kunden unbekannt bzw. gibt es diesbezüglich spezielle Herausforderungen?</t>
  </si>
  <si>
    <t>57</t>
  </si>
  <si>
    <t>Können durch den Betrieb des zu entwickelnden Systems später gefährliche Folgeschäden entstehen?</t>
  </si>
  <si>
    <t>58</t>
  </si>
  <si>
    <t>Ist man für solche Schäden / Folgeschäden uneingeschränkt haftbar bzw. besteht erhebliche Haftung?</t>
  </si>
  <si>
    <t>59</t>
  </si>
  <si>
    <t>Ist das zu entwickelnde System besonders sicherheitsrelevant oder hoch-verfügbar?</t>
  </si>
  <si>
    <t>60</t>
  </si>
  <si>
    <t>Wird vom Auftraggeber die Kooperation mit bestimmten Dritten gefordert (Webdesigner, Berater, Fachleute,...)?</t>
  </si>
  <si>
    <t>61</t>
  </si>
  <si>
    <t>Sind erhebliche kaufmännische oder juristische Risken bezüglich dieses Projektes vorhanden?</t>
  </si>
  <si>
    <t>62</t>
  </si>
  <si>
    <t>Ist ein aus Auftragnehmersicht "riskanter" Vertrag zu erfüllen (geringe Responsezeit, Pönalen,…)?</t>
  </si>
  <si>
    <t>Unzutreffend</t>
  </si>
  <si>
    <r>
      <t>Ist die prognostizierte Projektdauer &gt; (2,0 x Personenmonate</t>
    </r>
    <r>
      <rPr>
        <vertAlign val="superscript"/>
        <sz val="10"/>
        <rFont val="Arial"/>
        <family val="2"/>
      </rPr>
      <t>1/3</t>
    </r>
    <r>
      <rPr>
        <sz val="10"/>
        <rFont val="Arial"/>
      </rPr>
      <t xml:space="preserve">) - also außerhalb "Zone des Unmöglichen"? </t>
    </r>
  </si>
  <si>
    <t>Verzögerung (in absoluten Tagen)</t>
  </si>
  <si>
    <t>RE (risk exposure) in Tagen</t>
  </si>
  <si>
    <t>RE (risk exposure) in Monaten</t>
  </si>
  <si>
    <t>Wahrscheinlichkeit des Eintretens</t>
  </si>
  <si>
    <t>Puffer einrechnen</t>
  </si>
  <si>
    <t>Prognose: Erwartete Projektdauer-Verlängerung auf Basis der Risikoanalyse (Eintrittswahrscheinlichkeit 50:50)</t>
  </si>
  <si>
    <t>Summe der Risiken (RE erwartet)</t>
  </si>
  <si>
    <t>checked</t>
  </si>
  <si>
    <t>Aufwand Stunden inkl Risiko</t>
  </si>
  <si>
    <t>Anmerkung: Als "besonders gefährlich" wird die Risikogruppe angezeigt, wenn sie einen RE-Wert von mehr als 20% der Gesamtprojektdauer hat)</t>
  </si>
  <si>
    <t>besonders gefährlich!</t>
  </si>
  <si>
    <t>McConnell</t>
  </si>
  <si>
    <t>McConnell historisch</t>
  </si>
  <si>
    <t>Daumen x Pi</t>
  </si>
  <si>
    <t>Boehm klein</t>
  </si>
  <si>
    <t>Boehm mittel</t>
  </si>
  <si>
    <t>Boehm groß</t>
  </si>
  <si>
    <t>Roetzheim klein</t>
  </si>
  <si>
    <t>Roetzheim mittel bis groß</t>
  </si>
  <si>
    <t>Konfidenz</t>
  </si>
  <si>
    <t>Dauer im Vergleich (für die Diagrammdarstellung)</t>
  </si>
  <si>
    <t>10-99,73</t>
  </si>
  <si>
    <t>Urlaub</t>
  </si>
  <si>
    <t>Feiertage</t>
  </si>
  <si>
    <t>Fortbildung</t>
  </si>
  <si>
    <t>Game logic concept</t>
  </si>
  <si>
    <t>Model layer implementation</t>
  </si>
  <si>
    <t>Game start routine</t>
  </si>
  <si>
    <t>Game run implementation</t>
  </si>
  <si>
    <t>Game evaluation routine</t>
  </si>
  <si>
    <t>S7</t>
  </si>
  <si>
    <t>GUI</t>
  </si>
  <si>
    <t>S8</t>
  </si>
  <si>
    <t>github</t>
  </si>
  <si>
    <t>jenkins, cradle</t>
  </si>
  <si>
    <t>structure101, sonarqube</t>
  </si>
  <si>
    <t>Organisation</t>
  </si>
  <si>
    <t>intelliJ project, learn IDE etc.</t>
  </si>
  <si>
    <t>scrumwise, planning etc.</t>
  </si>
  <si>
    <t>basic concepts</t>
  </si>
  <si>
    <t>diagrams and charts</t>
  </si>
  <si>
    <t>basic model classes</t>
  </si>
  <si>
    <t>model class tests</t>
  </si>
  <si>
    <t>develop events</t>
  </si>
  <si>
    <t>adjust tui</t>
  </si>
  <si>
    <t>implement controller</t>
  </si>
  <si>
    <t>grid logic and evaluation</t>
  </si>
  <si>
    <t>develop GUI</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</si>
</sst>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 #,##0.00;[Red]\-&quot;€&quot;\ #,##0.00"/>
    <numFmt numFmtId="165" formatCode="0.0"/>
    <numFmt numFmtId="166" formatCode="0.000"/>
  </numFmts>
  <fonts count="14" x14ac:knownFonts="1">
    <font>
      <sz val="10"/>
      <name val="Arial"/>
    </font>
    <font>
      <sz val="10"/>
      <name val="Arial"/>
    </font>
    <font>
      <b/>
      <sz val="11"/>
      <name val="Arial"/>
      <family val="2"/>
    </font>
    <font>
      <b/>
      <sz val="10"/>
      <name val="Arial"/>
      <family val="2"/>
    </font>
    <font>
      <b/>
      <sz val="11"/>
      <color indexed="48"/>
      <name val="Arial"/>
      <family val="2"/>
    </font>
    <font>
      <b/>
      <sz val="10"/>
      <color indexed="48"/>
      <name val="Arial"/>
      <family val="2"/>
    </font>
    <font>
      <sz val="10"/>
      <name val="Arial"/>
      <family val="2"/>
    </font>
    <font>
      <sz val="8"/>
      <name val="Arial"/>
    </font>
    <font>
      <b/>
      <sz val="10"/>
      <color indexed="10"/>
      <name val="Arial"/>
      <family val="2"/>
    </font>
    <font>
      <sz val="8"/>
      <name val="Tms Rmn"/>
    </font>
    <font>
      <b/>
      <sz val="10"/>
      <name val="Arial"/>
    </font>
    <font>
      <b/>
      <sz val="10"/>
      <color indexed="9"/>
      <name val="Arial"/>
      <family val="2"/>
    </font>
    <font>
      <vertAlign val="superscript"/>
      <sz val="10"/>
      <name val="Arial"/>
      <family val="2"/>
    </font>
    <font>
      <sz val="8"/>
      <name val="Tahoma"/>
      <family val="2"/>
    </font>
  </fonts>
  <fills count="7">
    <fill>
      <patternFill patternType="none"/>
    </fill>
    <fill>
      <patternFill patternType="gray125"/>
    </fill>
    <fill>
      <patternFill patternType="solid">
        <fgColor indexed="48"/>
        <bgColor indexed="64"/>
      </patternFill>
    </fill>
    <fill>
      <patternFill patternType="solid">
        <fgColor indexed="57"/>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0"/>
        <bgColor indexed="64"/>
      </patternFill>
    </fill>
  </fills>
  <borders count="22">
    <border>
      <left/>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9" fontId="1" fillId="0" borderId="0" applyFont="0" applyFill="0" applyBorder="0" applyAlignment="0" applyProtection="0"/>
    <xf numFmtId="0" fontId="1" fillId="0" borderId="0"/>
    <xf numFmtId="0" fontId="1" fillId="0" borderId="0"/>
  </cellStyleXfs>
  <cellXfs count="255">
    <xf numFmtId="0" fontId="0" fillId="0" borderId="0" xfId="0"/>
    <xf numFmtId="0" fontId="0" fillId="0" borderId="0" xfId="0" applyAlignment="1">
      <alignment vertical="top" wrapText="1"/>
    </xf>
    <xf numFmtId="0" fontId="2" fillId="0" borderId="0" xfId="0" applyFont="1" applyBorder="1" applyAlignment="1">
      <alignment horizontal="center" vertical="center" wrapText="1"/>
    </xf>
    <xf numFmtId="0" fontId="3" fillId="0" borderId="0" xfId="0" applyFont="1" applyAlignment="1">
      <alignment vertical="top" wrapText="1"/>
    </xf>
    <xf numFmtId="0" fontId="0" fillId="0" borderId="0" xfId="0" applyAlignment="1">
      <alignment wrapText="1"/>
    </xf>
    <xf numFmtId="0" fontId="5" fillId="0" borderId="0" xfId="0" applyFont="1" applyFill="1" applyBorder="1"/>
    <xf numFmtId="0" fontId="5" fillId="0" borderId="0" xfId="0" applyFont="1" applyAlignment="1">
      <alignment vertical="top" wrapText="1"/>
    </xf>
    <xf numFmtId="0" fontId="3" fillId="0" borderId="0" xfId="0" applyFont="1"/>
    <xf numFmtId="0" fontId="3" fillId="0" borderId="0" xfId="0" applyFont="1" applyFill="1" applyBorder="1"/>
    <xf numFmtId="3" fontId="5" fillId="0" borderId="0" xfId="0" applyNumberFormat="1" applyFont="1" applyFill="1" applyBorder="1"/>
    <xf numFmtId="49" fontId="5" fillId="0" borderId="0" xfId="0" applyNumberFormat="1" applyFont="1" applyAlignment="1">
      <alignment horizontal="center" vertical="top" wrapText="1"/>
    </xf>
    <xf numFmtId="49" fontId="3" fillId="0" borderId="0" xfId="0" applyNumberFormat="1" applyFont="1" applyAlignment="1">
      <alignment horizontal="center" vertical="top" wrapText="1"/>
    </xf>
    <xf numFmtId="49" fontId="6" fillId="0" borderId="0" xfId="0" applyNumberFormat="1" applyFont="1" applyAlignment="1">
      <alignment horizontal="center" vertical="top" wrapText="1"/>
    </xf>
    <xf numFmtId="2" fontId="6" fillId="0" borderId="0" xfId="0" applyNumberFormat="1" applyFont="1"/>
    <xf numFmtId="49" fontId="0" fillId="0" borderId="0" xfId="0" applyNumberFormat="1"/>
    <xf numFmtId="0" fontId="0" fillId="0" borderId="0" xfId="0" applyAlignment="1">
      <alignment horizontal="center" vertical="top" wrapText="1"/>
    </xf>
    <xf numFmtId="2" fontId="0" fillId="0" borderId="0" xfId="0" applyNumberFormat="1" applyAlignment="1">
      <alignment horizontal="center" vertical="top" wrapText="1"/>
    </xf>
    <xf numFmtId="165" fontId="0" fillId="0" borderId="0" xfId="0" applyNumberFormat="1" applyAlignment="1">
      <alignment horizontal="center"/>
    </xf>
    <xf numFmtId="2" fontId="0" fillId="0" borderId="0" xfId="0" applyNumberFormat="1" applyAlignment="1">
      <alignment horizontal="center"/>
    </xf>
    <xf numFmtId="166" fontId="0" fillId="0" borderId="0" xfId="0" applyNumberFormat="1" applyAlignment="1">
      <alignment horizontal="center" vertical="top" wrapText="1"/>
    </xf>
    <xf numFmtId="165" fontId="0" fillId="0" borderId="0" xfId="0" applyNumberFormat="1" applyAlignment="1">
      <alignment horizontal="center" vertical="top" wrapText="1"/>
    </xf>
    <xf numFmtId="165" fontId="4" fillId="0" borderId="0" xfId="0" applyNumberFormat="1" applyFont="1" applyBorder="1" applyAlignment="1">
      <alignment horizontal="center" vertical="center" wrapText="1"/>
    </xf>
    <xf numFmtId="165" fontId="3" fillId="0" borderId="0" xfId="0" applyNumberFormat="1" applyFont="1" applyAlignment="1">
      <alignment horizontal="center" vertical="top" wrapText="1"/>
    </xf>
    <xf numFmtId="2" fontId="3" fillId="0" borderId="0" xfId="0" applyNumberFormat="1" applyFont="1" applyAlignment="1">
      <alignment horizontal="center" vertical="top" wrapText="1"/>
    </xf>
    <xf numFmtId="0" fontId="0" fillId="0" borderId="0" xfId="0" applyAlignment="1">
      <alignment horizontal="center" vertical="center" wrapText="1"/>
    </xf>
    <xf numFmtId="0" fontId="0" fillId="0" borderId="0" xfId="0" applyBorder="1"/>
    <xf numFmtId="0" fontId="0" fillId="0" borderId="0" xfId="0" applyAlignment="1">
      <alignment horizontal="right"/>
    </xf>
    <xf numFmtId="0" fontId="0" fillId="0" borderId="0" xfId="0" applyBorder="1" applyAlignment="1">
      <alignment horizontal="right" vertical="center" wrapText="1"/>
    </xf>
    <xf numFmtId="0" fontId="0" fillId="0" borderId="0" xfId="0" applyBorder="1" applyAlignment="1">
      <alignment horizontal="right"/>
    </xf>
    <xf numFmtId="0" fontId="3" fillId="0" borderId="0" xfId="0" applyFont="1" applyAlignment="1">
      <alignment horizontal="left"/>
    </xf>
    <xf numFmtId="0" fontId="3" fillId="0" borderId="0" xfId="0" applyFont="1" applyBorder="1" applyAlignment="1">
      <alignment horizontal="left"/>
    </xf>
    <xf numFmtId="0" fontId="0" fillId="0" borderId="0" xfId="0" applyAlignment="1">
      <alignment horizontal="left"/>
    </xf>
    <xf numFmtId="2" fontId="3" fillId="0" borderId="0" xfId="0" applyNumberFormat="1" applyFont="1" applyBorder="1" applyAlignment="1">
      <alignment horizontal="center" vertical="center" wrapText="1"/>
    </xf>
    <xf numFmtId="165" fontId="0" fillId="0" borderId="0" xfId="0" applyNumberFormat="1" applyBorder="1" applyAlignment="1">
      <alignment horizontal="center"/>
    </xf>
    <xf numFmtId="1" fontId="0" fillId="0" borderId="0" xfId="0" applyNumberFormat="1" applyBorder="1" applyAlignment="1">
      <alignment horizontal="center"/>
    </xf>
    <xf numFmtId="49" fontId="0" fillId="0" borderId="0" xfId="0" applyNumberFormat="1" applyAlignment="1">
      <alignment horizontal="center" vertical="center" wrapText="1"/>
    </xf>
    <xf numFmtId="165" fontId="0" fillId="0" borderId="0" xfId="0" applyNumberFormat="1"/>
    <xf numFmtId="2" fontId="0" fillId="0" borderId="0" xfId="0" applyNumberFormat="1" applyAlignment="1">
      <alignment horizontal="center" vertical="center"/>
    </xf>
    <xf numFmtId="0" fontId="6" fillId="0" borderId="0" xfId="0" applyFont="1"/>
    <xf numFmtId="0" fontId="8" fillId="0" borderId="0" xfId="0" applyFont="1"/>
    <xf numFmtId="2" fontId="5" fillId="0" borderId="0" xfId="0" applyNumberFormat="1" applyFont="1" applyFill="1" applyBorder="1"/>
    <xf numFmtId="0" fontId="6" fillId="0" borderId="0" xfId="0" applyFont="1" applyFill="1" applyBorder="1"/>
    <xf numFmtId="0" fontId="0" fillId="0" borderId="0" xfId="0" applyAlignment="1">
      <alignment horizontal="left" vertical="center" wrapText="1"/>
    </xf>
    <xf numFmtId="0" fontId="1" fillId="0" borderId="0" xfId="2" applyAlignment="1" applyProtection="1">
      <alignment horizontal="left" vertical="top" wrapText="1"/>
    </xf>
    <xf numFmtId="49" fontId="1" fillId="0" borderId="0" xfId="2" applyNumberFormat="1" applyAlignment="1">
      <alignment horizontal="right"/>
    </xf>
    <xf numFmtId="0" fontId="1" fillId="0" borderId="0" xfId="2"/>
    <xf numFmtId="0" fontId="1" fillId="0" borderId="0" xfId="2" applyAlignment="1" applyProtection="1">
      <alignment horizontal="center"/>
    </xf>
    <xf numFmtId="0" fontId="1" fillId="0" borderId="0" xfId="2" applyFont="1"/>
    <xf numFmtId="0" fontId="1" fillId="0" borderId="0" xfId="2" applyProtection="1">
      <protection hidden="1"/>
    </xf>
    <xf numFmtId="0" fontId="1" fillId="0" borderId="0" xfId="2" applyProtection="1">
      <protection locked="0"/>
    </xf>
    <xf numFmtId="0" fontId="10" fillId="0" borderId="0" xfId="3" applyNumberFormat="1" applyFont="1" applyAlignment="1">
      <alignment horizontal="center" vertical="top" wrapText="1"/>
    </xf>
    <xf numFmtId="0" fontId="10" fillId="0" borderId="0" xfId="3" applyFont="1"/>
    <xf numFmtId="0" fontId="1" fillId="0" borderId="0" xfId="3"/>
    <xf numFmtId="9" fontId="6" fillId="0" borderId="0" xfId="3" applyNumberFormat="1" applyFont="1" applyAlignment="1">
      <alignment horizontal="center"/>
    </xf>
    <xf numFmtId="1" fontId="1" fillId="0" borderId="0" xfId="3" applyNumberFormat="1"/>
    <xf numFmtId="0" fontId="3" fillId="0" borderId="0" xfId="0" applyFont="1" applyBorder="1" applyProtection="1"/>
    <xf numFmtId="0" fontId="0" fillId="0" borderId="0" xfId="0" applyBorder="1" applyProtection="1"/>
    <xf numFmtId="1" fontId="10" fillId="0" borderId="10" xfId="2" applyNumberFormat="1" applyFont="1" applyBorder="1" applyAlignment="1" applyProtection="1">
      <alignment horizontal="centerContinuous"/>
      <protection locked="0"/>
    </xf>
    <xf numFmtId="0" fontId="1" fillId="0" borderId="10" xfId="2" applyBorder="1"/>
    <xf numFmtId="0" fontId="1" fillId="0" borderId="10" xfId="2" applyBorder="1" applyAlignment="1" applyProtection="1">
      <alignment horizontal="center"/>
    </xf>
    <xf numFmtId="1" fontId="10" fillId="0" borderId="10" xfId="2" applyNumberFormat="1" applyFont="1" applyBorder="1" applyProtection="1">
      <protection hidden="1"/>
    </xf>
    <xf numFmtId="2" fontId="10" fillId="0" borderId="10" xfId="2" applyNumberFormat="1" applyFont="1" applyBorder="1" applyProtection="1">
      <protection hidden="1"/>
    </xf>
    <xf numFmtId="165" fontId="11" fillId="2" borderId="10" xfId="2" applyNumberFormat="1" applyFont="1" applyFill="1" applyBorder="1" applyAlignment="1" applyProtection="1">
      <alignment horizontal="centerContinuous"/>
      <protection locked="0"/>
    </xf>
    <xf numFmtId="0" fontId="1" fillId="0" borderId="10" xfId="2" applyBorder="1" applyProtection="1">
      <protection hidden="1"/>
    </xf>
    <xf numFmtId="165" fontId="3" fillId="0" borderId="10" xfId="2" applyNumberFormat="1" applyFont="1" applyBorder="1" applyAlignment="1" applyProtection="1">
      <alignment horizontal="centerContinuous"/>
      <protection locked="0"/>
    </xf>
    <xf numFmtId="165" fontId="11" fillId="3" borderId="10" xfId="2" applyNumberFormat="1" applyFont="1" applyFill="1" applyBorder="1" applyAlignment="1" applyProtection="1">
      <alignment horizontal="centerContinuous"/>
      <protection locked="0"/>
    </xf>
    <xf numFmtId="0" fontId="3" fillId="0" borderId="10" xfId="2" applyFont="1" applyBorder="1" applyProtection="1">
      <protection hidden="1"/>
    </xf>
    <xf numFmtId="165" fontId="3" fillId="0" borderId="10" xfId="2" applyNumberFormat="1" applyFont="1" applyBorder="1" applyAlignment="1" applyProtection="1">
      <alignment horizontal="center"/>
      <protection locked="0"/>
    </xf>
    <xf numFmtId="1" fontId="10" fillId="0" borderId="10" xfId="1" applyNumberFormat="1" applyFont="1" applyBorder="1" applyProtection="1">
      <protection hidden="1"/>
    </xf>
    <xf numFmtId="165" fontId="3" fillId="0" borderId="10" xfId="2" applyNumberFormat="1" applyFont="1" applyBorder="1" applyProtection="1">
      <protection locked="0"/>
    </xf>
    <xf numFmtId="0" fontId="1" fillId="0" borderId="7" xfId="2" applyFont="1" applyBorder="1" applyProtection="1">
      <protection locked="0"/>
    </xf>
    <xf numFmtId="0" fontId="1" fillId="0" borderId="7" xfId="2" applyBorder="1" applyProtection="1">
      <protection locked="0"/>
    </xf>
    <xf numFmtId="165" fontId="11" fillId="2" borderId="12" xfId="2" applyNumberFormat="1" applyFont="1" applyFill="1" applyBorder="1" applyAlignment="1" applyProtection="1">
      <alignment horizontal="centerContinuous"/>
      <protection locked="0"/>
    </xf>
    <xf numFmtId="0" fontId="1" fillId="0" borderId="12" xfId="2" applyBorder="1"/>
    <xf numFmtId="0" fontId="1" fillId="0" borderId="12" xfId="2" applyBorder="1" applyAlignment="1" applyProtection="1">
      <alignment horizontal="center"/>
    </xf>
    <xf numFmtId="0" fontId="1" fillId="0" borderId="12" xfId="2" applyBorder="1" applyProtection="1">
      <protection hidden="1"/>
    </xf>
    <xf numFmtId="0" fontId="1" fillId="0" borderId="9" xfId="2" applyBorder="1" applyProtection="1">
      <protection locked="0"/>
    </xf>
    <xf numFmtId="165" fontId="3" fillId="0" borderId="11" xfId="2" applyNumberFormat="1" applyFont="1" applyBorder="1" applyProtection="1">
      <protection locked="0"/>
    </xf>
    <xf numFmtId="0" fontId="1" fillId="0" borderId="11" xfId="2" applyBorder="1"/>
    <xf numFmtId="0" fontId="1" fillId="0" borderId="11" xfId="2" applyBorder="1" applyAlignment="1" applyProtection="1">
      <alignment horizontal="center"/>
    </xf>
    <xf numFmtId="1" fontId="10" fillId="0" borderId="11" xfId="2" applyNumberFormat="1" applyFont="1" applyBorder="1" applyProtection="1">
      <protection hidden="1"/>
    </xf>
    <xf numFmtId="2" fontId="10" fillId="0" borderId="11" xfId="2" applyNumberFormat="1" applyFont="1" applyBorder="1" applyProtection="1">
      <protection hidden="1"/>
    </xf>
    <xf numFmtId="0" fontId="1" fillId="0" borderId="5" xfId="2" applyBorder="1" applyProtection="1">
      <protection locked="0"/>
    </xf>
    <xf numFmtId="0" fontId="1" fillId="0" borderId="0" xfId="2" applyBorder="1"/>
    <xf numFmtId="165" fontId="3" fillId="0" borderId="0" xfId="2" applyNumberFormat="1" applyFont="1" applyBorder="1" applyAlignment="1" applyProtection="1">
      <alignment horizontal="center"/>
      <protection locked="0"/>
    </xf>
    <xf numFmtId="0" fontId="1" fillId="0" borderId="0" xfId="2" applyBorder="1" applyAlignment="1" applyProtection="1">
      <alignment horizontal="center"/>
    </xf>
    <xf numFmtId="0" fontId="1" fillId="0" borderId="0" xfId="2" applyBorder="1" applyProtection="1">
      <protection hidden="1"/>
    </xf>
    <xf numFmtId="0" fontId="1" fillId="0" borderId="0" xfId="2" applyBorder="1" applyProtection="1">
      <protection locked="0"/>
    </xf>
    <xf numFmtId="0" fontId="0" fillId="0" borderId="0" xfId="0" applyProtection="1">
      <protection locked="0"/>
    </xf>
    <xf numFmtId="0" fontId="0" fillId="0" borderId="0" xfId="0" applyAlignment="1" applyProtection="1">
      <alignment horizontal="center" vertical="center" wrapText="1"/>
      <protection locked="0"/>
    </xf>
    <xf numFmtId="49" fontId="3" fillId="0" borderId="0" xfId="0" applyNumberFormat="1" applyFont="1" applyFill="1" applyBorder="1" applyAlignment="1" applyProtection="1">
      <alignment horizontal="center" vertical="center" wrapText="1"/>
      <protection locked="0"/>
    </xf>
    <xf numFmtId="2" fontId="0" fillId="0" borderId="0" xfId="0" applyNumberFormat="1" applyProtection="1">
      <protection locked="0"/>
    </xf>
    <xf numFmtId="0" fontId="3" fillId="0" borderId="0" xfId="0" applyFont="1" applyProtection="1"/>
    <xf numFmtId="0" fontId="0" fillId="0" borderId="0" xfId="0" applyProtection="1"/>
    <xf numFmtId="49" fontId="3" fillId="0" borderId="0" xfId="0" applyNumberFormat="1" applyFont="1" applyBorder="1" applyAlignment="1" applyProtection="1">
      <alignment horizontal="left" vertical="center" wrapText="1"/>
    </xf>
    <xf numFmtId="2" fontId="8" fillId="0" borderId="0" xfId="0" applyNumberFormat="1" applyFont="1" applyBorder="1" applyAlignment="1" applyProtection="1">
      <alignment horizontal="center" vertical="center"/>
    </xf>
    <xf numFmtId="12" fontId="0" fillId="0" borderId="0" xfId="0" applyNumberFormat="1" applyBorder="1" applyAlignment="1" applyProtection="1">
      <alignment horizontal="center" vertical="center"/>
    </xf>
    <xf numFmtId="2" fontId="0" fillId="0" borderId="0" xfId="0" applyNumberFormat="1" applyBorder="1" applyAlignment="1" applyProtection="1">
      <alignment horizontal="center" vertical="center"/>
    </xf>
    <xf numFmtId="49" fontId="0" fillId="0" borderId="0" xfId="0" applyNumberFormat="1" applyAlignment="1" applyProtection="1">
      <alignment horizontal="left" vertical="center" wrapText="1"/>
    </xf>
    <xf numFmtId="2" fontId="0" fillId="0" borderId="0" xfId="0" applyNumberFormat="1" applyAlignment="1" applyProtection="1">
      <alignment horizontal="center" vertical="center"/>
    </xf>
    <xf numFmtId="49" fontId="3" fillId="0" borderId="0" xfId="0" applyNumberFormat="1" applyFont="1" applyBorder="1" applyAlignment="1" applyProtection="1">
      <alignment horizontal="center" vertical="center" wrapText="1"/>
    </xf>
    <xf numFmtId="0" fontId="3" fillId="5" borderId="4" xfId="0" applyFont="1" applyFill="1" applyBorder="1" applyAlignment="1">
      <alignment horizontal="center" vertical="center" wrapText="1"/>
    </xf>
    <xf numFmtId="0" fontId="0" fillId="5" borderId="5" xfId="0" applyFill="1" applyBorder="1" applyAlignment="1">
      <alignment horizontal="center" vertical="center" wrapText="1"/>
    </xf>
    <xf numFmtId="0" fontId="0" fillId="5" borderId="6" xfId="0" applyFill="1" applyBorder="1"/>
    <xf numFmtId="0" fontId="5" fillId="5" borderId="7" xfId="0" applyFont="1" applyFill="1" applyBorder="1"/>
    <xf numFmtId="0" fontId="3" fillId="5" borderId="6" xfId="0" applyFont="1" applyFill="1" applyBorder="1"/>
    <xf numFmtId="0" fontId="3" fillId="5" borderId="8" xfId="0" applyFont="1" applyFill="1" applyBorder="1"/>
    <xf numFmtId="2" fontId="8" fillId="5" borderId="9" xfId="0" applyNumberFormat="1" applyFont="1" applyFill="1" applyBorder="1" applyProtection="1">
      <protection locked="0"/>
    </xf>
    <xf numFmtId="2" fontId="8" fillId="6" borderId="7" xfId="0" applyNumberFormat="1" applyFont="1" applyFill="1" applyBorder="1" applyProtection="1">
      <protection locked="0"/>
    </xf>
    <xf numFmtId="9" fontId="3" fillId="5" borderId="11" xfId="0" applyNumberFormat="1" applyFont="1" applyFill="1" applyBorder="1" applyAlignment="1">
      <alignment horizontal="center" vertical="center" wrapText="1"/>
    </xf>
    <xf numFmtId="9" fontId="3" fillId="5" borderId="5" xfId="0" applyNumberFormat="1" applyFont="1" applyFill="1" applyBorder="1" applyAlignment="1">
      <alignment horizontal="center" vertical="center" wrapText="1"/>
    </xf>
    <xf numFmtId="2" fontId="3" fillId="5" borderId="10" xfId="0" applyNumberFormat="1" applyFont="1" applyFill="1" applyBorder="1"/>
    <xf numFmtId="2" fontId="3" fillId="5" borderId="7" xfId="0" applyNumberFormat="1" applyFont="1" applyFill="1" applyBorder="1"/>
    <xf numFmtId="2" fontId="6" fillId="5" borderId="10" xfId="0" applyNumberFormat="1" applyFont="1" applyFill="1" applyBorder="1"/>
    <xf numFmtId="2" fontId="6" fillId="5" borderId="7" xfId="0" applyNumberFormat="1" applyFont="1" applyFill="1" applyBorder="1"/>
    <xf numFmtId="164" fontId="3" fillId="5" borderId="10" xfId="0" applyNumberFormat="1" applyFont="1" applyFill="1" applyBorder="1"/>
    <xf numFmtId="164" fontId="3" fillId="5" borderId="7" xfId="0" applyNumberFormat="1" applyFont="1" applyFill="1" applyBorder="1"/>
    <xf numFmtId="49" fontId="5" fillId="5" borderId="8" xfId="0" applyNumberFormat="1" applyFont="1" applyFill="1" applyBorder="1" applyAlignment="1">
      <alignment horizontal="left" vertical="center" wrapText="1"/>
    </xf>
    <xf numFmtId="49" fontId="5" fillId="5" borderId="12" xfId="0" applyNumberFormat="1" applyFont="1" applyFill="1" applyBorder="1" applyAlignment="1">
      <alignment horizontal="center" vertical="center" wrapText="1"/>
    </xf>
    <xf numFmtId="49" fontId="5" fillId="5" borderId="9" xfId="0" applyNumberFormat="1" applyFont="1" applyFill="1" applyBorder="1" applyAlignment="1">
      <alignment horizontal="center" vertical="center" wrapText="1"/>
    </xf>
    <xf numFmtId="164" fontId="6" fillId="6" borderId="10" xfId="0" applyNumberFormat="1" applyFont="1" applyFill="1" applyBorder="1"/>
    <xf numFmtId="164" fontId="6" fillId="6" borderId="7" xfId="0" applyNumberFormat="1" applyFont="1" applyFill="1" applyBorder="1"/>
    <xf numFmtId="49" fontId="3" fillId="5" borderId="4" xfId="0" applyNumberFormat="1" applyFont="1" applyFill="1" applyBorder="1" applyAlignment="1" applyProtection="1">
      <alignment horizontal="left" vertical="center" wrapText="1"/>
    </xf>
    <xf numFmtId="49" fontId="3" fillId="5" borderId="11" xfId="0" applyNumberFormat="1" applyFont="1" applyFill="1" applyBorder="1" applyAlignment="1" applyProtection="1">
      <alignment horizontal="center" vertical="center" wrapText="1"/>
    </xf>
    <xf numFmtId="49" fontId="3" fillId="5" borderId="5" xfId="0" applyNumberFormat="1" applyFont="1" applyFill="1" applyBorder="1" applyAlignment="1" applyProtection="1">
      <alignment horizontal="center" vertical="center" wrapText="1"/>
    </xf>
    <xf numFmtId="49" fontId="3" fillId="5" borderId="6" xfId="0" applyNumberFormat="1" applyFont="1" applyFill="1" applyBorder="1" applyAlignment="1" applyProtection="1">
      <alignment horizontal="left" vertical="center" wrapText="1"/>
    </xf>
    <xf numFmtId="2" fontId="0" fillId="5" borderId="10" xfId="0" applyNumberFormat="1" applyFill="1" applyBorder="1" applyAlignment="1" applyProtection="1">
      <alignment horizontal="center" vertical="center"/>
    </xf>
    <xf numFmtId="12" fontId="0" fillId="5" borderId="10" xfId="0" applyNumberFormat="1" applyFill="1" applyBorder="1" applyAlignment="1" applyProtection="1">
      <alignment horizontal="center" vertical="center"/>
    </xf>
    <xf numFmtId="2" fontId="0" fillId="5" borderId="7" xfId="0" applyNumberFormat="1" applyFill="1" applyBorder="1" applyAlignment="1" applyProtection="1">
      <alignment horizontal="center" vertical="center"/>
    </xf>
    <xf numFmtId="49" fontId="3" fillId="5" borderId="8" xfId="0" applyNumberFormat="1" applyFont="1" applyFill="1" applyBorder="1" applyAlignment="1" applyProtection="1">
      <alignment horizontal="left" vertical="center" wrapText="1"/>
    </xf>
    <xf numFmtId="2" fontId="0" fillId="5" borderId="12" xfId="0" applyNumberFormat="1" applyFill="1" applyBorder="1" applyAlignment="1" applyProtection="1">
      <alignment horizontal="center" vertical="center"/>
    </xf>
    <xf numFmtId="12" fontId="0" fillId="5" borderId="12" xfId="0" applyNumberFormat="1" applyFill="1" applyBorder="1" applyAlignment="1" applyProtection="1">
      <alignment horizontal="center" vertical="center"/>
    </xf>
    <xf numFmtId="2" fontId="0" fillId="5" borderId="9" xfId="0" applyNumberFormat="1" applyFill="1" applyBorder="1" applyAlignment="1" applyProtection="1">
      <alignment horizontal="center" vertical="center"/>
    </xf>
    <xf numFmtId="2" fontId="3" fillId="4" borderId="10" xfId="0" applyNumberFormat="1" applyFont="1" applyFill="1" applyBorder="1" applyAlignment="1" applyProtection="1">
      <alignment horizontal="center" vertical="center"/>
    </xf>
    <xf numFmtId="2" fontId="0" fillId="6" borderId="10" xfId="0" applyNumberFormat="1" applyFill="1" applyBorder="1" applyAlignment="1" applyProtection="1">
      <alignment horizontal="center" vertical="center"/>
    </xf>
    <xf numFmtId="12" fontId="0" fillId="6" borderId="10" xfId="0" applyNumberFormat="1" applyFill="1" applyBorder="1" applyAlignment="1" applyProtection="1">
      <alignment horizontal="center" vertical="center"/>
    </xf>
    <xf numFmtId="2" fontId="8" fillId="6" borderId="10" xfId="0" applyNumberFormat="1" applyFont="1" applyFill="1" applyBorder="1" applyAlignment="1" applyProtection="1">
      <alignment horizontal="center" vertical="center"/>
      <protection locked="0"/>
    </xf>
    <xf numFmtId="2" fontId="0" fillId="6" borderId="12" xfId="0" applyNumberFormat="1" applyFill="1" applyBorder="1" applyAlignment="1" applyProtection="1">
      <alignment horizontal="center" vertical="center"/>
    </xf>
    <xf numFmtId="12" fontId="0" fillId="6" borderId="12" xfId="0" applyNumberFormat="1" applyFill="1" applyBorder="1" applyAlignment="1" applyProtection="1">
      <alignment horizontal="center" vertical="center"/>
    </xf>
    <xf numFmtId="2" fontId="3" fillId="4" borderId="12" xfId="0" applyNumberFormat="1" applyFont="1" applyFill="1" applyBorder="1" applyAlignment="1" applyProtection="1">
      <alignment horizontal="center" vertical="center"/>
    </xf>
    <xf numFmtId="49" fontId="3" fillId="5" borderId="13" xfId="0" applyNumberFormat="1" applyFont="1" applyFill="1" applyBorder="1" applyAlignment="1" applyProtection="1">
      <alignment horizontal="left" vertical="center" wrapText="1"/>
    </xf>
    <xf numFmtId="49" fontId="3" fillId="5" borderId="14" xfId="0" applyNumberFormat="1" applyFont="1" applyFill="1" applyBorder="1" applyAlignment="1" applyProtection="1">
      <alignment horizontal="left" vertical="center" wrapText="1"/>
    </xf>
    <xf numFmtId="49" fontId="3" fillId="5" borderId="15" xfId="0" applyNumberFormat="1" applyFont="1" applyFill="1" applyBorder="1" applyAlignment="1" applyProtection="1">
      <alignment horizontal="left" vertical="center" wrapText="1"/>
    </xf>
    <xf numFmtId="49" fontId="3" fillId="5" borderId="4" xfId="0" applyNumberFormat="1" applyFont="1" applyFill="1" applyBorder="1" applyAlignment="1" applyProtection="1">
      <alignment horizontal="center" vertical="center" wrapText="1"/>
    </xf>
    <xf numFmtId="9" fontId="3" fillId="5" borderId="6" xfId="0" applyNumberFormat="1" applyFont="1" applyFill="1" applyBorder="1" applyAlignment="1" applyProtection="1">
      <alignment horizontal="center"/>
    </xf>
    <xf numFmtId="2" fontId="0" fillId="5" borderId="10" xfId="0" applyNumberFormat="1" applyFill="1" applyBorder="1" applyAlignment="1" applyProtection="1">
      <alignment horizontal="center"/>
    </xf>
    <xf numFmtId="2" fontId="0" fillId="5" borderId="7" xfId="0" applyNumberFormat="1" applyFill="1" applyBorder="1" applyAlignment="1" applyProtection="1">
      <alignment horizontal="center"/>
    </xf>
    <xf numFmtId="9" fontId="3" fillId="5" borderId="8" xfId="0" applyNumberFormat="1" applyFont="1" applyFill="1" applyBorder="1" applyAlignment="1" applyProtection="1">
      <alignment horizontal="center"/>
    </xf>
    <xf numFmtId="2" fontId="0" fillId="5" borderId="12" xfId="0" applyNumberFormat="1" applyFill="1" applyBorder="1" applyAlignment="1" applyProtection="1">
      <alignment horizontal="center"/>
    </xf>
    <xf numFmtId="2" fontId="0" fillId="5" borderId="9" xfId="0" applyNumberFormat="1" applyFill="1" applyBorder="1" applyAlignment="1" applyProtection="1">
      <alignment horizontal="center"/>
    </xf>
    <xf numFmtId="49" fontId="3" fillId="5" borderId="4" xfId="0" applyNumberFormat="1" applyFont="1" applyFill="1" applyBorder="1" applyAlignment="1">
      <alignment horizontal="left" vertical="center" wrapText="1"/>
    </xf>
    <xf numFmtId="49" fontId="3" fillId="5" borderId="11" xfId="0" applyNumberFormat="1" applyFont="1" applyFill="1" applyBorder="1" applyAlignment="1">
      <alignment horizontal="center" vertical="center" wrapText="1"/>
    </xf>
    <xf numFmtId="49" fontId="3" fillId="5" borderId="5" xfId="0" applyNumberFormat="1" applyFont="1" applyFill="1" applyBorder="1" applyAlignment="1">
      <alignment horizontal="center" vertical="center" wrapText="1"/>
    </xf>
    <xf numFmtId="49" fontId="3" fillId="5" borderId="6" xfId="0" applyNumberFormat="1" applyFont="1" applyFill="1" applyBorder="1" applyAlignment="1">
      <alignment horizontal="left" vertical="center" wrapText="1"/>
    </xf>
    <xf numFmtId="165" fontId="0" fillId="5" borderId="10" xfId="0" applyNumberFormat="1" applyFill="1" applyBorder="1" applyAlignment="1">
      <alignment horizontal="center" vertical="center"/>
    </xf>
    <xf numFmtId="2" fontId="0" fillId="5" borderId="10" xfId="0" applyNumberFormat="1" applyFill="1" applyBorder="1" applyAlignment="1">
      <alignment horizontal="center" vertical="center"/>
    </xf>
    <xf numFmtId="2" fontId="0" fillId="5" borderId="7" xfId="0" applyNumberFormat="1" applyFill="1" applyBorder="1" applyAlignment="1">
      <alignment horizontal="center" vertical="center"/>
    </xf>
    <xf numFmtId="49" fontId="3" fillId="5" borderId="8" xfId="0" applyNumberFormat="1" applyFont="1" applyFill="1" applyBorder="1" applyAlignment="1">
      <alignment horizontal="left" vertical="center" wrapText="1"/>
    </xf>
    <xf numFmtId="2" fontId="0" fillId="5" borderId="12" xfId="0" applyNumberFormat="1" applyFill="1" applyBorder="1" applyAlignment="1">
      <alignment horizontal="center" vertical="center"/>
    </xf>
    <xf numFmtId="2" fontId="3" fillId="5" borderId="12" xfId="0" applyNumberFormat="1" applyFont="1" applyFill="1" applyBorder="1" applyAlignment="1">
      <alignment horizontal="center" vertical="center"/>
    </xf>
    <xf numFmtId="2" fontId="0" fillId="5" borderId="9" xfId="0" applyNumberFormat="1" applyFill="1" applyBorder="1" applyAlignment="1">
      <alignment horizontal="center" vertical="center"/>
    </xf>
    <xf numFmtId="2" fontId="3" fillId="4" borderId="10" xfId="0" applyNumberFormat="1" applyFont="1" applyFill="1" applyBorder="1" applyAlignment="1">
      <alignment horizontal="center" vertical="center"/>
    </xf>
    <xf numFmtId="2" fontId="3" fillId="4" borderId="12" xfId="0" applyNumberFormat="1" applyFont="1" applyFill="1" applyBorder="1" applyAlignment="1">
      <alignment horizontal="center" vertical="center"/>
    </xf>
    <xf numFmtId="165" fontId="0" fillId="6" borderId="10" xfId="0" applyNumberFormat="1" applyFill="1" applyBorder="1" applyAlignment="1">
      <alignment horizontal="center" vertical="center"/>
    </xf>
    <xf numFmtId="2" fontId="0" fillId="6" borderId="10" xfId="0" applyNumberFormat="1" applyFill="1" applyBorder="1" applyAlignment="1">
      <alignment horizontal="center" vertical="center"/>
    </xf>
    <xf numFmtId="165" fontId="0" fillId="6" borderId="12" xfId="0" applyNumberFormat="1" applyFill="1" applyBorder="1" applyAlignment="1">
      <alignment horizontal="center" vertical="center"/>
    </xf>
    <xf numFmtId="2" fontId="0" fillId="6" borderId="12" xfId="0" applyNumberFormat="1" applyFill="1" applyBorder="1" applyAlignment="1">
      <alignment horizontal="center" vertical="center"/>
    </xf>
    <xf numFmtId="2" fontId="3" fillId="5" borderId="4" xfId="0" applyNumberFormat="1" applyFont="1" applyFill="1" applyBorder="1" applyAlignment="1">
      <alignment horizontal="center" vertical="center" wrapText="1"/>
    </xf>
    <xf numFmtId="2" fontId="3" fillId="5" borderId="11" xfId="0" applyNumberFormat="1" applyFont="1" applyFill="1" applyBorder="1" applyAlignment="1">
      <alignment horizontal="center" vertical="center" wrapText="1"/>
    </xf>
    <xf numFmtId="2" fontId="3" fillId="5" borderId="5" xfId="0" applyNumberFormat="1" applyFont="1" applyFill="1" applyBorder="1" applyAlignment="1">
      <alignment horizontal="center" vertical="center" wrapText="1"/>
    </xf>
    <xf numFmtId="2" fontId="3" fillId="5" borderId="6" xfId="0" applyNumberFormat="1" applyFont="1" applyFill="1" applyBorder="1" applyAlignment="1">
      <alignment horizontal="right"/>
    </xf>
    <xf numFmtId="1" fontId="8" fillId="5" borderId="7" xfId="0" applyNumberFormat="1" applyFont="1" applyFill="1" applyBorder="1" applyAlignment="1" applyProtection="1">
      <alignment horizontal="center"/>
      <protection locked="0"/>
    </xf>
    <xf numFmtId="2" fontId="3" fillId="5" borderId="8" xfId="0" applyNumberFormat="1" applyFont="1" applyFill="1" applyBorder="1" applyAlignment="1">
      <alignment horizontal="right"/>
    </xf>
    <xf numFmtId="0" fontId="8" fillId="5" borderId="12" xfId="0" applyFont="1" applyFill="1" applyBorder="1" applyAlignment="1" applyProtection="1">
      <alignment horizontal="center"/>
      <protection locked="0"/>
    </xf>
    <xf numFmtId="1" fontId="8" fillId="5" borderId="9" xfId="0" applyNumberFormat="1" applyFont="1" applyFill="1" applyBorder="1" applyAlignment="1" applyProtection="1">
      <alignment horizontal="center"/>
      <protection locked="0"/>
    </xf>
    <xf numFmtId="0" fontId="8" fillId="6" borderId="10" xfId="0" applyFont="1" applyFill="1" applyBorder="1" applyAlignment="1" applyProtection="1">
      <alignment horizontal="center"/>
      <protection locked="0"/>
    </xf>
    <xf numFmtId="165" fontId="8" fillId="6" borderId="7" xfId="0" applyNumberFormat="1" applyFont="1" applyFill="1" applyBorder="1" applyAlignment="1" applyProtection="1">
      <alignment horizontal="center"/>
      <protection locked="0"/>
    </xf>
    <xf numFmtId="0" fontId="0" fillId="5" borderId="6" xfId="0" applyFill="1" applyBorder="1" applyAlignment="1">
      <alignment horizontal="right"/>
    </xf>
    <xf numFmtId="0" fontId="8" fillId="5" borderId="7" xfId="0" applyFont="1" applyFill="1" applyBorder="1" applyAlignment="1" applyProtection="1">
      <alignment horizontal="center"/>
      <protection locked="0"/>
    </xf>
    <xf numFmtId="0" fontId="3" fillId="5" borderId="6" xfId="0" applyFont="1" applyFill="1" applyBorder="1" applyAlignment="1">
      <alignment horizontal="right"/>
    </xf>
    <xf numFmtId="0" fontId="3" fillId="5" borderId="7" xfId="0" applyFont="1" applyFill="1" applyBorder="1" applyAlignment="1">
      <alignment horizontal="center"/>
    </xf>
    <xf numFmtId="0" fontId="3" fillId="5" borderId="8" xfId="0" applyFont="1" applyFill="1" applyBorder="1" applyAlignment="1">
      <alignment horizontal="right"/>
    </xf>
    <xf numFmtId="0" fontId="3" fillId="5" borderId="9" xfId="0" applyFont="1" applyFill="1" applyBorder="1" applyAlignment="1">
      <alignment horizontal="center"/>
    </xf>
    <xf numFmtId="0" fontId="8" fillId="6" borderId="7" xfId="0" applyFont="1" applyFill="1" applyBorder="1" applyAlignment="1" applyProtection="1">
      <alignment horizontal="center"/>
      <protection locked="0"/>
    </xf>
    <xf numFmtId="0" fontId="6" fillId="5" borderId="6" xfId="0" applyFont="1" applyFill="1" applyBorder="1" applyAlignment="1">
      <alignment horizontal="right"/>
    </xf>
    <xf numFmtId="9" fontId="6" fillId="5" borderId="6" xfId="0" applyNumberFormat="1" applyFont="1" applyFill="1" applyBorder="1" applyAlignment="1">
      <alignment horizontal="center"/>
    </xf>
    <xf numFmtId="2" fontId="6" fillId="5" borderId="10" xfId="0" applyNumberFormat="1" applyFont="1" applyFill="1" applyBorder="1" applyAlignment="1">
      <alignment horizontal="center"/>
    </xf>
    <xf numFmtId="2" fontId="6" fillId="5" borderId="7" xfId="0" applyNumberFormat="1" applyFont="1" applyFill="1" applyBorder="1" applyAlignment="1">
      <alignment horizontal="center"/>
    </xf>
    <xf numFmtId="9" fontId="0" fillId="5" borderId="6" xfId="0" applyNumberFormat="1" applyFill="1" applyBorder="1" applyAlignment="1">
      <alignment horizontal="center"/>
    </xf>
    <xf numFmtId="2" fontId="0" fillId="5" borderId="10" xfId="0" applyNumberFormat="1" applyFill="1" applyBorder="1" applyAlignment="1">
      <alignment horizontal="center"/>
    </xf>
    <xf numFmtId="2" fontId="0" fillId="5" borderId="7" xfId="0" applyNumberFormat="1" applyFill="1" applyBorder="1" applyAlignment="1">
      <alignment horizontal="center"/>
    </xf>
    <xf numFmtId="9" fontId="3" fillId="4" borderId="6" xfId="0" applyNumberFormat="1" applyFont="1" applyFill="1" applyBorder="1" applyAlignment="1">
      <alignment horizontal="center"/>
    </xf>
    <xf numFmtId="2" fontId="3" fillId="4" borderId="10" xfId="0" applyNumberFormat="1" applyFont="1" applyFill="1" applyBorder="1" applyAlignment="1">
      <alignment horizontal="center"/>
    </xf>
    <xf numFmtId="9" fontId="3" fillId="4" borderId="8" xfId="0" applyNumberFormat="1" applyFont="1" applyFill="1" applyBorder="1" applyAlignment="1">
      <alignment horizontal="center"/>
    </xf>
    <xf numFmtId="2" fontId="3" fillId="4" borderId="12" xfId="0" applyNumberFormat="1" applyFont="1" applyFill="1" applyBorder="1" applyAlignment="1">
      <alignment horizontal="center"/>
    </xf>
    <xf numFmtId="49" fontId="3" fillId="5" borderId="5" xfId="0" applyNumberFormat="1" applyFont="1" applyFill="1" applyBorder="1" applyAlignment="1" applyProtection="1">
      <alignment horizontal="center" vertical="center" wrapText="1"/>
      <protection locked="0"/>
    </xf>
    <xf numFmtId="0" fontId="10" fillId="5" borderId="6" xfId="2" applyFont="1" applyFill="1" applyBorder="1"/>
    <xf numFmtId="9" fontId="0" fillId="5" borderId="10" xfId="0" applyNumberFormat="1" applyFill="1" applyBorder="1" applyAlignment="1">
      <alignment horizontal="center" vertical="center"/>
    </xf>
    <xf numFmtId="2" fontId="0" fillId="5" borderId="7" xfId="0" applyNumberFormat="1" applyFill="1" applyBorder="1" applyAlignment="1" applyProtection="1">
      <alignment horizontal="center" vertical="center"/>
      <protection locked="0"/>
    </xf>
    <xf numFmtId="0" fontId="0" fillId="5" borderId="10" xfId="0" applyFill="1" applyBorder="1" applyAlignment="1">
      <alignment horizontal="center"/>
    </xf>
    <xf numFmtId="0" fontId="0" fillId="5" borderId="7" xfId="0" applyFill="1" applyBorder="1" applyProtection="1">
      <protection locked="0"/>
    </xf>
    <xf numFmtId="0" fontId="0" fillId="5" borderId="12" xfId="0" applyFill="1" applyBorder="1"/>
    <xf numFmtId="165" fontId="3" fillId="5" borderId="12" xfId="0" applyNumberFormat="1" applyFont="1" applyFill="1" applyBorder="1" applyAlignment="1">
      <alignment horizontal="center" vertical="center"/>
    </xf>
    <xf numFmtId="0" fontId="0" fillId="5" borderId="9" xfId="0" applyFill="1" applyBorder="1" applyProtection="1">
      <protection locked="0"/>
    </xf>
    <xf numFmtId="165" fontId="8" fillId="6" borderId="10" xfId="0" applyNumberFormat="1" applyFont="1" applyFill="1" applyBorder="1" applyAlignment="1" applyProtection="1">
      <alignment horizontal="center" vertical="center"/>
      <protection locked="0"/>
    </xf>
    <xf numFmtId="2" fontId="3" fillId="5" borderId="6" xfId="0" applyNumberFormat="1" applyFont="1" applyFill="1" applyBorder="1" applyAlignment="1">
      <alignment horizontal="left"/>
    </xf>
    <xf numFmtId="2" fontId="3" fillId="5" borderId="8" xfId="0" applyNumberFormat="1" applyFont="1" applyFill="1" applyBorder="1" applyAlignment="1">
      <alignment horizontal="left"/>
    </xf>
    <xf numFmtId="0" fontId="8" fillId="5" borderId="9" xfId="0" applyFont="1" applyFill="1" applyBorder="1" applyAlignment="1" applyProtection="1">
      <alignment horizontal="center"/>
      <protection locked="0"/>
    </xf>
    <xf numFmtId="49" fontId="2" fillId="5" borderId="3" xfId="0" applyNumberFormat="1" applyFont="1" applyFill="1" applyBorder="1" applyAlignment="1">
      <alignment horizontal="center" vertical="center" wrapText="1"/>
    </xf>
    <xf numFmtId="0" fontId="2" fillId="5" borderId="1" xfId="0" applyFont="1" applyFill="1" applyBorder="1" applyAlignment="1">
      <alignment horizontal="center" vertical="center" wrapText="1"/>
    </xf>
    <xf numFmtId="165" fontId="2" fillId="5" borderId="1" xfId="0" applyNumberFormat="1" applyFont="1" applyFill="1" applyBorder="1" applyAlignment="1">
      <alignment horizontal="center" vertical="center" wrapText="1"/>
    </xf>
    <xf numFmtId="0" fontId="2" fillId="5" borderId="2" xfId="0" applyFont="1" applyFill="1" applyBorder="1" applyAlignment="1">
      <alignment horizontal="center" vertical="center" wrapText="1"/>
    </xf>
    <xf numFmtId="2" fontId="2" fillId="5" borderId="1" xfId="0" applyNumberFormat="1" applyFont="1" applyFill="1" applyBorder="1" applyAlignment="1">
      <alignment horizontal="center" vertical="center" wrapText="1"/>
    </xf>
    <xf numFmtId="166" fontId="2" fillId="5" borderId="1" xfId="0" applyNumberFormat="1" applyFont="1" applyFill="1" applyBorder="1" applyAlignment="1">
      <alignment horizontal="center" vertical="center" wrapText="1"/>
    </xf>
    <xf numFmtId="0" fontId="2" fillId="5" borderId="0" xfId="0" applyFont="1" applyFill="1" applyBorder="1" applyAlignment="1">
      <alignment horizontal="center" vertical="center" wrapText="1"/>
    </xf>
    <xf numFmtId="49" fontId="4" fillId="5" borderId="3" xfId="0" applyNumberFormat="1" applyFont="1" applyFill="1" applyBorder="1" applyAlignment="1">
      <alignment horizontal="left" vertical="center" wrapText="1"/>
    </xf>
    <xf numFmtId="2" fontId="4" fillId="5" borderId="3" xfId="0" applyNumberFormat="1" applyFont="1" applyFill="1" applyBorder="1" applyAlignment="1">
      <alignment horizontal="left" vertical="center" wrapText="1"/>
    </xf>
    <xf numFmtId="165" fontId="4" fillId="5" borderId="3" xfId="0" applyNumberFormat="1" applyFont="1" applyFill="1" applyBorder="1" applyAlignment="1">
      <alignment horizontal="center" vertical="center" wrapText="1"/>
    </xf>
    <xf numFmtId="2" fontId="4" fillId="5" borderId="3" xfId="0" applyNumberFormat="1" applyFont="1" applyFill="1" applyBorder="1" applyAlignment="1">
      <alignment horizontal="center" vertical="center" wrapText="1"/>
    </xf>
    <xf numFmtId="166" fontId="4" fillId="5" borderId="3" xfId="0" applyNumberFormat="1" applyFont="1" applyFill="1" applyBorder="1" applyAlignment="1">
      <alignment horizontal="center" vertical="center" wrapText="1"/>
    </xf>
    <xf numFmtId="49" fontId="6" fillId="5" borderId="0" xfId="0" applyNumberFormat="1" applyFont="1" applyFill="1" applyAlignment="1">
      <alignment horizontal="center" vertical="top" wrapText="1"/>
    </xf>
    <xf numFmtId="0" fontId="5" fillId="5" borderId="0" xfId="0" applyFont="1" applyFill="1" applyAlignment="1">
      <alignment vertical="top" wrapText="1"/>
    </xf>
    <xf numFmtId="0" fontId="0" fillId="5" borderId="0" xfId="0" applyFill="1" applyAlignment="1">
      <alignment vertical="top" wrapText="1"/>
    </xf>
    <xf numFmtId="165" fontId="4" fillId="5" borderId="0" xfId="0" applyNumberFormat="1" applyFont="1" applyFill="1" applyBorder="1" applyAlignment="1">
      <alignment horizontal="center" vertical="center" wrapText="1"/>
    </xf>
    <xf numFmtId="2" fontId="4" fillId="5" borderId="0" xfId="0" applyNumberFormat="1" applyFont="1" applyFill="1" applyBorder="1" applyAlignment="1">
      <alignment horizontal="center" vertical="center" wrapText="1"/>
    </xf>
    <xf numFmtId="2" fontId="0" fillId="5" borderId="0" xfId="0" applyNumberFormat="1" applyFill="1" applyAlignment="1">
      <alignment horizontal="center" vertical="top" wrapText="1"/>
    </xf>
    <xf numFmtId="166" fontId="4" fillId="5" borderId="0" xfId="0" applyNumberFormat="1" applyFont="1" applyFill="1" applyBorder="1" applyAlignment="1">
      <alignment horizontal="center" vertical="center" wrapText="1"/>
    </xf>
    <xf numFmtId="2" fontId="3" fillId="5" borderId="0" xfId="0" applyNumberFormat="1" applyFont="1" applyFill="1" applyAlignment="1">
      <alignment horizontal="center" vertical="top" wrapText="1"/>
    </xf>
    <xf numFmtId="166" fontId="0" fillId="5" borderId="0" xfId="0" applyNumberFormat="1" applyFill="1" applyAlignment="1">
      <alignment horizontal="center" vertical="top" wrapText="1"/>
    </xf>
    <xf numFmtId="49" fontId="3" fillId="5" borderId="4" xfId="2" applyNumberFormat="1" applyFont="1" applyFill="1" applyBorder="1" applyAlignment="1" applyProtection="1">
      <alignment horizontal="right" vertical="top" wrapText="1"/>
    </xf>
    <xf numFmtId="0" fontId="3" fillId="5" borderId="11" xfId="2" applyFont="1" applyFill="1" applyBorder="1" applyAlignment="1" applyProtection="1">
      <alignment horizontal="left" vertical="top" wrapText="1"/>
    </xf>
    <xf numFmtId="49" fontId="1" fillId="5" borderId="6" xfId="2" applyNumberFormat="1" applyFill="1" applyBorder="1" applyAlignment="1">
      <alignment horizontal="right"/>
    </xf>
    <xf numFmtId="0" fontId="10" fillId="5" borderId="10" xfId="2" applyFont="1" applyFill="1" applyBorder="1"/>
    <xf numFmtId="0" fontId="1" fillId="5" borderId="10" xfId="2" applyFont="1" applyFill="1" applyBorder="1"/>
    <xf numFmtId="49" fontId="1" fillId="5" borderId="6" xfId="2" applyNumberFormat="1" applyFont="1" applyFill="1" applyBorder="1" applyAlignment="1">
      <alignment horizontal="right"/>
    </xf>
    <xf numFmtId="0" fontId="1" fillId="5" borderId="10" xfId="2" applyFill="1" applyBorder="1"/>
    <xf numFmtId="49" fontId="1" fillId="5" borderId="8" xfId="2" applyNumberFormat="1" applyFont="1" applyFill="1" applyBorder="1" applyAlignment="1">
      <alignment horizontal="right"/>
    </xf>
    <xf numFmtId="0" fontId="1" fillId="5" borderId="12" xfId="2" applyFont="1" applyFill="1" applyBorder="1"/>
    <xf numFmtId="49" fontId="1" fillId="5" borderId="0" xfId="2" applyNumberFormat="1" applyFill="1" applyBorder="1" applyAlignment="1">
      <alignment horizontal="right"/>
    </xf>
    <xf numFmtId="0" fontId="1" fillId="5" borderId="0" xfId="2" applyFill="1" applyBorder="1"/>
    <xf numFmtId="49" fontId="1" fillId="5" borderId="4" xfId="2" applyNumberFormat="1" applyFill="1" applyBorder="1" applyAlignment="1">
      <alignment horizontal="right"/>
    </xf>
    <xf numFmtId="0" fontId="10" fillId="5" borderId="11" xfId="2" applyFont="1" applyFill="1" applyBorder="1"/>
    <xf numFmtId="0" fontId="3" fillId="5" borderId="5" xfId="2" applyFont="1" applyFill="1" applyBorder="1" applyAlignment="1" applyProtection="1">
      <alignment horizontal="left" vertical="top" wrapText="1"/>
    </xf>
    <xf numFmtId="0" fontId="10" fillId="5" borderId="16" xfId="3" applyNumberFormat="1" applyFont="1" applyFill="1" applyBorder="1" applyAlignment="1">
      <alignment horizontal="center" vertical="top" wrapText="1"/>
    </xf>
    <xf numFmtId="0" fontId="10" fillId="5" borderId="17" xfId="3" applyNumberFormat="1" applyFont="1" applyFill="1" applyBorder="1" applyAlignment="1">
      <alignment horizontal="center" vertical="top" wrapText="1"/>
    </xf>
    <xf numFmtId="0" fontId="10" fillId="5" borderId="18" xfId="3" applyNumberFormat="1" applyFont="1" applyFill="1" applyBorder="1" applyAlignment="1">
      <alignment horizontal="center" vertical="top" wrapText="1"/>
    </xf>
    <xf numFmtId="9" fontId="10" fillId="5" borderId="19" xfId="3" applyNumberFormat="1" applyFont="1" applyFill="1" applyBorder="1" applyAlignment="1">
      <alignment horizontal="center"/>
    </xf>
    <xf numFmtId="9" fontId="10" fillId="5" borderId="20" xfId="3" applyNumberFormat="1" applyFont="1" applyFill="1" applyBorder="1" applyAlignment="1">
      <alignment horizontal="center"/>
    </xf>
    <xf numFmtId="9" fontId="10" fillId="5" borderId="21" xfId="3" applyNumberFormat="1" applyFont="1" applyFill="1" applyBorder="1" applyAlignment="1">
      <alignment horizontal="center"/>
    </xf>
    <xf numFmtId="0" fontId="3" fillId="5" borderId="4" xfId="0" applyNumberFormat="1" applyFont="1" applyFill="1" applyBorder="1" applyAlignment="1">
      <alignment horizontal="center" vertical="center" wrapText="1"/>
    </xf>
    <xf numFmtId="0" fontId="0" fillId="5" borderId="6" xfId="0" applyNumberFormat="1" applyFill="1" applyBorder="1" applyAlignment="1">
      <alignment horizontal="center"/>
    </xf>
    <xf numFmtId="0" fontId="0" fillId="5" borderId="8" xfId="0" applyNumberFormat="1" applyFill="1" applyBorder="1" applyAlignment="1">
      <alignment horizontal="center"/>
    </xf>
    <xf numFmtId="2" fontId="0" fillId="5" borderId="9" xfId="0" applyNumberFormat="1" applyFill="1" applyBorder="1" applyAlignment="1">
      <alignment horizontal="center"/>
    </xf>
    <xf numFmtId="0" fontId="6" fillId="0" borderId="0" xfId="0" applyFont="1" applyAlignment="1">
      <alignment vertical="top" wrapText="1"/>
    </xf>
    <xf numFmtId="0" fontId="6" fillId="0" borderId="0" xfId="0" applyFont="1" applyFill="1" applyBorder="1" applyAlignment="1">
      <alignment vertical="top" wrapText="1"/>
    </xf>
  </cellXfs>
  <cellStyles count="4">
    <cellStyle name="Prozent" xfId="1" builtinId="5"/>
    <cellStyle name="Standard" xfId="0" builtinId="0"/>
    <cellStyle name="Standard_Checkliste" xfId="2"/>
    <cellStyle name="Standard_Graphik"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2.xml.rels><?xml version="1.0" encoding="UTF-8" standalone="yes"?>
<Relationships xmlns="http://schemas.openxmlformats.org/package/2006/relationships"><Relationship Id="rId1" Type="http://schemas.openxmlformats.org/officeDocument/2006/relationships/vmlDrawing" Target="../drawings/vmlDrawing7.v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900" b="1" i="0" u="none" strike="noStrike" baseline="0">
                <a:solidFill>
                  <a:srgbClr val="000000"/>
                </a:solidFill>
                <a:latin typeface="Arial"/>
                <a:ea typeface="Arial"/>
                <a:cs typeface="Arial"/>
              </a:defRPr>
            </a:pPr>
            <a:r>
              <a:rPr lang="de-DE"/>
              <a:t>Prognostizierte Projektdauer</a:t>
            </a:r>
          </a:p>
        </c:rich>
      </c:tx>
      <c:layout>
        <c:manualLayout>
          <c:xMode val="edge"/>
          <c:yMode val="edge"/>
          <c:x val="0.30803080308030822"/>
          <c:y val="3.1531531531531536E-2"/>
        </c:manualLayout>
      </c:layout>
      <c:overlay val="0"/>
      <c:spPr>
        <a:noFill/>
        <a:ln w="25400">
          <a:noFill/>
        </a:ln>
      </c:spPr>
    </c:title>
    <c:autoTitleDeleted val="0"/>
    <c:plotArea>
      <c:layout>
        <c:manualLayout>
          <c:layoutTarget val="inner"/>
          <c:xMode val="edge"/>
          <c:yMode val="edge"/>
          <c:x val="0.13971755180767428"/>
          <c:y val="0.17342380486302808"/>
          <c:w val="0.6560330783734547"/>
          <c:h val="0.59910041679955162"/>
        </c:manualLayout>
      </c:layout>
      <c:scatterChart>
        <c:scatterStyle val="smoothMarker"/>
        <c:varyColors val="0"/>
        <c:ser>
          <c:idx val="1"/>
          <c:order val="0"/>
          <c:tx>
            <c:strRef>
              <c:f>Dauer!$B$56</c:f>
              <c:strCache>
                <c:ptCount val="1"/>
                <c:pt idx="0">
                  <c:v>McConnell</c:v>
                </c:pt>
              </c:strCache>
            </c:strRef>
          </c:tx>
          <c:spPr>
            <a:ln w="25400">
              <a:solidFill>
                <a:srgbClr val="FF00FF"/>
              </a:solidFill>
              <a:prstDash val="solid"/>
            </a:ln>
          </c:spPr>
          <c:marker>
            <c:symbol val="square"/>
            <c:size val="10"/>
            <c:spPr>
              <a:solidFill>
                <a:srgbClr val="FF00FF"/>
              </a:solidFill>
              <a:ln>
                <a:solidFill>
                  <a:srgbClr val="FF00FF"/>
                </a:solidFill>
                <a:prstDash val="solid"/>
              </a:ln>
            </c:spPr>
          </c:marker>
          <c:xVal>
            <c:numRef>
              <c:f>Dauer!$B$57:$B$60</c:f>
              <c:numCache>
                <c:formatCode>0.00</c:formatCode>
                <c:ptCount val="4"/>
                <c:pt idx="0">
                  <c:v>2.4854981512907246</c:v>
                </c:pt>
                <c:pt idx="1">
                  <c:v>2.5609677534187396</c:v>
                </c:pt>
                <c:pt idx="2">
                  <c:v>2.6322336143530425</c:v>
                </c:pt>
                <c:pt idx="3">
                  <c:v>2.7632742292364125</c:v>
                </c:pt>
              </c:numCache>
            </c:numRef>
          </c:xVal>
          <c:yVal>
            <c:numRef>
              <c:f>Dauer!$A$57:$A$60</c:f>
              <c:numCache>
                <c:formatCode>0%</c:formatCode>
                <c:ptCount val="4"/>
                <c:pt idx="0">
                  <c:v>0.25</c:v>
                </c:pt>
                <c:pt idx="1">
                  <c:v>0.5</c:v>
                </c:pt>
                <c:pt idx="2">
                  <c:v>0.75</c:v>
                </c:pt>
                <c:pt idx="3">
                  <c:v>0.98</c:v>
                </c:pt>
              </c:numCache>
            </c:numRef>
          </c:yVal>
          <c:smooth val="1"/>
        </c:ser>
        <c:ser>
          <c:idx val="2"/>
          <c:order val="1"/>
          <c:tx>
            <c:strRef>
              <c:f>Dauer!$C$56</c:f>
              <c:strCache>
                <c:ptCount val="1"/>
                <c:pt idx="0">
                  <c:v>McConnell historisch</c:v>
                </c:pt>
              </c:strCache>
            </c:strRef>
          </c:tx>
          <c:spPr>
            <a:ln w="25400">
              <a:solidFill>
                <a:srgbClr val="FFFF00"/>
              </a:solidFill>
              <a:prstDash val="solid"/>
            </a:ln>
          </c:spPr>
          <c:marker>
            <c:symbol val="triangle"/>
            <c:size val="10"/>
            <c:spPr>
              <a:solidFill>
                <a:srgbClr val="FFFF00"/>
              </a:solidFill>
              <a:ln>
                <a:solidFill>
                  <a:srgbClr val="FFFF00"/>
                </a:solidFill>
                <a:prstDash val="solid"/>
              </a:ln>
            </c:spPr>
          </c:marker>
          <c:xVal>
            <c:numRef>
              <c:f>Dauer!$C$57:$C$60</c:f>
              <c:numCache>
                <c:formatCode>0.00</c:formatCode>
                <c:ptCount val="4"/>
                <c:pt idx="0">
                  <c:v>2.0712484594089373</c:v>
                </c:pt>
                <c:pt idx="1">
                  <c:v>2.1341397945156166</c:v>
                </c:pt>
                <c:pt idx="2">
                  <c:v>2.1935280119608684</c:v>
                </c:pt>
                <c:pt idx="3">
                  <c:v>2.302728524363677</c:v>
                </c:pt>
              </c:numCache>
            </c:numRef>
          </c:xVal>
          <c:yVal>
            <c:numRef>
              <c:f>Dauer!$A$57:$A$60</c:f>
              <c:numCache>
                <c:formatCode>0%</c:formatCode>
                <c:ptCount val="4"/>
                <c:pt idx="0">
                  <c:v>0.25</c:v>
                </c:pt>
                <c:pt idx="1">
                  <c:v>0.5</c:v>
                </c:pt>
                <c:pt idx="2">
                  <c:v>0.75</c:v>
                </c:pt>
                <c:pt idx="3">
                  <c:v>0.98</c:v>
                </c:pt>
              </c:numCache>
            </c:numRef>
          </c:yVal>
          <c:smooth val="1"/>
        </c:ser>
        <c:ser>
          <c:idx val="3"/>
          <c:order val="2"/>
          <c:tx>
            <c:strRef>
              <c:f>Dauer!$D$56</c:f>
              <c:strCache>
                <c:ptCount val="1"/>
                <c:pt idx="0">
                  <c:v>Daumen x Pi</c:v>
                </c:pt>
              </c:strCache>
            </c:strRef>
          </c:tx>
          <c:spPr>
            <a:ln w="25400">
              <a:solidFill>
                <a:srgbClr val="00FFFF"/>
              </a:solidFill>
              <a:prstDash val="solid"/>
            </a:ln>
          </c:spPr>
          <c:marker>
            <c:symbol val="x"/>
            <c:size val="10"/>
            <c:spPr>
              <a:noFill/>
              <a:ln>
                <a:solidFill>
                  <a:srgbClr val="00FFFF"/>
                </a:solidFill>
                <a:prstDash val="solid"/>
              </a:ln>
            </c:spPr>
          </c:marker>
          <c:xVal>
            <c:numRef>
              <c:f>Dauer!$D$57:$D$60</c:f>
              <c:numCache>
                <c:formatCode>0.00</c:formatCode>
                <c:ptCount val="4"/>
                <c:pt idx="0">
                  <c:v>0.7541162245630646</c:v>
                </c:pt>
                <c:pt idx="1">
                  <c:v>0.78872259593175942</c:v>
                </c:pt>
                <c:pt idx="2">
                  <c:v>0.82187309635820072</c:v>
                </c:pt>
                <c:pt idx="3">
                  <c:v>0.88400373108341668</c:v>
                </c:pt>
              </c:numCache>
            </c:numRef>
          </c:xVal>
          <c:yVal>
            <c:numRef>
              <c:f>Dauer!$A$57:$A$60</c:f>
              <c:numCache>
                <c:formatCode>0%</c:formatCode>
                <c:ptCount val="4"/>
                <c:pt idx="0">
                  <c:v>0.25</c:v>
                </c:pt>
                <c:pt idx="1">
                  <c:v>0.5</c:v>
                </c:pt>
                <c:pt idx="2">
                  <c:v>0.75</c:v>
                </c:pt>
                <c:pt idx="3">
                  <c:v>0.98</c:v>
                </c:pt>
              </c:numCache>
            </c:numRef>
          </c:yVal>
          <c:smooth val="1"/>
        </c:ser>
        <c:ser>
          <c:idx val="4"/>
          <c:order val="3"/>
          <c:tx>
            <c:strRef>
              <c:f>Dauer!$E$56</c:f>
              <c:strCache>
                <c:ptCount val="1"/>
                <c:pt idx="0">
                  <c:v>Boehm klein</c:v>
                </c:pt>
              </c:strCache>
            </c:strRef>
          </c:tx>
          <c:spPr>
            <a:ln w="25400">
              <a:solidFill>
                <a:srgbClr val="800080"/>
              </a:solidFill>
              <a:prstDash val="solid"/>
            </a:ln>
          </c:spPr>
          <c:marker>
            <c:symbol val="star"/>
            <c:size val="10"/>
            <c:spPr>
              <a:noFill/>
              <a:ln>
                <a:solidFill>
                  <a:srgbClr val="800080"/>
                </a:solidFill>
                <a:prstDash val="solid"/>
              </a:ln>
            </c:spPr>
          </c:marker>
          <c:xVal>
            <c:numRef>
              <c:f>Dauer!$E$57:$E$60</c:f>
              <c:numCache>
                <c:formatCode>0.00</c:formatCode>
                <c:ptCount val="4"/>
                <c:pt idx="0">
                  <c:v>2.0174050562041126</c:v>
                </c:pt>
                <c:pt idx="1">
                  <c:v>2.0873845456313149</c:v>
                </c:pt>
                <c:pt idx="2">
                  <c:v>2.1537318446923068</c:v>
                </c:pt>
                <c:pt idx="3">
                  <c:v>2.2763818968132106</c:v>
                </c:pt>
              </c:numCache>
            </c:numRef>
          </c:xVal>
          <c:yVal>
            <c:numRef>
              <c:f>Dauer!$A$57:$A$60</c:f>
              <c:numCache>
                <c:formatCode>0%</c:formatCode>
                <c:ptCount val="4"/>
                <c:pt idx="0">
                  <c:v>0.25</c:v>
                </c:pt>
                <c:pt idx="1">
                  <c:v>0.5</c:v>
                </c:pt>
                <c:pt idx="2">
                  <c:v>0.75</c:v>
                </c:pt>
                <c:pt idx="3">
                  <c:v>0.98</c:v>
                </c:pt>
              </c:numCache>
            </c:numRef>
          </c:yVal>
          <c:smooth val="1"/>
        </c:ser>
        <c:ser>
          <c:idx val="5"/>
          <c:order val="4"/>
          <c:tx>
            <c:strRef>
              <c:f>Dauer!$F$56</c:f>
              <c:strCache>
                <c:ptCount val="1"/>
                <c:pt idx="0">
                  <c:v>Boehm mittel</c:v>
                </c:pt>
              </c:strCache>
            </c:strRef>
          </c:tx>
          <c:spPr>
            <a:ln w="25400">
              <a:solidFill>
                <a:srgbClr val="800000"/>
              </a:solidFill>
              <a:prstDash val="solid"/>
            </a:ln>
          </c:spPr>
          <c:marker>
            <c:symbol val="circle"/>
            <c:size val="10"/>
            <c:spPr>
              <a:solidFill>
                <a:srgbClr val="800000"/>
              </a:solidFill>
              <a:ln>
                <a:solidFill>
                  <a:srgbClr val="800000"/>
                </a:solidFill>
                <a:prstDash val="solid"/>
              </a:ln>
            </c:spPr>
          </c:marker>
          <c:xVal>
            <c:numRef>
              <c:f>Dauer!$F$57:$F$60</c:f>
              <c:numCache>
                <c:formatCode>0.00</c:formatCode>
                <c:ptCount val="4"/>
                <c:pt idx="0">
                  <c:v>2.0518556660757086</c:v>
                </c:pt>
                <c:pt idx="1">
                  <c:v>2.1173224714804366</c:v>
                </c:pt>
                <c:pt idx="2">
                  <c:v>2.1792313785600612</c:v>
                </c:pt>
                <c:pt idx="3">
                  <c:v>2.2932841914588038</c:v>
                </c:pt>
              </c:numCache>
            </c:numRef>
          </c:xVal>
          <c:yVal>
            <c:numRef>
              <c:f>Dauer!$A$57:$A$60</c:f>
              <c:numCache>
                <c:formatCode>0%</c:formatCode>
                <c:ptCount val="4"/>
                <c:pt idx="0">
                  <c:v>0.25</c:v>
                </c:pt>
                <c:pt idx="1">
                  <c:v>0.5</c:v>
                </c:pt>
                <c:pt idx="2">
                  <c:v>0.75</c:v>
                </c:pt>
                <c:pt idx="3">
                  <c:v>0.98</c:v>
                </c:pt>
              </c:numCache>
            </c:numRef>
          </c:yVal>
          <c:smooth val="1"/>
        </c:ser>
        <c:ser>
          <c:idx val="6"/>
          <c:order val="5"/>
          <c:tx>
            <c:strRef>
              <c:f>Dauer!$G$56</c:f>
              <c:strCache>
                <c:ptCount val="1"/>
                <c:pt idx="0">
                  <c:v>Boehm groß</c:v>
                </c:pt>
              </c:strCache>
            </c:strRef>
          </c:tx>
          <c:spPr>
            <a:ln w="25400">
              <a:solidFill>
                <a:srgbClr val="008080"/>
              </a:solidFill>
              <a:prstDash val="solid"/>
            </a:ln>
          </c:spPr>
          <c:marker>
            <c:symbol val="plus"/>
            <c:size val="10"/>
            <c:spPr>
              <a:noFill/>
              <a:ln>
                <a:solidFill>
                  <a:srgbClr val="008080"/>
                </a:solidFill>
                <a:prstDash val="solid"/>
              </a:ln>
            </c:spPr>
          </c:marker>
          <c:xVal>
            <c:numRef>
              <c:f>Dauer!$G$57:$G$60</c:f>
              <c:numCache>
                <c:formatCode>0.00</c:formatCode>
                <c:ptCount val="4"/>
                <c:pt idx="0">
                  <c:v>2.0868945784881721</c:v>
                </c:pt>
                <c:pt idx="1">
                  <c:v>2.1476897764806222</c:v>
                </c:pt>
                <c:pt idx="2">
                  <c:v>2.205032819199114</c:v>
                </c:pt>
                <c:pt idx="3">
                  <c:v>2.3103119868231849</c:v>
                </c:pt>
              </c:numCache>
            </c:numRef>
          </c:xVal>
          <c:yVal>
            <c:numRef>
              <c:f>Dauer!$A$57:$A$60</c:f>
              <c:numCache>
                <c:formatCode>0%</c:formatCode>
                <c:ptCount val="4"/>
                <c:pt idx="0">
                  <c:v>0.25</c:v>
                </c:pt>
                <c:pt idx="1">
                  <c:v>0.5</c:v>
                </c:pt>
                <c:pt idx="2">
                  <c:v>0.75</c:v>
                </c:pt>
                <c:pt idx="3">
                  <c:v>0.98</c:v>
                </c:pt>
              </c:numCache>
            </c:numRef>
          </c:yVal>
          <c:smooth val="1"/>
        </c:ser>
        <c:ser>
          <c:idx val="0"/>
          <c:order val="6"/>
          <c:tx>
            <c:strRef>
              <c:f>Dauer!$H$56</c:f>
              <c:strCache>
                <c:ptCount val="1"/>
                <c:pt idx="0">
                  <c:v>Roetzheim klein</c:v>
                </c:pt>
              </c:strCache>
            </c:strRef>
          </c:tx>
          <c:spPr>
            <a:ln w="25400">
              <a:solidFill>
                <a:srgbClr val="000080"/>
              </a:solidFill>
              <a:prstDash val="solid"/>
            </a:ln>
          </c:spPr>
          <c:marker>
            <c:symbol val="diamond"/>
            <c:size val="10"/>
            <c:spPr>
              <a:solidFill>
                <a:srgbClr val="000080"/>
              </a:solidFill>
              <a:ln>
                <a:solidFill>
                  <a:srgbClr val="000080"/>
                </a:solidFill>
                <a:prstDash val="solid"/>
              </a:ln>
            </c:spPr>
          </c:marker>
          <c:xVal>
            <c:numRef>
              <c:f>Dauer!$H$57:$H$60</c:f>
              <c:numCache>
                <c:formatCode>0.00</c:formatCode>
                <c:ptCount val="4"/>
                <c:pt idx="0">
                  <c:v>1.0884730131293741</c:v>
                </c:pt>
                <c:pt idx="1">
                  <c:v>1.1384230076928543</c:v>
                </c:pt>
                <c:pt idx="2">
                  <c:v>1.1862716335552961</c:v>
                </c:pt>
                <c:pt idx="3">
                  <c:v>1.2759494802641103</c:v>
                </c:pt>
              </c:numCache>
            </c:numRef>
          </c:xVal>
          <c:yVal>
            <c:numRef>
              <c:f>Dauer!$A$57:$A$60</c:f>
              <c:numCache>
                <c:formatCode>0%</c:formatCode>
                <c:ptCount val="4"/>
                <c:pt idx="0">
                  <c:v>0.25</c:v>
                </c:pt>
                <c:pt idx="1">
                  <c:v>0.5</c:v>
                </c:pt>
                <c:pt idx="2">
                  <c:v>0.75</c:v>
                </c:pt>
                <c:pt idx="3">
                  <c:v>0.98</c:v>
                </c:pt>
              </c:numCache>
            </c:numRef>
          </c:yVal>
          <c:smooth val="1"/>
        </c:ser>
        <c:ser>
          <c:idx val="7"/>
          <c:order val="7"/>
          <c:tx>
            <c:strRef>
              <c:f>Dauer!$I$56</c:f>
              <c:strCache>
                <c:ptCount val="1"/>
                <c:pt idx="0">
                  <c:v>Roetzheim mittel bis groß</c:v>
                </c:pt>
              </c:strCache>
            </c:strRef>
          </c:tx>
          <c:spPr>
            <a:ln w="25400">
              <a:solidFill>
                <a:srgbClr val="0000FF"/>
              </a:solidFill>
              <a:prstDash val="solid"/>
            </a:ln>
          </c:spPr>
          <c:marker>
            <c:symbol val="dot"/>
            <c:size val="10"/>
            <c:spPr>
              <a:noFill/>
              <a:ln>
                <a:solidFill>
                  <a:srgbClr val="0000FF"/>
                </a:solidFill>
                <a:prstDash val="solid"/>
              </a:ln>
            </c:spPr>
          </c:marker>
          <c:xVal>
            <c:numRef>
              <c:f>Dauer!$I$57:$I$60</c:f>
              <c:numCache>
                <c:formatCode>0.00</c:formatCode>
                <c:ptCount val="4"/>
                <c:pt idx="0">
                  <c:v>2.5395475700410945</c:v>
                </c:pt>
                <c:pt idx="1">
                  <c:v>2.6166583273340098</c:v>
                </c:pt>
                <c:pt idx="2">
                  <c:v>2.6894739292561476</c:v>
                </c:pt>
                <c:pt idx="3">
                  <c:v>2.8233641415385176</c:v>
                </c:pt>
              </c:numCache>
            </c:numRef>
          </c:xVal>
          <c:yVal>
            <c:numRef>
              <c:f>Dauer!$A$57:$A$60</c:f>
              <c:numCache>
                <c:formatCode>0%</c:formatCode>
                <c:ptCount val="4"/>
                <c:pt idx="0">
                  <c:v>0.25</c:v>
                </c:pt>
                <c:pt idx="1">
                  <c:v>0.5</c:v>
                </c:pt>
                <c:pt idx="2">
                  <c:v>0.75</c:v>
                </c:pt>
                <c:pt idx="3">
                  <c:v>0.98</c:v>
                </c:pt>
              </c:numCache>
            </c:numRef>
          </c:yVal>
          <c:smooth val="1"/>
        </c:ser>
        <c:dLbls>
          <c:showLegendKey val="0"/>
          <c:showVal val="0"/>
          <c:showCatName val="0"/>
          <c:showSerName val="0"/>
          <c:showPercent val="0"/>
          <c:showBubbleSize val="0"/>
        </c:dLbls>
        <c:axId val="313169240"/>
        <c:axId val="313162576"/>
      </c:scatterChart>
      <c:valAx>
        <c:axId val="313169240"/>
        <c:scaling>
          <c:orientation val="minMax"/>
        </c:scaling>
        <c:delete val="0"/>
        <c:axPos val="b"/>
        <c:title>
          <c:tx>
            <c:rich>
              <a:bodyPr/>
              <a:lstStyle/>
              <a:p>
                <a:pPr>
                  <a:defRPr sz="1675" b="1" i="0" u="none" strike="noStrike" baseline="0">
                    <a:solidFill>
                      <a:srgbClr val="000000"/>
                    </a:solidFill>
                    <a:latin typeface="Arial"/>
                    <a:ea typeface="Arial"/>
                    <a:cs typeface="Arial"/>
                  </a:defRPr>
                </a:pPr>
                <a:r>
                  <a:rPr lang="de-DE"/>
                  <a:t>Projektdauer (Monate)</a:t>
                </a:r>
              </a:p>
            </c:rich>
          </c:tx>
          <c:layout>
            <c:manualLayout>
              <c:xMode val="edge"/>
              <c:yMode val="edge"/>
              <c:x val="0.31023136959365238"/>
              <c:y val="0.88964153129507495"/>
            </c:manualLayout>
          </c:layout>
          <c:overlay val="0"/>
          <c:spPr>
            <a:noFill/>
            <a:ln w="25400">
              <a:noFill/>
            </a:ln>
          </c:spPr>
        </c:title>
        <c:numFmt formatCode="0.00" sourceLinked="1"/>
        <c:majorTickMark val="out"/>
        <c:minorTickMark val="none"/>
        <c:tickLblPos val="nextTo"/>
        <c:spPr>
          <a:ln w="3175">
            <a:solidFill>
              <a:srgbClr val="000000"/>
            </a:solidFill>
            <a:prstDash val="solid"/>
          </a:ln>
        </c:spPr>
        <c:txPr>
          <a:bodyPr rot="0" vert="horz"/>
          <a:lstStyle/>
          <a:p>
            <a:pPr>
              <a:defRPr sz="1675" b="0" i="0" u="none" strike="noStrike" baseline="0">
                <a:solidFill>
                  <a:srgbClr val="000000"/>
                </a:solidFill>
                <a:latin typeface="Arial"/>
                <a:ea typeface="Arial"/>
                <a:cs typeface="Arial"/>
              </a:defRPr>
            </a:pPr>
            <a:endParaRPr lang="de-DE"/>
          </a:p>
        </c:txPr>
        <c:crossAx val="313162576"/>
        <c:crosses val="autoZero"/>
        <c:crossBetween val="midCat"/>
      </c:valAx>
      <c:valAx>
        <c:axId val="313162576"/>
        <c:scaling>
          <c:orientation val="minMax"/>
          <c:max val="1"/>
          <c:min val="0.25"/>
        </c:scaling>
        <c:delete val="0"/>
        <c:axPos val="l"/>
        <c:majorGridlines>
          <c:spPr>
            <a:ln w="3175">
              <a:solidFill>
                <a:srgbClr val="000000"/>
              </a:solidFill>
              <a:prstDash val="solid"/>
            </a:ln>
          </c:spPr>
        </c:majorGridlines>
        <c:title>
          <c:tx>
            <c:rich>
              <a:bodyPr/>
              <a:lstStyle/>
              <a:p>
                <a:pPr>
                  <a:defRPr sz="1675" b="1" i="0" u="none" strike="noStrike" baseline="0">
                    <a:solidFill>
                      <a:srgbClr val="000000"/>
                    </a:solidFill>
                    <a:latin typeface="Arial"/>
                    <a:ea typeface="Arial"/>
                    <a:cs typeface="Arial"/>
                  </a:defRPr>
                </a:pPr>
                <a:r>
                  <a:rPr lang="de-DE"/>
                  <a:t>Perzentile</a:t>
                </a:r>
              </a:p>
            </c:rich>
          </c:tx>
          <c:layout>
            <c:manualLayout>
              <c:xMode val="edge"/>
              <c:yMode val="edge"/>
              <c:x val="1.4301430143014307E-2"/>
              <c:y val="0.35360431297439182"/>
            </c:manualLayout>
          </c:layout>
          <c:overlay val="0"/>
          <c:spPr>
            <a:noFill/>
            <a:ln w="25400">
              <a:noFill/>
            </a:ln>
          </c:spPr>
        </c:title>
        <c:numFmt formatCode="0%" sourceLinked="1"/>
        <c:majorTickMark val="out"/>
        <c:minorTickMark val="none"/>
        <c:tickLblPos val="nextTo"/>
        <c:spPr>
          <a:ln w="3175">
            <a:solidFill>
              <a:srgbClr val="000000"/>
            </a:solidFill>
            <a:prstDash val="solid"/>
          </a:ln>
        </c:spPr>
        <c:txPr>
          <a:bodyPr rot="0" vert="horz"/>
          <a:lstStyle/>
          <a:p>
            <a:pPr>
              <a:defRPr sz="1675" b="0" i="0" u="none" strike="noStrike" baseline="0">
                <a:solidFill>
                  <a:srgbClr val="000000"/>
                </a:solidFill>
                <a:latin typeface="Arial"/>
                <a:ea typeface="Arial"/>
                <a:cs typeface="Arial"/>
              </a:defRPr>
            </a:pPr>
            <a:endParaRPr lang="de-DE"/>
          </a:p>
        </c:txPr>
        <c:crossAx val="313169240"/>
        <c:crosses val="autoZero"/>
        <c:crossBetween val="midCat"/>
        <c:minorUnit val="0.1"/>
      </c:valAx>
      <c:spPr>
        <a:solidFill>
          <a:srgbClr val="C0C0C0"/>
        </a:solidFill>
        <a:ln w="12700">
          <a:solidFill>
            <a:srgbClr val="808080"/>
          </a:solidFill>
          <a:prstDash val="solid"/>
        </a:ln>
      </c:spPr>
    </c:plotArea>
    <c:legend>
      <c:legendPos val="r"/>
      <c:layout>
        <c:manualLayout>
          <c:xMode val="edge"/>
          <c:yMode val="edge"/>
          <c:x val="0.83388431231574633"/>
          <c:y val="6.7567804024496983E-2"/>
          <c:w val="0.16171640261138934"/>
          <c:h val="0.71396561916246937"/>
        </c:manualLayout>
      </c:layout>
      <c:overlay val="0"/>
      <c:spPr>
        <a:solidFill>
          <a:srgbClr val="FFFFFF"/>
        </a:solidFill>
        <a:ln w="3175">
          <a:solidFill>
            <a:srgbClr val="000000"/>
          </a:solidFill>
          <a:prstDash val="solid"/>
        </a:ln>
      </c:spPr>
      <c:txPr>
        <a:bodyPr/>
        <a:lstStyle/>
        <a:p>
          <a:pPr>
            <a:defRPr sz="1100" b="0" i="0" u="none" strike="noStrike" baseline="0">
              <a:solidFill>
                <a:srgbClr val="000000"/>
              </a:solidFill>
              <a:latin typeface="Arial"/>
              <a:ea typeface="Arial"/>
              <a:cs typeface="Arial"/>
            </a:defRPr>
          </a:pPr>
          <a:endParaRPr lang="de-DE"/>
        </a:p>
      </c:txPr>
    </c:legend>
    <c:plotVisOnly val="1"/>
    <c:dispBlanksAs val="gap"/>
    <c:showDLblsOverMax val="0"/>
  </c:chart>
  <c:spPr>
    <a:solidFill>
      <a:srgbClr val="FFFFFF"/>
    </a:solidFill>
    <a:ln w="3175">
      <a:solidFill>
        <a:srgbClr val="000000"/>
      </a:solidFill>
      <a:prstDash val="solid"/>
    </a:ln>
  </c:spPr>
  <c:txPr>
    <a:bodyPr/>
    <a:lstStyle/>
    <a:p>
      <a:pPr>
        <a:defRPr sz="1600" b="0" i="0" u="none" strike="noStrike" baseline="0">
          <a:solidFill>
            <a:srgbClr val="000000"/>
          </a:solidFill>
          <a:latin typeface="Arial"/>
          <a:ea typeface="Arial"/>
          <a:cs typeface="Arial"/>
        </a:defRPr>
      </a:pPr>
      <a:endParaRPr lang="de-DE"/>
    </a:p>
  </c:txPr>
  <c:printSettings>
    <c:headerFooter alignWithMargins="0"/>
    <c:pageMargins b="0.98425196899999967" l="0.78740157499999996" r="0.78740157499999996" t="0.98425196899999967" header="0.49212598450000017" footer="0.49212598450000017"/>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6547619047619031"/>
          <c:y val="3.0060120240480961E-2"/>
        </c:manualLayout>
      </c:layout>
      <c:overlay val="0"/>
      <c:spPr>
        <a:noFill/>
        <a:ln w="25400">
          <a:noFill/>
        </a:ln>
      </c:spPr>
      <c:txPr>
        <a:bodyPr/>
        <a:lstStyle/>
        <a:p>
          <a:pPr>
            <a:defRPr sz="1725" b="1" i="0" u="none" strike="noStrike" baseline="0">
              <a:solidFill>
                <a:srgbClr val="000000"/>
              </a:solidFill>
              <a:latin typeface="Arial"/>
              <a:ea typeface="Arial"/>
              <a:cs typeface="Arial"/>
            </a:defRPr>
          </a:pPr>
          <a:endParaRPr lang="de-DE"/>
        </a:p>
      </c:txPr>
    </c:title>
    <c:autoTitleDeleted val="0"/>
    <c:plotArea>
      <c:layout>
        <c:manualLayout>
          <c:layoutTarget val="inner"/>
          <c:xMode val="edge"/>
          <c:yMode val="edge"/>
          <c:x val="0.1535716071098483"/>
          <c:y val="0.18637292786053342"/>
          <c:w val="0.80595331793308012"/>
          <c:h val="0.5991989831215"/>
        </c:manualLayout>
      </c:layout>
      <c:scatterChart>
        <c:scatterStyle val="smoothMarker"/>
        <c:varyColors val="0"/>
        <c:ser>
          <c:idx val="2"/>
          <c:order val="0"/>
          <c:tx>
            <c:strRef>
              <c:f>'% Konfidenz'!$D$3</c:f>
              <c:strCache>
                <c:ptCount val="1"/>
                <c:pt idx="0">
                  <c:v>Aufwand (Personenmonate brutto)</c:v>
                </c:pt>
              </c:strCache>
            </c:strRef>
          </c:tx>
          <c:spPr>
            <a:ln w="25400">
              <a:solidFill>
                <a:srgbClr val="0000FF"/>
              </a:solidFill>
              <a:prstDash val="solid"/>
            </a:ln>
          </c:spPr>
          <c:marker>
            <c:symbol val="triangle"/>
            <c:size val="10"/>
            <c:spPr>
              <a:solidFill>
                <a:srgbClr val="0000FF"/>
              </a:solidFill>
              <a:ln>
                <a:solidFill>
                  <a:srgbClr val="0000FF"/>
                </a:solidFill>
                <a:prstDash val="solid"/>
              </a:ln>
            </c:spPr>
          </c:marker>
          <c:xVal>
            <c:numRef>
              <c:f>'% Konfidenz'!$D$4:$D$18</c:f>
              <c:numCache>
                <c:formatCode>0.00</c:formatCode>
                <c:ptCount val="15"/>
                <c:pt idx="0">
                  <c:v>0.46270407009726516</c:v>
                </c:pt>
                <c:pt idx="1">
                  <c:v>0.52008060486224972</c:v>
                </c:pt>
                <c:pt idx="2">
                  <c:v>0.54239370171529921</c:v>
                </c:pt>
                <c:pt idx="3">
                  <c:v>0.55514404277418472</c:v>
                </c:pt>
                <c:pt idx="4">
                  <c:v>0.56869128014925052</c:v>
                </c:pt>
                <c:pt idx="5">
                  <c:v>0.58064472489195562</c:v>
                </c:pt>
                <c:pt idx="6">
                  <c:v>0.60216092542882493</c:v>
                </c:pt>
                <c:pt idx="7">
                  <c:v>0.62208333333333343</c:v>
                </c:pt>
                <c:pt idx="8">
                  <c:v>0.64200574123784193</c:v>
                </c:pt>
                <c:pt idx="9">
                  <c:v>0.66352194177471113</c:v>
                </c:pt>
                <c:pt idx="10">
                  <c:v>0.67547538651741623</c:v>
                </c:pt>
                <c:pt idx="11">
                  <c:v>0.68902262389248203</c:v>
                </c:pt>
                <c:pt idx="12">
                  <c:v>0.70177296495136754</c:v>
                </c:pt>
                <c:pt idx="13">
                  <c:v>0.72408606180441715</c:v>
                </c:pt>
                <c:pt idx="14">
                  <c:v>0.78146259656940165</c:v>
                </c:pt>
              </c:numCache>
            </c:numRef>
          </c:xVal>
          <c:yVal>
            <c:numRef>
              <c:f>'% Konfidenz'!$A$4:$A$18</c:f>
              <c:numCache>
                <c:formatCode>0%</c:formatCode>
                <c:ptCount val="15"/>
                <c:pt idx="0">
                  <c:v>0.02</c:v>
                </c:pt>
                <c:pt idx="1">
                  <c:v>0.1</c:v>
                </c:pt>
                <c:pt idx="2">
                  <c:v>0.16</c:v>
                </c:pt>
                <c:pt idx="3">
                  <c:v>0.2</c:v>
                </c:pt>
                <c:pt idx="4">
                  <c:v>0.25</c:v>
                </c:pt>
                <c:pt idx="5">
                  <c:v>0.3</c:v>
                </c:pt>
                <c:pt idx="6">
                  <c:v>0.4</c:v>
                </c:pt>
                <c:pt idx="7">
                  <c:v>0.5</c:v>
                </c:pt>
                <c:pt idx="8">
                  <c:v>0.6</c:v>
                </c:pt>
                <c:pt idx="9">
                  <c:v>0.7</c:v>
                </c:pt>
                <c:pt idx="10">
                  <c:v>0.75</c:v>
                </c:pt>
                <c:pt idx="11">
                  <c:v>0.8</c:v>
                </c:pt>
                <c:pt idx="12">
                  <c:v>0.84</c:v>
                </c:pt>
                <c:pt idx="13">
                  <c:v>0.9</c:v>
                </c:pt>
                <c:pt idx="14">
                  <c:v>0.98</c:v>
                </c:pt>
              </c:numCache>
            </c:numRef>
          </c:yVal>
          <c:smooth val="1"/>
        </c:ser>
        <c:dLbls>
          <c:showLegendKey val="0"/>
          <c:showVal val="0"/>
          <c:showCatName val="0"/>
          <c:showSerName val="0"/>
          <c:showPercent val="0"/>
          <c:showBubbleSize val="0"/>
        </c:dLbls>
        <c:axId val="313171200"/>
        <c:axId val="313170808"/>
      </c:scatterChart>
      <c:valAx>
        <c:axId val="313171200"/>
        <c:scaling>
          <c:orientation val="minMax"/>
        </c:scaling>
        <c:delete val="0"/>
        <c:axPos val="b"/>
        <c:title>
          <c:tx>
            <c:rich>
              <a:bodyPr/>
              <a:lstStyle/>
              <a:p>
                <a:pPr>
                  <a:defRPr sz="1725" b="1" i="0" u="none" strike="noStrike" baseline="0">
                    <a:solidFill>
                      <a:srgbClr val="000000"/>
                    </a:solidFill>
                    <a:latin typeface="Arial"/>
                    <a:ea typeface="Arial"/>
                    <a:cs typeface="Arial"/>
                  </a:defRPr>
                </a:pPr>
                <a:r>
                  <a:rPr lang="de-DE"/>
                  <a:t>Aufwand in Personenmonaten</a:t>
                </a:r>
              </a:p>
            </c:rich>
          </c:tx>
          <c:layout>
            <c:manualLayout>
              <c:xMode val="edge"/>
              <c:yMode val="edge"/>
              <c:x val="0.35000037495313086"/>
              <c:y val="0.89178440871243758"/>
            </c:manualLayout>
          </c:layout>
          <c:overlay val="0"/>
          <c:spPr>
            <a:noFill/>
            <a:ln w="25400">
              <a:noFill/>
            </a:ln>
          </c:spPr>
        </c:title>
        <c:numFmt formatCode="0.0" sourceLinked="0"/>
        <c:majorTickMark val="out"/>
        <c:minorTickMark val="in"/>
        <c:tickLblPos val="nextTo"/>
        <c:spPr>
          <a:ln w="3175">
            <a:solidFill>
              <a:srgbClr val="000000"/>
            </a:solidFill>
            <a:prstDash val="solid"/>
          </a:ln>
        </c:spPr>
        <c:txPr>
          <a:bodyPr rot="0" vert="horz"/>
          <a:lstStyle/>
          <a:p>
            <a:pPr>
              <a:defRPr sz="1725" b="0" i="0" u="none" strike="noStrike" baseline="0">
                <a:solidFill>
                  <a:srgbClr val="000000"/>
                </a:solidFill>
                <a:latin typeface="Arial"/>
                <a:ea typeface="Arial"/>
                <a:cs typeface="Arial"/>
              </a:defRPr>
            </a:pPr>
            <a:endParaRPr lang="de-DE"/>
          </a:p>
        </c:txPr>
        <c:crossAx val="313170808"/>
        <c:crosses val="autoZero"/>
        <c:crossBetween val="midCat"/>
      </c:valAx>
      <c:valAx>
        <c:axId val="313170808"/>
        <c:scaling>
          <c:orientation val="minMax"/>
          <c:max val="1"/>
          <c:min val="0"/>
        </c:scaling>
        <c:delete val="0"/>
        <c:axPos val="l"/>
        <c:majorGridlines>
          <c:spPr>
            <a:ln w="3175">
              <a:solidFill>
                <a:srgbClr val="000000"/>
              </a:solidFill>
              <a:prstDash val="solid"/>
            </a:ln>
          </c:spPr>
        </c:majorGridlines>
        <c:title>
          <c:tx>
            <c:rich>
              <a:bodyPr/>
              <a:lstStyle/>
              <a:p>
                <a:pPr>
                  <a:defRPr sz="1450" b="1" i="0" u="none" strike="noStrike" baseline="0">
                    <a:solidFill>
                      <a:srgbClr val="000000"/>
                    </a:solidFill>
                    <a:latin typeface="Arial"/>
                    <a:ea typeface="Arial"/>
                    <a:cs typeface="Arial"/>
                  </a:defRPr>
                </a:pPr>
                <a:r>
                  <a:rPr lang="de-DE"/>
                  <a:t>Perzentile</a:t>
                </a:r>
              </a:p>
            </c:rich>
          </c:tx>
          <c:layout>
            <c:manualLayout>
              <c:xMode val="edge"/>
              <c:yMode val="edge"/>
              <c:x val="1.9047619047619063E-2"/>
              <c:y val="0.3867739678832734"/>
            </c:manualLayout>
          </c:layout>
          <c:overlay val="0"/>
          <c:spPr>
            <a:noFill/>
            <a:ln w="25400">
              <a:noFill/>
            </a:ln>
          </c:spPr>
        </c:title>
        <c:numFmt formatCode="0%" sourceLinked="1"/>
        <c:majorTickMark val="out"/>
        <c:minorTickMark val="in"/>
        <c:tickLblPos val="nextTo"/>
        <c:spPr>
          <a:ln w="3175">
            <a:solidFill>
              <a:srgbClr val="000000"/>
            </a:solidFill>
            <a:prstDash val="solid"/>
          </a:ln>
        </c:spPr>
        <c:txPr>
          <a:bodyPr rot="0" vert="horz"/>
          <a:lstStyle/>
          <a:p>
            <a:pPr>
              <a:defRPr sz="1725" b="0" i="0" u="none" strike="noStrike" baseline="0">
                <a:solidFill>
                  <a:srgbClr val="000000"/>
                </a:solidFill>
                <a:latin typeface="Arial"/>
                <a:ea typeface="Arial"/>
                <a:cs typeface="Arial"/>
              </a:defRPr>
            </a:pPr>
            <a:endParaRPr lang="de-DE"/>
          </a:p>
        </c:txPr>
        <c:crossAx val="313171200"/>
        <c:crosses val="autoZero"/>
        <c:crossBetween val="midCat"/>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725" b="0" i="0" u="none" strike="noStrike" baseline="0">
          <a:solidFill>
            <a:srgbClr val="000000"/>
          </a:solidFill>
          <a:latin typeface="Arial"/>
          <a:ea typeface="Arial"/>
          <a:cs typeface="Arial"/>
        </a:defRPr>
      </a:pPr>
      <a:endParaRPr lang="de-DE"/>
    </a:p>
  </c:txPr>
  <c:printSettings>
    <c:headerFooter alignWithMargins="0">
      <c:oddHeader>&amp;L&amp;I&amp;ZGeschätzter Projektaufwand&amp;RLV: Aufwandschätzverfahren für IKT Projekte</c:oddHeader>
      <c:oddFooter>&amp;L(c) 2006 DI(FH) Sven Schweiger&amp;R&amp;S / &amp;A</c:oddFooter>
    </c:headerFooter>
    <c:pageMargins b="0.98425196899999967" l="0.78740157499999996" r="0.78740157499999996" t="0.98425196899999967" header="0.49212598450000017" footer="0.49212598450000017"/>
    <c:pageSetup paperSize="9" orientation="landscape"/>
    <c:legacyDrawingHF r:id="rId1"/>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1878247023194641"/>
          <c:y val="0.15824941841826229"/>
          <c:w val="0.41898907034986016"/>
          <c:h val="0.6835028072107916"/>
        </c:manualLayout>
      </c:layout>
      <c:radarChart>
        <c:radarStyle val="filled"/>
        <c:varyColors val="0"/>
        <c:ser>
          <c:idx val="0"/>
          <c:order val="0"/>
          <c:spPr>
            <a:solidFill>
              <a:srgbClr val="9999FF"/>
            </a:solidFill>
            <a:ln w="38100">
              <a:solidFill>
                <a:srgbClr val="000080"/>
              </a:solidFill>
              <a:prstDash val="solid"/>
            </a:ln>
          </c:spPr>
          <c:cat>
            <c:strRef>
              <c:f>Risikospinne!$A$1:$G$1</c:f>
              <c:strCache>
                <c:ptCount val="7"/>
                <c:pt idx="0">
                  <c:v>System-Spezifikation</c:v>
                </c:pt>
                <c:pt idx="1">
                  <c:v>Projektstruktur- und Projektablaufplanung</c:v>
                </c:pt>
                <c:pt idx="2">
                  <c:v>Technische Machbarkeit</c:v>
                </c:pt>
                <c:pt idx="3">
                  <c:v>Teamskills und Ressourcen</c:v>
                </c:pt>
                <c:pt idx="4">
                  <c:v>Aufwandschätzung und Zusage eines Angebots</c:v>
                </c:pt>
                <c:pt idx="5">
                  <c:v>Projektmanagement</c:v>
                </c:pt>
                <c:pt idx="6">
                  <c:v>Risikobeherrschung</c:v>
                </c:pt>
              </c:strCache>
            </c:strRef>
          </c:cat>
          <c:val>
            <c:numRef>
              <c:f>Risikospinne!$A$6:$G$6</c:f>
              <c:numCache>
                <c:formatCode>0</c:formatCode>
                <c:ptCount val="7"/>
                <c:pt idx="0">
                  <c:v>100</c:v>
                </c:pt>
                <c:pt idx="1">
                  <c:v>68.421052631578945</c:v>
                </c:pt>
                <c:pt idx="2">
                  <c:v>40.74074074074074</c:v>
                </c:pt>
                <c:pt idx="3">
                  <c:v>56.81818181818182</c:v>
                </c:pt>
                <c:pt idx="4">
                  <c:v>58.064516129032256</c:v>
                </c:pt>
                <c:pt idx="5">
                  <c:v>56.666666666666664</c:v>
                </c:pt>
                <c:pt idx="6">
                  <c:v>22.950819672131146</c:v>
                </c:pt>
              </c:numCache>
            </c:numRef>
          </c:val>
        </c:ser>
        <c:dLbls>
          <c:showLegendKey val="0"/>
          <c:showVal val="0"/>
          <c:showCatName val="0"/>
          <c:showSerName val="0"/>
          <c:showPercent val="0"/>
          <c:showBubbleSize val="0"/>
        </c:dLbls>
        <c:axId val="313174336"/>
        <c:axId val="313176688"/>
      </c:radarChart>
      <c:catAx>
        <c:axId val="313174336"/>
        <c:scaling>
          <c:orientation val="minMax"/>
        </c:scaling>
        <c:delete val="0"/>
        <c:axPos val="b"/>
        <c:majorGridlines>
          <c:spPr>
            <a:ln w="3175">
              <a:solidFill>
                <a:srgbClr val="000000"/>
              </a:solidFill>
              <a:prstDash val="solid"/>
            </a:ln>
          </c:spPr>
        </c:majorGridlines>
        <c:minorGridlines>
          <c:spPr>
            <a:ln w="3175">
              <a:solidFill>
                <a:srgbClr val="000000"/>
              </a:solidFill>
              <a:prstDash val="solid"/>
            </a:ln>
          </c:spPr>
        </c:minorGridlines>
        <c:numFmt formatCode="General" sourceLinked="1"/>
        <c:majorTickMark val="out"/>
        <c:minorTickMark val="none"/>
        <c:tickLblPos val="nextTo"/>
        <c:txPr>
          <a:bodyPr rot="0" vert="horz"/>
          <a:lstStyle/>
          <a:p>
            <a:pPr>
              <a:defRPr sz="800" b="0" i="0" u="none" strike="noStrike" baseline="0">
                <a:solidFill>
                  <a:srgbClr val="000000"/>
                </a:solidFill>
                <a:latin typeface="Arial"/>
                <a:ea typeface="Arial"/>
                <a:cs typeface="Arial"/>
              </a:defRPr>
            </a:pPr>
            <a:endParaRPr lang="de-DE"/>
          </a:p>
        </c:txPr>
        <c:crossAx val="313176688"/>
        <c:crosses val="autoZero"/>
        <c:auto val="0"/>
        <c:lblAlgn val="ctr"/>
        <c:lblOffset val="100"/>
        <c:noMultiLvlLbl val="0"/>
      </c:catAx>
      <c:valAx>
        <c:axId val="313176688"/>
        <c:scaling>
          <c:orientation val="minMax"/>
          <c:max val="100"/>
          <c:min val="0"/>
        </c:scaling>
        <c:delete val="0"/>
        <c:axPos val="l"/>
        <c:majorGridlines>
          <c:spPr>
            <a:ln w="3175">
              <a:solidFill>
                <a:srgbClr val="000000"/>
              </a:solidFill>
              <a:prstDash val="solid"/>
            </a:ln>
          </c:spPr>
        </c:majorGridlines>
        <c:numFmt formatCode="0" sourceLinked="1"/>
        <c:majorTickMark val="cross"/>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de-DE"/>
          </a:p>
        </c:txPr>
        <c:crossAx val="313174336"/>
        <c:crosses val="autoZero"/>
        <c:crossBetween val="between"/>
        <c:majorUnit val="20"/>
      </c:valAx>
      <c:spPr>
        <a:solidFill>
          <a:srgbClr val="FFFFFF"/>
        </a:solid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de-DE"/>
    </a:p>
  </c:txPr>
  <c:printSettings>
    <c:headerFooter alignWithMargins="0">
      <c:oddHeader>&amp;B</c:oddHeader>
      <c:oddFooter>Seite &amp;S</c:oddFooter>
    </c:headerFooter>
    <c:pageMargins b="0.98425196899999967" l="0.78740157499999996" r="0.78740157499999996" t="0.98425196899999967" header="0.51181102300000003" footer="0.51181102300000003"/>
    <c:pageSetup paperSize="9" orientation="landscape" horizontalDpi="300" verticalDpi="300"/>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307422750494753"/>
          <c:y val="7.1428571428571425E-2"/>
          <c:w val="0.8197894003102234"/>
          <c:h val="0.82142857142857184"/>
        </c:manualLayout>
      </c:layout>
      <c:barChart>
        <c:barDir val="col"/>
        <c:grouping val="stacked"/>
        <c:varyColors val="0"/>
        <c:ser>
          <c:idx val="0"/>
          <c:order val="0"/>
          <c:spPr>
            <a:solidFill>
              <a:srgbClr val="9999FF"/>
            </a:solidFill>
            <a:ln w="12700">
              <a:solidFill>
                <a:srgbClr val="000000"/>
              </a:solidFill>
              <a:prstDash val="solid"/>
            </a:ln>
          </c:spPr>
          <c:invertIfNegative val="0"/>
          <c:dPt>
            <c:idx val="0"/>
            <c:invertIfNegative val="0"/>
            <c:bubble3D val="0"/>
            <c:spPr>
              <a:solidFill>
                <a:srgbClr val="800000"/>
              </a:solidFill>
              <a:ln w="12700">
                <a:solidFill>
                  <a:srgbClr val="000000"/>
                </a:solidFill>
                <a:prstDash val="solid"/>
              </a:ln>
            </c:spPr>
          </c:dPt>
          <c:dPt>
            <c:idx val="1"/>
            <c:invertIfNegative val="0"/>
            <c:bubble3D val="0"/>
            <c:spPr>
              <a:solidFill>
                <a:srgbClr val="800000"/>
              </a:solidFill>
              <a:ln w="12700">
                <a:solidFill>
                  <a:srgbClr val="000000"/>
                </a:solidFill>
                <a:prstDash val="solid"/>
              </a:ln>
            </c:spPr>
          </c:dPt>
          <c:dLbls>
            <c:spPr>
              <a:noFill/>
              <a:ln w="25400">
                <a:noFill/>
              </a:ln>
            </c:spPr>
            <c:txPr>
              <a:bodyPr/>
              <a:lstStyle/>
              <a:p>
                <a:pPr>
                  <a:defRPr sz="550" b="0" i="0" u="none" strike="noStrike" baseline="0">
                    <a:solidFill>
                      <a:srgbClr val="FFFFFF"/>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Risikospinne!$H$1:$I$1</c:f>
              <c:strCache>
                <c:ptCount val="2"/>
                <c:pt idx="0">
                  <c:v>Unsicherheit</c:v>
                </c:pt>
                <c:pt idx="1">
                  <c:v>Unzutreffend</c:v>
                </c:pt>
              </c:strCache>
            </c:strRef>
          </c:cat>
          <c:val>
            <c:numRef>
              <c:f>Risikospinne!$H$2:$I$2</c:f>
              <c:numCache>
                <c:formatCode>0%</c:formatCode>
                <c:ptCount val="2"/>
                <c:pt idx="0">
                  <c:v>0</c:v>
                </c:pt>
                <c:pt idx="1">
                  <c:v>0</c:v>
                </c:pt>
              </c:numCache>
            </c:numRef>
          </c:val>
        </c:ser>
        <c:ser>
          <c:idx val="1"/>
          <c:order val="1"/>
          <c:spPr>
            <a:solidFill>
              <a:srgbClr val="C0C0C0"/>
            </a:solidFill>
            <a:ln w="12700">
              <a:solidFill>
                <a:srgbClr val="000000"/>
              </a:solidFill>
              <a:prstDash val="solid"/>
            </a:ln>
          </c:spPr>
          <c:invertIfNegative val="0"/>
          <c:dLbls>
            <c:spPr>
              <a:noFill/>
              <a:ln w="25400">
                <a:noFill/>
              </a:ln>
            </c:spPr>
            <c:txPr>
              <a:bodyPr/>
              <a:lstStyle/>
              <a:p>
                <a:pPr>
                  <a:defRPr sz="55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Risikospinne!$H$1:$I$1</c:f>
              <c:strCache>
                <c:ptCount val="2"/>
                <c:pt idx="0">
                  <c:v>Unsicherheit</c:v>
                </c:pt>
                <c:pt idx="1">
                  <c:v>Unzutreffend</c:v>
                </c:pt>
              </c:strCache>
            </c:strRef>
          </c:cat>
          <c:val>
            <c:numRef>
              <c:f>Risikospinne!$H$3:$I$3</c:f>
              <c:numCache>
                <c:formatCode>0%</c:formatCode>
                <c:ptCount val="2"/>
                <c:pt idx="0">
                  <c:v>1</c:v>
                </c:pt>
                <c:pt idx="1">
                  <c:v>1</c:v>
                </c:pt>
              </c:numCache>
            </c:numRef>
          </c:val>
        </c:ser>
        <c:dLbls>
          <c:showLegendKey val="0"/>
          <c:showVal val="1"/>
          <c:showCatName val="0"/>
          <c:showSerName val="0"/>
          <c:showPercent val="0"/>
          <c:showBubbleSize val="0"/>
        </c:dLbls>
        <c:gapWidth val="150"/>
        <c:overlap val="100"/>
        <c:axId val="313173944"/>
        <c:axId val="313175904"/>
      </c:barChart>
      <c:catAx>
        <c:axId val="31317394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550" b="0" i="0" u="none" strike="noStrike" baseline="0">
                <a:solidFill>
                  <a:srgbClr val="000000"/>
                </a:solidFill>
                <a:latin typeface="Arial"/>
                <a:ea typeface="Arial"/>
                <a:cs typeface="Arial"/>
              </a:defRPr>
            </a:pPr>
            <a:endParaRPr lang="de-DE"/>
          </a:p>
        </c:txPr>
        <c:crossAx val="313175904"/>
        <c:crosses val="autoZero"/>
        <c:auto val="1"/>
        <c:lblAlgn val="ctr"/>
        <c:lblOffset val="100"/>
        <c:tickLblSkip val="1"/>
        <c:tickMarkSkip val="1"/>
        <c:noMultiLvlLbl val="0"/>
      </c:catAx>
      <c:valAx>
        <c:axId val="313175904"/>
        <c:scaling>
          <c:orientation val="minMax"/>
        </c:scaling>
        <c:delete val="0"/>
        <c:axPos val="l"/>
        <c:majorGridlines>
          <c:spPr>
            <a:ln w="3175">
              <a:solidFill>
                <a:srgbClr val="000000"/>
              </a:solidFill>
              <a:prstDash val="solid"/>
            </a:ln>
          </c:spPr>
        </c:majorGridlines>
        <c:numFmt formatCode="0%" sourceLinked="1"/>
        <c:majorTickMark val="out"/>
        <c:minorTickMark val="none"/>
        <c:tickLblPos val="nextTo"/>
        <c:spPr>
          <a:ln w="3175">
            <a:solidFill>
              <a:srgbClr val="000000"/>
            </a:solidFill>
            <a:prstDash val="solid"/>
          </a:ln>
        </c:spPr>
        <c:txPr>
          <a:bodyPr rot="0" vert="horz"/>
          <a:lstStyle/>
          <a:p>
            <a:pPr>
              <a:defRPr sz="550" b="0" i="0" u="none" strike="noStrike" baseline="0">
                <a:solidFill>
                  <a:srgbClr val="000000"/>
                </a:solidFill>
                <a:latin typeface="Arial"/>
                <a:ea typeface="Arial"/>
                <a:cs typeface="Arial"/>
              </a:defRPr>
            </a:pPr>
            <a:endParaRPr lang="de-DE"/>
          </a:p>
        </c:txPr>
        <c:crossAx val="313173944"/>
        <c:crosses val="autoZero"/>
        <c:crossBetween val="between"/>
      </c:valAx>
      <c:spPr>
        <a:noFill/>
        <a:ln w="3175">
          <a:solidFill>
            <a:srgbClr val="00000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550" b="0" i="0" u="none" strike="noStrike" baseline="0">
          <a:solidFill>
            <a:srgbClr val="000000"/>
          </a:solidFill>
          <a:latin typeface="Arial"/>
          <a:ea typeface="Arial"/>
          <a:cs typeface="Arial"/>
        </a:defRPr>
      </a:pPr>
      <a:endParaRPr lang="de-DE"/>
    </a:p>
  </c:txPr>
  <c:printSettings>
    <c:headerFooter alignWithMargins="0"/>
    <c:pageMargins b="0.98425196899999967" l="0.78740157499999996" r="0.78740157499999996" t="0.98425196899999967" header="0.49212598450000017" footer="0.49212598450000017"/>
    <c:pageSetup/>
  </c:printSettings>
</c:chartSpace>
</file>

<file path=xl/ctrlProps/ctrlProp1.xml><?xml version="1.0" encoding="utf-8"?>
<formControlPr xmlns="http://schemas.microsoft.com/office/spreadsheetml/2009/9/main" objectType="CheckBox" checked="Checked" fmlaLink="$H$23" lockText="1"/>
</file>

<file path=xl/ctrlProps/ctrlProp2.xml><?xml version="1.0" encoding="utf-8"?>
<formControlPr xmlns="http://schemas.microsoft.com/office/spreadsheetml/2009/9/main" objectType="CheckBox" checked="Checked" fmlaLink="$H$24" lockText="1"/>
</file>

<file path=xl/ctrlProps/ctrlProp3.xml><?xml version="1.0" encoding="utf-8"?>
<formControlPr xmlns="http://schemas.microsoft.com/office/spreadsheetml/2009/9/main" objectType="CheckBox" checked="Checked" fmlaLink="$H$25" lockText="1"/>
</file>

<file path=xl/ctrlProps/ctrlProp4.xml><?xml version="1.0" encoding="utf-8"?>
<formControlPr xmlns="http://schemas.microsoft.com/office/spreadsheetml/2009/9/main" objectType="CheckBox" checked="Checked" fmlaLink="$H$26" lockText="1"/>
</file>

<file path=xl/ctrlProps/ctrlProp5.xml><?xml version="1.0" encoding="utf-8"?>
<formControlPr xmlns="http://schemas.microsoft.com/office/spreadsheetml/2009/9/main" objectType="CheckBox" checked="Checked" fmlaLink="$H$27" lockText="1"/>
</file>

<file path=xl/ctrlProps/ctrlProp6.xml><?xml version="1.0" encoding="utf-8"?>
<formControlPr xmlns="http://schemas.microsoft.com/office/spreadsheetml/2009/9/main" objectType="CheckBox" checked="Checked" fmlaLink="$H$28" lockText="1"/>
</file>

<file path=xl/ctrlProps/ctrlProp7.xml><?xml version="1.0" encoding="utf-8"?>
<formControlPr xmlns="http://schemas.microsoft.com/office/spreadsheetml/2009/9/main" objectType="CheckBox" checked="Checked" fmlaLink="$H$29" lockText="1"/>
</file>

<file path=xl/ctrlProps/ctrlProp8.xml><?xml version="1.0" encoding="utf-8"?>
<formControlPr xmlns="http://schemas.microsoft.com/office/spreadsheetml/2009/9/main" objectType="CheckBox" checked="Checked" fmlaLink="$H$22" lockText="1"/>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eg"/></Relationships>
</file>

<file path=xl/drawings/_rels/vmlDrawing11.v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e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142875</xdr:colOff>
      <xdr:row>9</xdr:row>
      <xdr:rowOff>28575</xdr:rowOff>
    </xdr:from>
    <xdr:to>
      <xdr:col>11</xdr:col>
      <xdr:colOff>742950</xdr:colOff>
      <xdr:row>33</xdr:row>
      <xdr:rowOff>38100</xdr:rowOff>
    </xdr:to>
    <xdr:sp macro="" textlink="">
      <xdr:nvSpPr>
        <xdr:cNvPr id="9217" name="Text 1"/>
        <xdr:cNvSpPr txBox="1">
          <a:spLocks noChangeArrowheads="1"/>
        </xdr:cNvSpPr>
      </xdr:nvSpPr>
      <xdr:spPr bwMode="auto">
        <a:xfrm>
          <a:off x="142875" y="1485900"/>
          <a:ext cx="8982075" cy="389572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de-DE" sz="1000" b="1" i="0" strike="noStrike">
              <a:solidFill>
                <a:srgbClr val="000000"/>
              </a:solidFill>
              <a:latin typeface="Arial"/>
              <a:cs typeface="Arial"/>
            </a:rPr>
            <a:t>Vorgangsweise bei der Risikoanalyse</a:t>
          </a:r>
          <a:r>
            <a:rPr lang="de-DE" sz="1000" b="0" i="0" strike="noStrike">
              <a:solidFill>
                <a:srgbClr val="000000"/>
              </a:solidFill>
              <a:latin typeface="Arial"/>
              <a:cs typeface="Arial"/>
            </a:rPr>
            <a:t>: </a:t>
          </a:r>
        </a:p>
        <a:p>
          <a:pPr algn="l" rtl="0">
            <a:defRPr sz="1000"/>
          </a:pPr>
          <a:r>
            <a:rPr lang="de-DE" sz="1000" b="0" i="0" strike="noStrike">
              <a:solidFill>
                <a:srgbClr val="000000"/>
              </a:solidFill>
              <a:latin typeface="Arial"/>
              <a:cs typeface="Arial"/>
            </a:rPr>
            <a:t>Tragen Sie bei den Risikofaktoren in der blau-grünen Spalte für jede Antwort einen Wert ein. Grün unterlegte Felder sind von den davor gelisteten blauen Feldern abhängig, und daher nur bedingt auszufüllen.:</a:t>
          </a:r>
        </a:p>
        <a:p>
          <a:pPr algn="l" rtl="0">
            <a:defRPr sz="1000"/>
          </a:pPr>
          <a:r>
            <a:rPr lang="de-DE" sz="1000" b="0" i="0" strike="noStrike">
              <a:solidFill>
                <a:srgbClr val="000000"/>
              </a:solidFill>
              <a:latin typeface="Arial"/>
              <a:cs typeface="Arial"/>
            </a:rPr>
            <a:t>- 1 bedeutet "ja" = diese Aussage ist absolut zutreffend</a:t>
          </a:r>
        </a:p>
        <a:p>
          <a:pPr algn="l" rtl="0">
            <a:defRPr sz="1000"/>
          </a:pPr>
          <a:r>
            <a:rPr lang="de-DE" sz="1000" b="0" i="0" strike="noStrike">
              <a:solidFill>
                <a:srgbClr val="000000"/>
              </a:solidFill>
              <a:latin typeface="Arial"/>
              <a:cs typeface="Arial"/>
            </a:rPr>
            <a:t>- 0 bedeutet "nein" = diese Aussage ist absolut unzutreffend</a:t>
          </a:r>
        </a:p>
        <a:p>
          <a:pPr algn="l" rtl="0">
            <a:defRPr sz="1000"/>
          </a:pPr>
          <a:r>
            <a:rPr lang="de-DE" sz="1000" b="0" i="0" strike="noStrike">
              <a:solidFill>
                <a:srgbClr val="000000"/>
              </a:solidFill>
              <a:latin typeface="Arial"/>
              <a:cs typeface="Arial"/>
            </a:rPr>
            <a:t>- Sie können auch Abstufungen einsetzen (z.B. 0,5) außer bei Fragen wo explizit 0,1,2,3 (= keine Zwischenwerte!) gefordert wird.</a:t>
          </a:r>
        </a:p>
        <a:p>
          <a:pPr algn="l" rtl="0">
            <a:defRPr sz="1000"/>
          </a:pPr>
          <a:r>
            <a:rPr lang="de-DE" sz="1000" b="0" i="0" strike="noStrike">
              <a:solidFill>
                <a:srgbClr val="000000"/>
              </a:solidFill>
              <a:latin typeface="Arial"/>
              <a:cs typeface="Arial"/>
            </a:rPr>
            <a:t>- Wenn Sie zu wenig Informationen für die Beantwortung einer Frage haben, tragen Sie bitte "2" ein.</a:t>
          </a:r>
        </a:p>
        <a:p>
          <a:pPr algn="l" rtl="0">
            <a:defRPr sz="1000"/>
          </a:pPr>
          <a:r>
            <a:rPr lang="de-DE" sz="1000" b="0" i="0" strike="noStrike">
              <a:solidFill>
                <a:srgbClr val="000000"/>
              </a:solidFill>
              <a:latin typeface="Arial"/>
              <a:cs typeface="Arial"/>
            </a:rPr>
            <a:t>- Wenn eine Frage für Ihr Projekt nicht zutreffend ist, tragen Sie bitte "3" ein.</a:t>
          </a: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Sie können in der Spalte "Kommentar" bei Bedarf Bemerkungen eingeben.</a:t>
          </a:r>
        </a:p>
        <a:p>
          <a:pPr algn="l" rtl="0">
            <a:defRPr sz="1000"/>
          </a:pPr>
          <a:r>
            <a:rPr lang="de-DE" sz="1000" b="0" i="0" strike="noStrike">
              <a:solidFill>
                <a:srgbClr val="000000"/>
              </a:solidFill>
              <a:latin typeface="Arial"/>
              <a:cs typeface="Arial"/>
            </a:rPr>
            <a:t>Die Frage-Nummern dienen zur Erklärung, siehe dazu auch die Zusatzinformationen im Begleitdokument!</a:t>
          </a: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In der Spalte "Gewichtung" ist pro Frage ein Gewichtungswert voreingestellt. Dieser kann auf Basis von Erfahrungswerten im Unternehmen verändert werden. Sie sollten diesen Wert jedoch NICHT pro Projekt verändern, vielmehr spiegelt er die Projektkultur und Risikokultur in Ihrem Unternehmen wieder. Durch die Berechnungsformeln werden auch veränderte Gewichtungen automatisch auf 100% pro Kategorie angepasst ohne weitere Veränderungen durchführen zu müssen. Negative Gewichtungswerte müssen dort eingegeben werden, wo es sich um "negativ" gestellte Fragen handelt (letzter Punkt Risiken). Zur Sicherheit ist diese Spalte geschützt, Sie müssen daher vor Änderungen dieser Gewichtungswerte den Blattschutz aufheben.</a:t>
          </a: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Im Tabellenblatt "Gesamtrisiko" finden Sie das Ergebnis als Netzdiagramm in 7 Risikokategorien dargestellt. Die Maximalwerte sind für jede Kategorie 100%. (je größer die blaue Fläche pro Kategorie, desto besser "haben Sie diese im Griff")</a:t>
          </a:r>
        </a:p>
        <a:p>
          <a:pPr algn="l" rtl="0">
            <a:defRPr sz="1000"/>
          </a:pPr>
          <a:r>
            <a:rPr lang="de-DE" sz="1000" b="0" i="0" strike="noStrike">
              <a:solidFill>
                <a:srgbClr val="000000"/>
              </a:solidFill>
              <a:latin typeface="Arial"/>
              <a:cs typeface="Arial"/>
            </a:rPr>
            <a:t>Die Beiden Balken für Unsicherheit und Unzutreffend zeigen wie oft als Antwort "weiß nicht" (=2) oder "trifft nicht auf dieses Projekt zu" (=3) eingegeben wurden. Diese Balken sollten daher möglichst "wenig rot" anzeigen. Ein hoher Wert bei Unsicherheit bedeutet, dass zum Zeitpunkt der Risikoanalyse bedenklich wenig Informationen vorliegen oder die schätzende Person nicht über diese Informationen verfügt. Ein hoher Wert bei "Unzutreffend" bedeutet, dass die gestellten Fragen nicht zum vorliegenden Projekt passen und somit dieses Schätzformular nicht dafür verwendet werden sollte.</a:t>
          </a:r>
        </a:p>
      </xdr:txBody>
    </xdr:sp>
    <xdr:clientData/>
  </xdr:twoCellAnchor>
  <xdr:twoCellAnchor>
    <xdr:from>
      <xdr:col>0</xdr:col>
      <xdr:colOff>133350</xdr:colOff>
      <xdr:row>0</xdr:row>
      <xdr:rowOff>66674</xdr:rowOff>
    </xdr:from>
    <xdr:to>
      <xdr:col>11</xdr:col>
      <xdr:colOff>751974</xdr:colOff>
      <xdr:row>9</xdr:row>
      <xdr:rowOff>20052</xdr:rowOff>
    </xdr:to>
    <xdr:sp macro="" textlink="">
      <xdr:nvSpPr>
        <xdr:cNvPr id="9218" name="Text 1"/>
        <xdr:cNvSpPr txBox="1">
          <a:spLocks noChangeArrowheads="1"/>
        </xdr:cNvSpPr>
      </xdr:nvSpPr>
      <xdr:spPr bwMode="auto">
        <a:xfrm>
          <a:off x="133350" y="66674"/>
          <a:ext cx="9000624" cy="1397167"/>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de-DE" sz="1000" b="1" i="0" strike="noStrike">
              <a:solidFill>
                <a:srgbClr val="000000"/>
              </a:solidFill>
              <a:latin typeface="Arial"/>
              <a:cs typeface="Arial"/>
            </a:rPr>
            <a:t>DAG</a:t>
          </a:r>
          <a:r>
            <a:rPr lang="el-GR" sz="1000" b="1" i="0" strike="noStrike">
              <a:solidFill>
                <a:srgbClr val="000000"/>
              </a:solidFill>
              <a:latin typeface="Arial"/>
              <a:cs typeface="Arial"/>
            </a:rPr>
            <a:t>σ</a:t>
          </a:r>
          <a:r>
            <a:rPr lang="de-AT" sz="1000" b="1" i="0" strike="noStrike">
              <a:solidFill>
                <a:srgbClr val="000000"/>
              </a:solidFill>
              <a:latin typeface="Arial"/>
              <a:cs typeface="Arial"/>
            </a:rPr>
            <a:t>PERT steht für: D</a:t>
          </a:r>
          <a:r>
            <a:rPr lang="de-AT" sz="1000" b="0" i="0" strike="noStrike">
              <a:solidFill>
                <a:srgbClr val="000000"/>
              </a:solidFill>
              <a:latin typeface="Arial"/>
              <a:cs typeface="Arial"/>
            </a:rPr>
            <a:t>elphi </a:t>
          </a:r>
          <a:r>
            <a:rPr lang="de-AT" sz="1000" b="1" i="0" strike="noStrike">
              <a:solidFill>
                <a:srgbClr val="000000"/>
              </a:solidFill>
              <a:latin typeface="Arial"/>
              <a:cs typeface="Arial"/>
            </a:rPr>
            <a:t>A</a:t>
          </a:r>
          <a:r>
            <a:rPr lang="de-AT" sz="1000" b="0" i="0" strike="noStrike">
              <a:solidFill>
                <a:srgbClr val="000000"/>
              </a:solidFill>
              <a:latin typeface="Arial"/>
              <a:cs typeface="Arial"/>
            </a:rPr>
            <a:t>ufwandschätzung in </a:t>
          </a:r>
          <a:r>
            <a:rPr lang="de-AT" sz="1000" b="1" i="0" strike="noStrike">
              <a:solidFill>
                <a:srgbClr val="000000"/>
              </a:solidFill>
              <a:latin typeface="Arial"/>
              <a:cs typeface="Arial"/>
            </a:rPr>
            <a:t>G</a:t>
          </a:r>
          <a:r>
            <a:rPr lang="de-AT" sz="1000" b="0" i="0" strike="noStrike">
              <a:solidFill>
                <a:srgbClr val="000000"/>
              </a:solidFill>
              <a:latin typeface="Arial"/>
              <a:cs typeface="Arial"/>
            </a:rPr>
            <a:t>ruppen</a:t>
          </a:r>
          <a:r>
            <a:rPr lang="de-AT" sz="1000" b="0" i="0" strike="noStrike" baseline="0">
              <a:solidFill>
                <a:srgbClr val="000000"/>
              </a:solidFill>
              <a:latin typeface="Arial"/>
              <a:cs typeface="Arial"/>
            </a:rPr>
            <a:t> unter Berücksichtigung der </a:t>
          </a:r>
          <a:r>
            <a:rPr lang="el-GR" sz="1000" b="1" i="0">
              <a:latin typeface="+mn-lt"/>
              <a:ea typeface="+mn-ea"/>
              <a:cs typeface="+mn-cs"/>
            </a:rPr>
            <a:t>σ</a:t>
          </a:r>
          <a:r>
            <a:rPr lang="de-AT" sz="1000" b="1" i="0">
              <a:latin typeface="+mn-lt"/>
              <a:ea typeface="+mn-ea"/>
              <a:cs typeface="+mn-cs"/>
            </a:rPr>
            <a:t>  </a:t>
          </a:r>
          <a:r>
            <a:rPr lang="de-AT" sz="1000" b="0" i="0">
              <a:latin typeface="+mn-lt"/>
              <a:ea typeface="+mn-ea"/>
              <a:cs typeface="+mn-cs"/>
            </a:rPr>
            <a:t>(</a:t>
          </a:r>
          <a:r>
            <a:rPr lang="de-AT" sz="1000" b="0" i="0" strike="noStrike" baseline="0">
              <a:solidFill>
                <a:srgbClr val="000000"/>
              </a:solidFill>
              <a:latin typeface="Arial"/>
              <a:cs typeface="Arial"/>
            </a:rPr>
            <a:t>Standardabweichung) mit </a:t>
          </a:r>
          <a:r>
            <a:rPr lang="de-AT" sz="1000" b="1" i="0" strike="noStrike" baseline="0">
              <a:solidFill>
                <a:srgbClr val="000000"/>
              </a:solidFill>
              <a:latin typeface="Arial"/>
              <a:cs typeface="Arial"/>
            </a:rPr>
            <a:t>PERT</a:t>
          </a:r>
          <a:r>
            <a:rPr lang="de-AT" sz="1000" b="0" i="0" strike="noStrike" baseline="0">
              <a:solidFill>
                <a:srgbClr val="000000"/>
              </a:solidFill>
              <a:latin typeface="Arial"/>
              <a:cs typeface="Arial"/>
            </a:rPr>
            <a:t> (Program Evaluation and Review Technique)</a:t>
          </a:r>
          <a:r>
            <a:rPr lang="de-AT" sz="1000" b="1" i="0" strike="noStrike">
              <a:solidFill>
                <a:srgbClr val="000000"/>
              </a:solidFill>
              <a:latin typeface="Arial"/>
              <a:cs typeface="Arial"/>
            </a:rPr>
            <a:t> </a:t>
          </a:r>
          <a:endParaRPr lang="de-DE" sz="1000" b="1" i="0" strike="noStrike">
            <a:solidFill>
              <a:srgbClr val="000000"/>
            </a:solidFill>
            <a:latin typeface="Arial"/>
            <a:cs typeface="Arial"/>
          </a:endParaRP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Für diese Vorlage wird Broadband Delphi mit der PERT Methode kombiniert.</a:t>
          </a:r>
        </a:p>
        <a:p>
          <a:pPr algn="l" rtl="0">
            <a:defRPr sz="1000"/>
          </a:pPr>
          <a:r>
            <a:rPr lang="de-DE" sz="1000" b="0" i="0" strike="noStrike">
              <a:solidFill>
                <a:srgbClr val="000000"/>
              </a:solidFill>
              <a:latin typeface="Arial"/>
              <a:cs typeface="Arial"/>
            </a:rPr>
            <a:t>Achtung: Bei Projekten mit weniger als 10 Arbeitspaketen ist in der Spalte "p(mit.) immer 100 einzutragen!</a:t>
          </a:r>
        </a:p>
        <a:p>
          <a:pPr algn="l" rtl="0">
            <a:defRPr sz="1000"/>
          </a:pPr>
          <a:r>
            <a:rPr lang="de-DE" sz="1000" b="0" i="0" strike="noStrike">
              <a:solidFill>
                <a:srgbClr val="000000"/>
              </a:solidFill>
              <a:latin typeface="Arial"/>
              <a:cs typeface="Arial"/>
            </a:rPr>
            <a:t>Weitere Informationen</a:t>
          </a:r>
          <a:r>
            <a:rPr lang="de-DE" sz="1000" b="0" i="0" strike="noStrike" baseline="0">
              <a:solidFill>
                <a:srgbClr val="000000"/>
              </a:solidFill>
              <a:latin typeface="Arial"/>
              <a:cs typeface="Arial"/>
            </a:rPr>
            <a:t> erhalten Sie auf </a:t>
          </a:r>
          <a:r>
            <a:rPr lang="de-DE" sz="1000" b="0" i="0" u="sng" strike="noStrike" baseline="0">
              <a:solidFill>
                <a:srgbClr val="000000"/>
              </a:solidFill>
              <a:latin typeface="Arial"/>
              <a:cs typeface="Arial"/>
            </a:rPr>
            <a:t>www.css-web.net </a:t>
          </a:r>
          <a:r>
            <a:rPr lang="de-DE" sz="1000" b="0" i="0" strike="noStrike" baseline="0">
              <a:solidFill>
                <a:srgbClr val="000000"/>
              </a:solidFill>
              <a:latin typeface="Arial"/>
              <a:cs typeface="Arial"/>
            </a:rPr>
            <a:t>!</a:t>
          </a:r>
        </a:p>
        <a:p>
          <a:pPr algn="l" rtl="0">
            <a:defRPr sz="1000"/>
          </a:pPr>
          <a:endParaRPr lang="de-DE" sz="1000" b="0" i="0" strike="noStrike" baseline="0">
            <a:solidFill>
              <a:srgbClr val="000000"/>
            </a:solidFill>
            <a:latin typeface="Arial"/>
            <a:cs typeface="Arial"/>
          </a:endParaRPr>
        </a:p>
        <a:p>
          <a:pPr algn="l" rtl="0">
            <a:defRPr sz="1000"/>
          </a:pPr>
          <a:r>
            <a:rPr lang="de-DE" sz="1000" b="0" i="0" strike="noStrike" baseline="0">
              <a:solidFill>
                <a:srgbClr val="000000"/>
              </a:solidFill>
              <a:latin typeface="Arial"/>
              <a:cs typeface="Arial"/>
            </a:rPr>
            <a:t>Der Blattschutz ist aktiviert, damit Sie nicht unabsichtlich Formeln überschreiben können. Es ist kein Paßwort vergeben, daher können Sie diesen auch selbst leicht aufheben.</a:t>
          </a:r>
          <a:endParaRPr lang="de-DE" sz="1000" b="0" i="0" strike="noStrike">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25</xdr:row>
      <xdr:rowOff>152400</xdr:rowOff>
    </xdr:from>
    <xdr:to>
      <xdr:col>7</xdr:col>
      <xdr:colOff>552450</xdr:colOff>
      <xdr:row>52</xdr:row>
      <xdr:rowOff>9525</xdr:rowOff>
    </xdr:to>
    <xdr:graphicFrame macro="">
      <xdr:nvGraphicFramePr>
        <xdr:cNvPr id="1127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85725</xdr:colOff>
      <xdr:row>37</xdr:row>
      <xdr:rowOff>28575</xdr:rowOff>
    </xdr:from>
    <xdr:to>
      <xdr:col>5</xdr:col>
      <xdr:colOff>504825</xdr:colOff>
      <xdr:row>66</xdr:row>
      <xdr:rowOff>85725</xdr:rowOff>
    </xdr:to>
    <xdr:graphicFrame macro="">
      <xdr:nvGraphicFramePr>
        <xdr:cNvPr id="616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6</xdr:col>
          <xdr:colOff>0</xdr:colOff>
          <xdr:row>22</xdr:row>
          <xdr:rowOff>57150</xdr:rowOff>
        </xdr:from>
        <xdr:to>
          <xdr:col>6</xdr:col>
          <xdr:colOff>866775</xdr:colOff>
          <xdr:row>23</xdr:row>
          <xdr:rowOff>0</xdr:rowOff>
        </xdr:to>
        <xdr:sp macro="" textlink="">
          <xdr:nvSpPr>
            <xdr:cNvPr id="6147" name="Check Box 3" hidden="1">
              <a:extLst>
                <a:ext uri="{63B3BB69-23CF-44E3-9099-C40C66FF867C}">
                  <a14:compatExt spid="_x0000_s61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22</xdr:row>
          <xdr:rowOff>304800</xdr:rowOff>
        </xdr:from>
        <xdr:to>
          <xdr:col>6</xdr:col>
          <xdr:colOff>866775</xdr:colOff>
          <xdr:row>24</xdr:row>
          <xdr:rowOff>28575</xdr:rowOff>
        </xdr:to>
        <xdr:sp macro="" textlink="">
          <xdr:nvSpPr>
            <xdr:cNvPr id="6148" name="Check Box 4" hidden="1">
              <a:extLst>
                <a:ext uri="{63B3BB69-23CF-44E3-9099-C40C66FF867C}">
                  <a14:compatExt spid="_x0000_s61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23</xdr:row>
          <xdr:rowOff>133350</xdr:rowOff>
        </xdr:from>
        <xdr:to>
          <xdr:col>6</xdr:col>
          <xdr:colOff>866775</xdr:colOff>
          <xdr:row>25</xdr:row>
          <xdr:rowOff>28575</xdr:rowOff>
        </xdr:to>
        <xdr:sp macro="" textlink="">
          <xdr:nvSpPr>
            <xdr:cNvPr id="6149" name="Check Box 5" hidden="1">
              <a:extLst>
                <a:ext uri="{63B3BB69-23CF-44E3-9099-C40C66FF867C}">
                  <a14:compatExt spid="_x0000_s61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25</xdr:row>
          <xdr:rowOff>57150</xdr:rowOff>
        </xdr:from>
        <xdr:to>
          <xdr:col>6</xdr:col>
          <xdr:colOff>866775</xdr:colOff>
          <xdr:row>26</xdr:row>
          <xdr:rowOff>0</xdr:rowOff>
        </xdr:to>
        <xdr:sp macro="" textlink="">
          <xdr:nvSpPr>
            <xdr:cNvPr id="6150" name="Check Box 6" hidden="1">
              <a:extLst>
                <a:ext uri="{63B3BB69-23CF-44E3-9099-C40C66FF867C}">
                  <a14:compatExt spid="_x0000_s61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25</xdr:row>
          <xdr:rowOff>295275</xdr:rowOff>
        </xdr:from>
        <xdr:to>
          <xdr:col>6</xdr:col>
          <xdr:colOff>866775</xdr:colOff>
          <xdr:row>27</xdr:row>
          <xdr:rowOff>28575</xdr:rowOff>
        </xdr:to>
        <xdr:sp macro="" textlink="">
          <xdr:nvSpPr>
            <xdr:cNvPr id="6151" name="Check Box 7" hidden="1">
              <a:extLst>
                <a:ext uri="{63B3BB69-23CF-44E3-9099-C40C66FF867C}">
                  <a14:compatExt spid="_x0000_s61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26</xdr:row>
          <xdr:rowOff>133350</xdr:rowOff>
        </xdr:from>
        <xdr:to>
          <xdr:col>6</xdr:col>
          <xdr:colOff>866775</xdr:colOff>
          <xdr:row>28</xdr:row>
          <xdr:rowOff>28575</xdr:rowOff>
        </xdr:to>
        <xdr:sp macro="" textlink="">
          <xdr:nvSpPr>
            <xdr:cNvPr id="6152" name="Check Box 8" hidden="1">
              <a:extLst>
                <a:ext uri="{63B3BB69-23CF-44E3-9099-C40C66FF867C}">
                  <a14:compatExt spid="_x0000_s61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28</xdr:row>
          <xdr:rowOff>47625</xdr:rowOff>
        </xdr:from>
        <xdr:to>
          <xdr:col>6</xdr:col>
          <xdr:colOff>866775</xdr:colOff>
          <xdr:row>28</xdr:row>
          <xdr:rowOff>266700</xdr:rowOff>
        </xdr:to>
        <xdr:sp macro="" textlink="">
          <xdr:nvSpPr>
            <xdr:cNvPr id="6153" name="Check Box 9" hidden="1">
              <a:extLst>
                <a:ext uri="{63B3BB69-23CF-44E3-9099-C40C66FF867C}">
                  <a14:compatExt spid="_x0000_s61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20</xdr:row>
          <xdr:rowOff>419100</xdr:rowOff>
        </xdr:from>
        <xdr:to>
          <xdr:col>6</xdr:col>
          <xdr:colOff>866775</xdr:colOff>
          <xdr:row>22</xdr:row>
          <xdr:rowOff>19050</xdr:rowOff>
        </xdr:to>
        <xdr:sp macro="" textlink="">
          <xdr:nvSpPr>
            <xdr:cNvPr id="6154" name="Check Box 10" hidden="1">
              <a:extLst>
                <a:ext uri="{63B3BB69-23CF-44E3-9099-C40C66FF867C}">
                  <a14:compatExt spid="_x0000_s61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0</xdr:col>
      <xdr:colOff>47625</xdr:colOff>
      <xdr:row>2</xdr:row>
      <xdr:rowOff>28575</xdr:rowOff>
    </xdr:from>
    <xdr:to>
      <xdr:col>6</xdr:col>
      <xdr:colOff>1152525</xdr:colOff>
      <xdr:row>36</xdr:row>
      <xdr:rowOff>123825</xdr:rowOff>
    </xdr:to>
    <xdr:graphicFrame macro="">
      <xdr:nvGraphicFramePr>
        <xdr:cNvPr id="8214"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1209675</xdr:colOff>
      <xdr:row>2</xdr:row>
      <xdr:rowOff>28575</xdr:rowOff>
    </xdr:from>
    <xdr:to>
      <xdr:col>9</xdr:col>
      <xdr:colOff>523875</xdr:colOff>
      <xdr:row>19</xdr:row>
      <xdr:rowOff>152400</xdr:rowOff>
    </xdr:to>
    <xdr:graphicFrame macro="">
      <xdr:nvGraphicFramePr>
        <xdr:cNvPr id="8215"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0</xdr:col>
      <xdr:colOff>742950</xdr:colOff>
      <xdr:row>32</xdr:row>
      <xdr:rowOff>123825</xdr:rowOff>
    </xdr:from>
    <xdr:ext cx="6741249" cy="506117"/>
    <xdr:sp macro="" textlink="">
      <xdr:nvSpPr>
        <xdr:cNvPr id="8195" name="Text Box 3"/>
        <xdr:cNvSpPr txBox="1">
          <a:spLocks noChangeArrowheads="1"/>
        </xdr:cNvSpPr>
      </xdr:nvSpPr>
      <xdr:spPr bwMode="auto">
        <a:xfrm>
          <a:off x="742950" y="5772150"/>
          <a:ext cx="6819900" cy="523875"/>
        </a:xfrm>
        <a:prstGeom prst="rect">
          <a:avLst/>
        </a:prstGeom>
        <a:noFill/>
        <a:ln w="9525">
          <a:noFill/>
          <a:miter lim="800000"/>
          <a:headEnd/>
          <a:tailEnd/>
        </a:ln>
      </xdr:spPr>
      <xdr:txBody>
        <a:bodyPr wrap="none" lIns="18288" tIns="22860" rIns="0" bIns="0" anchor="t" upright="1">
          <a:spAutoFit/>
        </a:bodyPr>
        <a:lstStyle/>
        <a:p>
          <a:pPr algn="l" rtl="0">
            <a:defRPr sz="1000"/>
          </a:pPr>
          <a:r>
            <a:rPr lang="de-DE" sz="1000" b="0" i="0" strike="noStrike">
              <a:solidFill>
                <a:srgbClr val="000000"/>
              </a:solidFill>
              <a:latin typeface="Arial"/>
              <a:cs typeface="Arial"/>
            </a:rPr>
            <a:t>Je höher der Prozentwert (je ausgefüllter das Segment), desto besser wird die betreffende Risikogruppe beherrscht! </a:t>
          </a:r>
        </a:p>
        <a:p>
          <a:pPr algn="l" rtl="0">
            <a:defRPr sz="1000"/>
          </a:pPr>
          <a:r>
            <a:rPr lang="de-DE" sz="1000" b="0" i="0" strike="noStrike">
              <a:solidFill>
                <a:srgbClr val="000000"/>
              </a:solidFill>
              <a:latin typeface="Arial"/>
              <a:cs typeface="Arial"/>
            </a:rPr>
            <a:t>Minimale Risiken werden somit durch ein möglichst gelcihmäßig und voll ausgefülltes Netz ausgedrückt.</a:t>
          </a:r>
        </a:p>
        <a:p>
          <a:pPr algn="l" rtl="0">
            <a:defRPr sz="1000"/>
          </a:pPr>
          <a:r>
            <a:rPr lang="de-DE" sz="1000" b="0" i="0" strike="noStrike">
              <a:solidFill>
                <a:srgbClr val="000000"/>
              </a:solidFill>
              <a:latin typeface="Arial"/>
              <a:cs typeface="Arial"/>
            </a:rPr>
            <a:t>Die Balken für Unsicherheit und Unzutreffende Fragen müssen dabei so wenig Ausschlag wie möglich anzeigen.</a:t>
          </a:r>
        </a:p>
      </xdr:txBody>
    </xdr:sp>
    <xdr:clientData/>
  </xdr:one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4.xml"/><Relationship Id="rId3" Type="http://schemas.openxmlformats.org/officeDocument/2006/relationships/vmlDrawing" Target="../drawings/vmlDrawing5.vml"/><Relationship Id="rId7" Type="http://schemas.openxmlformats.org/officeDocument/2006/relationships/ctrlProp" Target="../ctrlProps/ctrlProp3.xml"/><Relationship Id="rId12" Type="http://schemas.openxmlformats.org/officeDocument/2006/relationships/ctrlProp" Target="../ctrlProps/ctrlProp8.xml"/><Relationship Id="rId2" Type="http://schemas.openxmlformats.org/officeDocument/2006/relationships/drawing" Target="../drawings/drawing3.xml"/><Relationship Id="rId1" Type="http://schemas.openxmlformats.org/officeDocument/2006/relationships/printerSettings" Target="../printerSettings/printerSettings5.bin"/><Relationship Id="rId6" Type="http://schemas.openxmlformats.org/officeDocument/2006/relationships/ctrlProp" Target="../ctrlProps/ctrlProp2.xml"/><Relationship Id="rId11" Type="http://schemas.openxmlformats.org/officeDocument/2006/relationships/ctrlProp" Target="../ctrlProps/ctrlProp7.xml"/><Relationship Id="rId5" Type="http://schemas.openxmlformats.org/officeDocument/2006/relationships/ctrlProp" Target="../ctrlProps/ctrlProp1.xml"/><Relationship Id="rId10" Type="http://schemas.openxmlformats.org/officeDocument/2006/relationships/ctrlProp" Target="../ctrlProps/ctrlProp6.xml"/><Relationship Id="rId4" Type="http://schemas.openxmlformats.org/officeDocument/2006/relationships/vmlDrawing" Target="../drawings/vmlDrawing6.vml"/><Relationship Id="rId9" Type="http://schemas.openxmlformats.org/officeDocument/2006/relationships/ctrlProp" Target="../ctrlProps/ctrlProp5.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4.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I27"/>
  <sheetViews>
    <sheetView zoomScale="95" workbookViewId="0"/>
  </sheetViews>
  <sheetFormatPr baseColWidth="10" defaultRowHeight="12.75" x14ac:dyDescent="0.2"/>
  <cols>
    <col min="1" max="16384" width="11.42578125" style="14"/>
  </cols>
  <sheetData>
    <row r="1" spans="1:9" x14ac:dyDescent="0.2">
      <c r="A1"/>
      <c r="B1"/>
      <c r="C1"/>
      <c r="D1"/>
      <c r="E1"/>
      <c r="F1"/>
      <c r="G1"/>
      <c r="H1"/>
      <c r="I1"/>
    </row>
    <row r="2" spans="1:9" x14ac:dyDescent="0.2">
      <c r="A2"/>
      <c r="B2"/>
      <c r="C2"/>
      <c r="D2"/>
      <c r="E2"/>
      <c r="F2"/>
      <c r="G2"/>
      <c r="H2"/>
      <c r="I2"/>
    </row>
    <row r="3" spans="1:9" x14ac:dyDescent="0.2">
      <c r="A3"/>
      <c r="B3"/>
      <c r="C3"/>
      <c r="D3"/>
      <c r="E3"/>
      <c r="F3"/>
      <c r="G3"/>
      <c r="H3"/>
      <c r="I3"/>
    </row>
    <row r="4" spans="1:9" x14ac:dyDescent="0.2">
      <c r="A4"/>
      <c r="B4"/>
      <c r="C4"/>
      <c r="D4"/>
      <c r="E4"/>
      <c r="F4"/>
      <c r="G4"/>
      <c r="H4"/>
      <c r="I4"/>
    </row>
    <row r="5" spans="1:9" x14ac:dyDescent="0.2">
      <c r="A5"/>
      <c r="B5"/>
      <c r="C5"/>
      <c r="D5"/>
      <c r="E5"/>
      <c r="F5"/>
      <c r="G5"/>
      <c r="H5"/>
      <c r="I5"/>
    </row>
    <row r="6" spans="1:9" x14ac:dyDescent="0.2">
      <c r="A6"/>
      <c r="B6"/>
      <c r="C6"/>
      <c r="D6"/>
      <c r="E6"/>
      <c r="F6"/>
      <c r="G6"/>
      <c r="H6"/>
      <c r="I6"/>
    </row>
    <row r="7" spans="1:9" x14ac:dyDescent="0.2">
      <c r="A7"/>
      <c r="B7"/>
      <c r="C7"/>
      <c r="D7"/>
      <c r="E7"/>
      <c r="F7"/>
      <c r="G7"/>
      <c r="H7"/>
      <c r="I7"/>
    </row>
    <row r="8" spans="1:9" x14ac:dyDescent="0.2">
      <c r="A8"/>
      <c r="B8"/>
      <c r="C8"/>
      <c r="D8"/>
      <c r="E8"/>
      <c r="F8"/>
      <c r="G8"/>
      <c r="H8"/>
      <c r="I8"/>
    </row>
    <row r="9" spans="1:9" x14ac:dyDescent="0.2">
      <c r="A9"/>
      <c r="B9"/>
      <c r="C9"/>
      <c r="D9"/>
      <c r="E9"/>
      <c r="F9"/>
      <c r="G9"/>
      <c r="H9"/>
      <c r="I9"/>
    </row>
    <row r="10" spans="1:9" x14ac:dyDescent="0.2">
      <c r="A10"/>
      <c r="B10"/>
      <c r="C10"/>
      <c r="D10"/>
      <c r="E10"/>
      <c r="F10"/>
      <c r="G10"/>
      <c r="H10"/>
      <c r="I10"/>
    </row>
    <row r="11" spans="1:9" x14ac:dyDescent="0.2">
      <c r="A11"/>
      <c r="B11"/>
      <c r="C11"/>
      <c r="D11"/>
      <c r="E11"/>
      <c r="F11"/>
      <c r="G11"/>
      <c r="H11"/>
      <c r="I11"/>
    </row>
    <row r="12" spans="1:9" x14ac:dyDescent="0.2">
      <c r="A12"/>
      <c r="B12"/>
      <c r="C12"/>
      <c r="D12"/>
      <c r="E12"/>
      <c r="F12"/>
      <c r="G12"/>
      <c r="H12"/>
      <c r="I12"/>
    </row>
    <row r="13" spans="1:9" x14ac:dyDescent="0.2">
      <c r="A13"/>
      <c r="B13"/>
      <c r="C13"/>
      <c r="D13"/>
      <c r="E13"/>
      <c r="F13"/>
      <c r="G13"/>
      <c r="H13"/>
      <c r="I13"/>
    </row>
    <row r="14" spans="1:9" x14ac:dyDescent="0.2">
      <c r="A14"/>
      <c r="B14"/>
      <c r="C14"/>
      <c r="D14"/>
      <c r="E14"/>
      <c r="F14"/>
      <c r="G14"/>
      <c r="H14"/>
      <c r="I14"/>
    </row>
    <row r="15" spans="1:9" x14ac:dyDescent="0.2">
      <c r="A15"/>
      <c r="B15"/>
      <c r="C15"/>
      <c r="D15"/>
      <c r="E15"/>
      <c r="F15"/>
      <c r="G15"/>
      <c r="H15"/>
      <c r="I15"/>
    </row>
    <row r="16" spans="1:9" x14ac:dyDescent="0.2">
      <c r="A16"/>
      <c r="B16"/>
      <c r="C16"/>
      <c r="D16"/>
      <c r="E16"/>
      <c r="F16"/>
      <c r="G16"/>
      <c r="H16"/>
      <c r="I16"/>
    </row>
    <row r="17" spans="1:9" x14ac:dyDescent="0.2">
      <c r="A17"/>
      <c r="B17"/>
      <c r="C17"/>
      <c r="D17"/>
      <c r="E17"/>
      <c r="F17"/>
      <c r="G17"/>
      <c r="H17"/>
      <c r="I17"/>
    </row>
    <row r="18" spans="1:9" x14ac:dyDescent="0.2">
      <c r="A18"/>
      <c r="B18"/>
      <c r="C18"/>
      <c r="D18"/>
      <c r="E18"/>
      <c r="F18"/>
      <c r="G18"/>
      <c r="H18"/>
      <c r="I18"/>
    </row>
    <row r="19" spans="1:9" x14ac:dyDescent="0.2">
      <c r="A19"/>
      <c r="B19"/>
      <c r="C19"/>
      <c r="D19"/>
      <c r="E19"/>
      <c r="F19"/>
      <c r="G19"/>
      <c r="H19"/>
      <c r="I19"/>
    </row>
    <row r="20" spans="1:9" x14ac:dyDescent="0.2">
      <c r="A20"/>
      <c r="B20"/>
      <c r="C20"/>
      <c r="D20"/>
      <c r="E20"/>
      <c r="F20"/>
      <c r="G20"/>
      <c r="H20"/>
      <c r="I20"/>
    </row>
    <row r="21" spans="1:9" x14ac:dyDescent="0.2">
      <c r="A21"/>
      <c r="B21"/>
      <c r="C21"/>
      <c r="D21"/>
      <c r="E21"/>
      <c r="F21"/>
      <c r="G21"/>
      <c r="H21"/>
      <c r="I21"/>
    </row>
    <row r="22" spans="1:9" x14ac:dyDescent="0.2">
      <c r="A22"/>
      <c r="B22"/>
      <c r="C22"/>
      <c r="D22"/>
      <c r="E22"/>
      <c r="F22"/>
      <c r="G22"/>
      <c r="H22"/>
      <c r="I22"/>
    </row>
    <row r="23" spans="1:9" x14ac:dyDescent="0.2">
      <c r="A23"/>
      <c r="B23"/>
      <c r="C23"/>
      <c r="D23"/>
      <c r="E23"/>
      <c r="F23"/>
      <c r="G23"/>
      <c r="H23"/>
      <c r="I23"/>
    </row>
    <row r="24" spans="1:9" x14ac:dyDescent="0.2">
      <c r="A24"/>
      <c r="B24"/>
      <c r="C24"/>
      <c r="D24"/>
      <c r="E24"/>
      <c r="F24"/>
      <c r="G24"/>
      <c r="H24"/>
      <c r="I24"/>
    </row>
    <row r="25" spans="1:9" x14ac:dyDescent="0.2">
      <c r="A25"/>
      <c r="B25"/>
      <c r="C25"/>
      <c r="D25"/>
      <c r="E25"/>
      <c r="F25"/>
      <c r="G25"/>
      <c r="H25"/>
      <c r="I25"/>
    </row>
    <row r="26" spans="1:9" x14ac:dyDescent="0.2">
      <c r="A26"/>
      <c r="B26"/>
      <c r="C26"/>
      <c r="D26"/>
      <c r="E26"/>
      <c r="F26"/>
      <c r="G26"/>
      <c r="H26"/>
      <c r="I26"/>
    </row>
    <row r="27" spans="1:9" x14ac:dyDescent="0.2">
      <c r="A27"/>
      <c r="B27"/>
      <c r="C27"/>
      <c r="D27"/>
      <c r="E27"/>
      <c r="F27"/>
      <c r="G27"/>
      <c r="H27"/>
      <c r="I27"/>
    </row>
  </sheetData>
  <phoneticPr fontId="7" type="noConversion"/>
  <pageMargins left="0.78740157499999996" right="0.78740157499999996" top="0.984251969" bottom="0.984251969" header="0.4921259845" footer="0.4921259845"/>
  <pageSetup paperSize="9" scale="88" orientation="landscape" r:id="rId1"/>
  <headerFooter alignWithMargins="0">
    <oddHeader>&amp;L&amp;G&amp;CKurzanleitung&amp;RLV: Aufwandschätzverfahren für IKT Projekte</oddHeader>
    <oddFooter>&amp;L(c) 2006 DI(FH) Sven Schweiger&amp;R&amp;P / &amp;N</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fitToPage="1"/>
  </sheetPr>
  <dimension ref="A2:F31"/>
  <sheetViews>
    <sheetView workbookViewId="0">
      <selection activeCell="E19" sqref="E19"/>
    </sheetView>
  </sheetViews>
  <sheetFormatPr baseColWidth="10" defaultColWidth="9.140625" defaultRowHeight="12.75" x14ac:dyDescent="0.2"/>
  <cols>
    <col min="1" max="1" width="4.7109375" style="26" customWidth="1"/>
    <col min="2" max="2" width="25.42578125" customWidth="1"/>
    <col min="3" max="3" width="21.140625" customWidth="1"/>
    <col min="4" max="4" width="21.5703125" customWidth="1"/>
    <col min="5" max="5" width="21" customWidth="1"/>
    <col min="6" max="6" width="17.140625" customWidth="1"/>
  </cols>
  <sheetData>
    <row r="2" spans="1:6" ht="13.5" thickBot="1" x14ac:dyDescent="0.25">
      <c r="B2" s="29" t="s">
        <v>103</v>
      </c>
    </row>
    <row r="3" spans="1:6" s="24" customFormat="1" ht="33.75" customHeight="1" x14ac:dyDescent="0.2">
      <c r="A3" s="27"/>
      <c r="B3" s="101" t="s">
        <v>105</v>
      </c>
      <c r="C3" s="102"/>
      <c r="F3" s="42"/>
    </row>
    <row r="4" spans="1:6" x14ac:dyDescent="0.2">
      <c r="A4" s="28"/>
      <c r="B4" s="103"/>
      <c r="C4" s="104"/>
    </row>
    <row r="5" spans="1:6" x14ac:dyDescent="0.2">
      <c r="A5" s="28"/>
      <c r="B5" s="105" t="s">
        <v>106</v>
      </c>
      <c r="C5" s="108">
        <v>80</v>
      </c>
    </row>
    <row r="6" spans="1:6" x14ac:dyDescent="0.2">
      <c r="A6" s="28"/>
      <c r="B6" s="105" t="s">
        <v>102</v>
      </c>
      <c r="C6" s="108">
        <v>8</v>
      </c>
    </row>
    <row r="7" spans="1:6" ht="13.5" thickBot="1" x14ac:dyDescent="0.25">
      <c r="A7" s="28"/>
      <c r="B7" s="106" t="s">
        <v>107</v>
      </c>
      <c r="C7" s="107">
        <f>C5*C6</f>
        <v>640</v>
      </c>
    </row>
    <row r="8" spans="1:6" x14ac:dyDescent="0.2">
      <c r="A8" s="28"/>
      <c r="B8" s="41" t="s">
        <v>260</v>
      </c>
      <c r="C8" s="40"/>
    </row>
    <row r="9" spans="1:6" x14ac:dyDescent="0.2">
      <c r="A9" s="28"/>
      <c r="B9" s="41" t="s">
        <v>261</v>
      </c>
      <c r="C9" s="40"/>
    </row>
    <row r="10" spans="1:6" x14ac:dyDescent="0.2">
      <c r="A10" s="28"/>
      <c r="B10" s="41"/>
      <c r="C10" s="40"/>
    </row>
    <row r="11" spans="1:6" x14ac:dyDescent="0.2">
      <c r="A11" s="28"/>
      <c r="B11" s="8"/>
      <c r="C11" s="5"/>
      <c r="D11" s="5"/>
    </row>
    <row r="12" spans="1:6" ht="13.5" thickBot="1" x14ac:dyDescent="0.25">
      <c r="B12" s="30" t="s">
        <v>104</v>
      </c>
      <c r="C12" s="5"/>
      <c r="D12" s="5"/>
    </row>
    <row r="13" spans="1:6" ht="30" customHeight="1" x14ac:dyDescent="0.2">
      <c r="A13" s="28"/>
      <c r="B13" s="101"/>
      <c r="C13" s="109" t="s">
        <v>262</v>
      </c>
      <c r="D13" s="109" t="s">
        <v>263</v>
      </c>
      <c r="E13" s="109" t="s">
        <v>264</v>
      </c>
      <c r="F13" s="110" t="s">
        <v>265</v>
      </c>
    </row>
    <row r="14" spans="1:6" x14ac:dyDescent="0.2">
      <c r="A14" s="28"/>
      <c r="B14" s="105" t="s">
        <v>100</v>
      </c>
      <c r="C14" s="111">
        <f ca="1">'% Konfidenz'!B8</f>
        <v>90.990604823880091</v>
      </c>
      <c r="D14" s="111">
        <f>'% Konfidenz'!B11</f>
        <v>99.533333333333346</v>
      </c>
      <c r="E14" s="111">
        <f ca="1">'% Konfidenz'!B14</f>
        <v>108.0760618427866</v>
      </c>
      <c r="F14" s="112">
        <f ca="1">'% Konfidenz'!B18</f>
        <v>125.03401545110427</v>
      </c>
    </row>
    <row r="15" spans="1:6" x14ac:dyDescent="0.2">
      <c r="A15" s="28"/>
      <c r="B15" s="105" t="s">
        <v>101</v>
      </c>
      <c r="C15" s="113">
        <f ca="1">C14/C6</f>
        <v>11.373825602985011</v>
      </c>
      <c r="D15" s="113">
        <f>D14/C6</f>
        <v>12.441666666666668</v>
      </c>
      <c r="E15" s="113">
        <f ca="1">E14/C6</f>
        <v>13.509507730348325</v>
      </c>
      <c r="F15" s="114">
        <f ca="1">F14/C6</f>
        <v>15.629251931388033</v>
      </c>
    </row>
    <row r="16" spans="1:6" x14ac:dyDescent="0.2">
      <c r="A16" s="28"/>
      <c r="B16" s="105" t="s">
        <v>108</v>
      </c>
      <c r="C16" s="120">
        <v>0</v>
      </c>
      <c r="D16" s="120">
        <v>0</v>
      </c>
      <c r="E16" s="120">
        <v>0</v>
      </c>
      <c r="F16" s="121">
        <v>0</v>
      </c>
    </row>
    <row r="17" spans="1:6" x14ac:dyDescent="0.2">
      <c r="A17" s="28"/>
      <c r="B17" s="105" t="s">
        <v>109</v>
      </c>
      <c r="C17" s="120">
        <v>0</v>
      </c>
      <c r="D17" s="120">
        <v>0</v>
      </c>
      <c r="E17" s="120">
        <v>0</v>
      </c>
      <c r="F17" s="121">
        <v>0</v>
      </c>
    </row>
    <row r="18" spans="1:6" x14ac:dyDescent="0.2">
      <c r="A18" s="28"/>
      <c r="B18" s="105"/>
      <c r="C18" s="111"/>
      <c r="D18" s="115"/>
      <c r="E18" s="113"/>
      <c r="F18" s="114"/>
    </row>
    <row r="19" spans="1:6" x14ac:dyDescent="0.2">
      <c r="A19" s="28"/>
      <c r="B19" s="105" t="s">
        <v>110</v>
      </c>
      <c r="C19" s="115">
        <f ca="1">(C5*C14)+C16+C17</f>
        <v>7279.2483859104068</v>
      </c>
      <c r="D19" s="115">
        <f>(C5*D14)+D16+D17</f>
        <v>7962.6666666666679</v>
      </c>
      <c r="E19" s="115">
        <f ca="1">(C5*E14)+E16+E17</f>
        <v>8646.084947422929</v>
      </c>
      <c r="F19" s="116">
        <f ca="1">(C5*F14)+F16+F17</f>
        <v>10002.721236088342</v>
      </c>
    </row>
    <row r="20" spans="1:6" ht="51.75" thickBot="1" x14ac:dyDescent="0.25">
      <c r="A20" s="28"/>
      <c r="B20" s="117" t="s">
        <v>271</v>
      </c>
      <c r="C20" s="118" t="s">
        <v>267</v>
      </c>
      <c r="D20" s="118" t="s">
        <v>268</v>
      </c>
      <c r="E20" s="118" t="s">
        <v>269</v>
      </c>
      <c r="F20" s="119" t="s">
        <v>270</v>
      </c>
    </row>
    <row r="21" spans="1:6" x14ac:dyDescent="0.2">
      <c r="A21" s="28"/>
      <c r="C21" s="5"/>
      <c r="D21" s="9"/>
    </row>
    <row r="22" spans="1:6" x14ac:dyDescent="0.2">
      <c r="A22" s="28"/>
      <c r="B22" s="25"/>
      <c r="C22" s="25"/>
      <c r="D22" s="25"/>
      <c r="E22" s="25"/>
      <c r="F22" s="25"/>
    </row>
    <row r="23" spans="1:6" x14ac:dyDescent="0.2">
      <c r="A23" s="28"/>
      <c r="B23" s="25"/>
      <c r="C23" s="25"/>
      <c r="D23" s="25"/>
      <c r="E23" s="25"/>
      <c r="F23" s="25"/>
    </row>
    <row r="24" spans="1:6" x14ac:dyDescent="0.2">
      <c r="A24" s="28"/>
    </row>
    <row r="25" spans="1:6" x14ac:dyDescent="0.2">
      <c r="A25" s="28"/>
    </row>
    <row r="26" spans="1:6" x14ac:dyDescent="0.2">
      <c r="A26" s="28"/>
    </row>
    <row r="27" spans="1:6" x14ac:dyDescent="0.2">
      <c r="A27" s="28"/>
    </row>
    <row r="28" spans="1:6" x14ac:dyDescent="0.2">
      <c r="A28" s="28"/>
    </row>
    <row r="29" spans="1:6" x14ac:dyDescent="0.2">
      <c r="A29" s="28"/>
    </row>
    <row r="30" spans="1:6" x14ac:dyDescent="0.2">
      <c r="A30" s="28"/>
    </row>
    <row r="31" spans="1:6" x14ac:dyDescent="0.2">
      <c r="A31" s="28"/>
    </row>
  </sheetData>
  <phoneticPr fontId="0" type="noConversion"/>
  <pageMargins left="0.78740157480314965" right="0.49" top="1.2" bottom="0.98425196850393704" header="0.51181102362204722" footer="0.51181102362204722"/>
  <pageSetup paperSize="9" scale="81" orientation="portrait" r:id="rId1"/>
  <headerFooter alignWithMargins="0">
    <oddHeader>&amp;L&amp;G&amp;CKostenschätzung&amp;RLV: Aufwandschätzverfahren für IKT Projekte</oddHeader>
    <oddFooter>&amp;L(c) 2006 DI(FH) Sven Schweiger&amp;RSeite &amp;P / &amp;N</oddFooter>
  </headerFooter>
  <cellWatches>
    <cellWatch r="C5"/>
  </cellWatches>
  <ignoredErrors>
    <ignoredError sqref="C7" unlockedFormula="1"/>
  </ignoredErrors>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workbookViewId="0">
      <selection activeCell="I24" sqref="I24"/>
    </sheetView>
  </sheetViews>
  <sheetFormatPr baseColWidth="10" defaultRowHeight="12.75" x14ac:dyDescent="0.2"/>
  <cols>
    <col min="1" max="1" width="38.140625" style="93" customWidth="1"/>
    <col min="2" max="2" width="12.140625" style="93" customWidth="1"/>
    <col min="3" max="3" width="10.85546875" style="93" customWidth="1"/>
    <col min="4" max="4" width="14.7109375" style="93" customWidth="1"/>
    <col min="5" max="5" width="16.140625" style="93" customWidth="1"/>
    <col min="6" max="6" width="16" style="93" customWidth="1"/>
    <col min="7" max="7" width="15.42578125" style="93" customWidth="1"/>
    <col min="8" max="8" width="17.140625" style="93" customWidth="1"/>
    <col min="9" max="9" width="13.85546875" style="93" customWidth="1"/>
    <col min="10" max="12" width="11.42578125" style="93"/>
    <col min="13" max="13" width="13.5703125" style="93" customWidth="1"/>
    <col min="14" max="17" width="11.42578125" style="93"/>
    <col min="18" max="18" width="14.28515625" style="93" customWidth="1"/>
    <col min="19" max="16384" width="11.42578125" style="93"/>
  </cols>
  <sheetData>
    <row r="1" spans="1:7" x14ac:dyDescent="0.2">
      <c r="A1" s="92" t="s">
        <v>219</v>
      </c>
      <c r="B1" s="92"/>
      <c r="C1" s="92"/>
    </row>
    <row r="2" spans="1:7" ht="8.25" customHeight="1" x14ac:dyDescent="0.2">
      <c r="A2" s="92"/>
      <c r="B2" s="92"/>
      <c r="C2" s="92"/>
    </row>
    <row r="3" spans="1:7" ht="13.5" thickBot="1" x14ac:dyDescent="0.25">
      <c r="A3" s="92" t="s">
        <v>258</v>
      </c>
      <c r="B3" s="92"/>
      <c r="C3" s="92"/>
    </row>
    <row r="4" spans="1:7" ht="32.25" customHeight="1" x14ac:dyDescent="0.2">
      <c r="A4" s="122"/>
      <c r="B4" s="123" t="s">
        <v>232</v>
      </c>
      <c r="C4" s="123" t="s">
        <v>233</v>
      </c>
      <c r="D4" s="123" t="s">
        <v>227</v>
      </c>
      <c r="E4" s="123" t="s">
        <v>229</v>
      </c>
      <c r="F4" s="123" t="s">
        <v>228</v>
      </c>
      <c r="G4" s="124" t="s">
        <v>230</v>
      </c>
    </row>
    <row r="5" spans="1:7" x14ac:dyDescent="0.2">
      <c r="A5" s="125" t="s">
        <v>234</v>
      </c>
      <c r="B5" s="134">
        <v>3</v>
      </c>
      <c r="C5" s="135">
        <v>0.33333333333333331</v>
      </c>
      <c r="D5" s="126">
        <f ca="1">B5*('% Konfidenz'!D8^(C5))</f>
        <v>2.4854981512907246</v>
      </c>
      <c r="E5" s="133">
        <f>B5*('% Konfidenz'!D11^(C5))</f>
        <v>2.5609677534187396</v>
      </c>
      <c r="F5" s="126">
        <f ca="1">B5*('% Konfidenz'!D14^(C5))</f>
        <v>2.6322336143530425</v>
      </c>
      <c r="G5" s="128">
        <f ca="1">B5*('% Konfidenz'!D18^(C5))</f>
        <v>2.7632742292364125</v>
      </c>
    </row>
    <row r="6" spans="1:7" ht="38.25" x14ac:dyDescent="0.2">
      <c r="A6" s="125" t="s">
        <v>235</v>
      </c>
      <c r="B6" s="136">
        <v>2.5</v>
      </c>
      <c r="C6" s="135">
        <v>0.33333333333333331</v>
      </c>
      <c r="D6" s="126">
        <f ca="1">B6*('% Konfidenz'!D8^(C6))</f>
        <v>2.0712484594089373</v>
      </c>
      <c r="E6" s="133">
        <f>B6*('% Konfidenz'!D11^(C6))</f>
        <v>2.1341397945156166</v>
      </c>
      <c r="F6" s="126">
        <f ca="1">B6*('% Konfidenz'!D14^(C6))</f>
        <v>2.1935280119608684</v>
      </c>
      <c r="G6" s="128">
        <f ca="1">B6*('% Konfidenz'!D18^(C6))</f>
        <v>2.302728524363677</v>
      </c>
    </row>
    <row r="7" spans="1:7" ht="13.5" customHeight="1" thickBot="1" x14ac:dyDescent="0.25">
      <c r="A7" s="129" t="s">
        <v>266</v>
      </c>
      <c r="B7" s="137">
        <v>2</v>
      </c>
      <c r="C7" s="138">
        <v>0.33333333333333331</v>
      </c>
      <c r="D7" s="130">
        <f ca="1">B7*('% Konfidenz'!D8^(C7))</f>
        <v>1.6569987675271498</v>
      </c>
      <c r="E7" s="133">
        <f>B7*('% Konfidenz'!D11^(C7))</f>
        <v>1.7073118356124932</v>
      </c>
      <c r="F7" s="130">
        <f ca="1">B7*('% Konfidenz'!D14^(C7))</f>
        <v>1.7548224095686948</v>
      </c>
      <c r="G7" s="132">
        <f ca="1">B7*('% Konfidenz'!D18^(C7))</f>
        <v>1.8421828194909418</v>
      </c>
    </row>
    <row r="8" spans="1:7" x14ac:dyDescent="0.2">
      <c r="A8" s="94"/>
      <c r="B8" s="95"/>
      <c r="C8" s="96"/>
      <c r="D8" s="97"/>
      <c r="E8" s="97"/>
      <c r="F8" s="97"/>
      <c r="G8" s="97"/>
    </row>
    <row r="9" spans="1:7" ht="13.5" thickBot="1" x14ac:dyDescent="0.25">
      <c r="A9" s="92" t="s">
        <v>257</v>
      </c>
      <c r="F9" s="97"/>
      <c r="G9" s="97"/>
    </row>
    <row r="10" spans="1:7" ht="30.75" customHeight="1" x14ac:dyDescent="0.2">
      <c r="A10" s="122"/>
      <c r="B10" s="123" t="s">
        <v>232</v>
      </c>
      <c r="C10" s="123" t="s">
        <v>233</v>
      </c>
      <c r="D10" s="123" t="s">
        <v>227</v>
      </c>
      <c r="E10" s="123" t="s">
        <v>229</v>
      </c>
      <c r="F10" s="123" t="s">
        <v>228</v>
      </c>
      <c r="G10" s="124" t="s">
        <v>230</v>
      </c>
    </row>
    <row r="11" spans="1:7" ht="13.5" thickBot="1" x14ac:dyDescent="0.25">
      <c r="A11" s="129" t="s">
        <v>256</v>
      </c>
      <c r="B11" s="130" t="s">
        <v>244</v>
      </c>
      <c r="C11" s="138">
        <v>0.5</v>
      </c>
      <c r="D11" s="130">
        <f ca="1">('% Konfidenz'!D8^(C11))</f>
        <v>0.7541162245630646</v>
      </c>
      <c r="E11" s="139">
        <f>('% Konfidenz'!D11^(C11))</f>
        <v>0.78872259593175942</v>
      </c>
      <c r="F11" s="130">
        <f ca="1">('% Konfidenz'!D14^(C11))</f>
        <v>0.82187309635820072</v>
      </c>
      <c r="G11" s="132">
        <f ca="1">('% Konfidenz'!D18^(C11))</f>
        <v>0.88400373108341668</v>
      </c>
    </row>
    <row r="12" spans="1:7" x14ac:dyDescent="0.2">
      <c r="A12" s="98"/>
      <c r="B12" s="99"/>
      <c r="C12" s="99"/>
      <c r="D12" s="99"/>
      <c r="E12" s="99"/>
      <c r="F12" s="99"/>
      <c r="G12" s="99"/>
    </row>
    <row r="13" spans="1:7" ht="13.5" thickBot="1" x14ac:dyDescent="0.25">
      <c r="A13" s="92" t="s">
        <v>240</v>
      </c>
      <c r="B13" s="99"/>
      <c r="C13" s="99"/>
      <c r="D13" s="99"/>
      <c r="E13" s="99"/>
      <c r="F13" s="99"/>
      <c r="G13" s="99"/>
    </row>
    <row r="14" spans="1:7" ht="28.5" customHeight="1" x14ac:dyDescent="0.2">
      <c r="A14" s="122"/>
      <c r="B14" s="123" t="s">
        <v>232</v>
      </c>
      <c r="C14" s="123" t="s">
        <v>233</v>
      </c>
      <c r="D14" s="123" t="s">
        <v>227</v>
      </c>
      <c r="E14" s="123" t="s">
        <v>229</v>
      </c>
      <c r="F14" s="123" t="s">
        <v>228</v>
      </c>
      <c r="G14" s="124" t="s">
        <v>230</v>
      </c>
    </row>
    <row r="15" spans="1:7" x14ac:dyDescent="0.2">
      <c r="A15" s="125" t="s">
        <v>241</v>
      </c>
      <c r="B15" s="134">
        <v>2.5</v>
      </c>
      <c r="C15" s="134">
        <v>0.38</v>
      </c>
      <c r="D15" s="126">
        <f ca="1">B15*('% Konfidenz'!D8^(C15))</f>
        <v>2.0174050562041126</v>
      </c>
      <c r="E15" s="133">
        <f>B15*('% Konfidenz'!D11^(C15))</f>
        <v>2.0873845456313149</v>
      </c>
      <c r="F15" s="126">
        <f ca="1">B15*('% Konfidenz'!D14^(C15))</f>
        <v>2.1537318446923068</v>
      </c>
      <c r="G15" s="128">
        <f ca="1">B15*('% Konfidenz'!D18^(C15))</f>
        <v>2.2763818968132106</v>
      </c>
    </row>
    <row r="16" spans="1:7" x14ac:dyDescent="0.2">
      <c r="A16" s="125" t="s">
        <v>242</v>
      </c>
      <c r="B16" s="134">
        <v>2.5</v>
      </c>
      <c r="C16" s="134">
        <v>0.35</v>
      </c>
      <c r="D16" s="126">
        <f ca="1">B16*('% Konfidenz'!D8^(C16))</f>
        <v>2.0518556660757086</v>
      </c>
      <c r="E16" s="133">
        <f>B16*('% Konfidenz'!D11^(C16))</f>
        <v>2.1173224714804366</v>
      </c>
      <c r="F16" s="126">
        <f ca="1">B16*('% Konfidenz'!D14^(C16))</f>
        <v>2.1792313785600612</v>
      </c>
      <c r="G16" s="128">
        <f ca="1">B16*('% Konfidenz'!D18^(C16))</f>
        <v>2.2932841914588038</v>
      </c>
    </row>
    <row r="17" spans="1:9" x14ac:dyDescent="0.2">
      <c r="A17" s="125" t="s">
        <v>243</v>
      </c>
      <c r="B17" s="134">
        <v>2.5</v>
      </c>
      <c r="C17" s="134">
        <v>0.32</v>
      </c>
      <c r="D17" s="126">
        <f ca="1">B17*('% Konfidenz'!D8^(C17))</f>
        <v>2.0868945784881721</v>
      </c>
      <c r="E17" s="133">
        <f>B17*('% Konfidenz'!D11^(C17))</f>
        <v>2.1476897764806222</v>
      </c>
      <c r="F17" s="126">
        <f ca="1">B17*('% Konfidenz'!D14^(C17))</f>
        <v>2.205032819199114</v>
      </c>
      <c r="G17" s="128">
        <f ca="1">B17*('% Konfidenz'!D18^(C17))</f>
        <v>2.3103119868231849</v>
      </c>
    </row>
    <row r="18" spans="1:9" ht="15.75" customHeight="1" x14ac:dyDescent="0.2">
      <c r="A18" s="125" t="s">
        <v>245</v>
      </c>
      <c r="B18" s="126" t="s">
        <v>244</v>
      </c>
      <c r="C18" s="127" t="s">
        <v>244</v>
      </c>
      <c r="D18" s="126">
        <f ca="1">D15*0.75</f>
        <v>1.5130537921530844</v>
      </c>
      <c r="E18" s="133">
        <f t="shared" ref="D18:G20" si="0">E15*0.75</f>
        <v>1.5655384092234863</v>
      </c>
      <c r="F18" s="126">
        <f t="shared" ca="1" si="0"/>
        <v>1.6152988835192301</v>
      </c>
      <c r="G18" s="128">
        <f t="shared" ca="1" si="0"/>
        <v>1.7072864226099078</v>
      </c>
    </row>
    <row r="19" spans="1:9" x14ac:dyDescent="0.2">
      <c r="A19" s="125" t="s">
        <v>246</v>
      </c>
      <c r="B19" s="126" t="s">
        <v>244</v>
      </c>
      <c r="C19" s="127" t="s">
        <v>244</v>
      </c>
      <c r="D19" s="126">
        <f t="shared" ca="1" si="0"/>
        <v>1.5388917495567815</v>
      </c>
      <c r="E19" s="133">
        <f t="shared" si="0"/>
        <v>1.5879918536103275</v>
      </c>
      <c r="F19" s="126">
        <f t="shared" ca="1" si="0"/>
        <v>1.6344235339200459</v>
      </c>
      <c r="G19" s="128">
        <f t="shared" ca="1" si="0"/>
        <v>1.7199631435941027</v>
      </c>
    </row>
    <row r="20" spans="1:9" ht="12.75" customHeight="1" thickBot="1" x14ac:dyDescent="0.25">
      <c r="A20" s="129" t="s">
        <v>247</v>
      </c>
      <c r="B20" s="130" t="s">
        <v>244</v>
      </c>
      <c r="C20" s="131" t="s">
        <v>244</v>
      </c>
      <c r="D20" s="130">
        <f t="shared" ca="1" si="0"/>
        <v>1.565170933866129</v>
      </c>
      <c r="E20" s="139">
        <f t="shared" si="0"/>
        <v>1.6107673323604668</v>
      </c>
      <c r="F20" s="130">
        <f t="shared" ca="1" si="0"/>
        <v>1.6537746143993355</v>
      </c>
      <c r="G20" s="132">
        <f t="shared" ca="1" si="0"/>
        <v>1.7327339901173886</v>
      </c>
    </row>
    <row r="22" spans="1:9" ht="13.5" thickBot="1" x14ac:dyDescent="0.25">
      <c r="A22" s="92" t="s">
        <v>259</v>
      </c>
      <c r="B22" s="99"/>
      <c r="C22" s="99"/>
      <c r="D22" s="99"/>
      <c r="E22" s="99"/>
      <c r="F22" s="99"/>
      <c r="G22" s="99"/>
    </row>
    <row r="23" spans="1:9" ht="30.75" customHeight="1" x14ac:dyDescent="0.2">
      <c r="A23" s="122"/>
      <c r="B23" s="123" t="s">
        <v>236</v>
      </c>
      <c r="C23" s="123" t="s">
        <v>237</v>
      </c>
      <c r="D23" s="123" t="s">
        <v>233</v>
      </c>
      <c r="E23" s="123" t="s">
        <v>227</v>
      </c>
      <c r="F23" s="123" t="s">
        <v>229</v>
      </c>
      <c r="G23" s="124" t="s">
        <v>228</v>
      </c>
      <c r="H23" s="140" t="s">
        <v>230</v>
      </c>
      <c r="I23" s="100"/>
    </row>
    <row r="24" spans="1:9" x14ac:dyDescent="0.2">
      <c r="A24" s="125" t="s">
        <v>238</v>
      </c>
      <c r="B24" s="134">
        <v>5</v>
      </c>
      <c r="C24" s="135">
        <v>12</v>
      </c>
      <c r="D24" s="135">
        <v>0.5</v>
      </c>
      <c r="E24" s="126">
        <f ca="1">B24*(('% Konfidenz'!D8 /C24)^(D24))</f>
        <v>1.0884730131293741</v>
      </c>
      <c r="F24" s="133">
        <f>B24*(('% Konfidenz'!D11 /C24)^(D24))</f>
        <v>1.1384230076928543</v>
      </c>
      <c r="G24" s="128">
        <f ca="1">B24*(('% Konfidenz'!D14 /C24)^(D24))</f>
        <v>1.1862716335552961</v>
      </c>
      <c r="H24" s="141">
        <f ca="1">B24*(('% Konfidenz'!D18 /C24)^(D24))</f>
        <v>1.2759494802641103</v>
      </c>
      <c r="I24" s="97"/>
    </row>
    <row r="25" spans="1:9" ht="26.25" thickBot="1" x14ac:dyDescent="0.25">
      <c r="A25" s="129" t="s">
        <v>239</v>
      </c>
      <c r="B25" s="137">
        <v>12</v>
      </c>
      <c r="C25" s="138">
        <v>60</v>
      </c>
      <c r="D25" s="138">
        <v>0.33333333333333331</v>
      </c>
      <c r="E25" s="130">
        <f ca="1">B25*(('% Konfidenz'!D8 /C25)^(D25))</f>
        <v>2.5395475700410945</v>
      </c>
      <c r="F25" s="139">
        <f>B25*(('% Konfidenz'!D11 /C25)^(D25))</f>
        <v>2.6166583273340098</v>
      </c>
      <c r="G25" s="132">
        <f ca="1">B25*(('% Konfidenz'!D14 /C25)^(D25))</f>
        <v>2.6894739292561476</v>
      </c>
      <c r="H25" s="142">
        <f ca="1">B25*(('% Konfidenz'!D18 /C25)^(D25))</f>
        <v>2.8233641415385176</v>
      </c>
      <c r="I25" s="97"/>
    </row>
    <row r="26" spans="1:9" x14ac:dyDescent="0.2">
      <c r="B26" s="99"/>
      <c r="C26" s="99"/>
      <c r="D26" s="99"/>
      <c r="E26" s="99"/>
      <c r="F26" s="99"/>
      <c r="G26" s="99"/>
    </row>
    <row r="27" spans="1:9" x14ac:dyDescent="0.2">
      <c r="B27" s="99"/>
      <c r="C27" s="99"/>
      <c r="D27" s="99"/>
      <c r="E27" s="99"/>
      <c r="F27" s="99"/>
      <c r="G27" s="99"/>
    </row>
    <row r="28" spans="1:9" x14ac:dyDescent="0.2">
      <c r="B28" s="99"/>
      <c r="C28" s="99"/>
      <c r="D28" s="99"/>
      <c r="E28" s="99"/>
      <c r="F28" s="99"/>
      <c r="G28" s="99"/>
    </row>
    <row r="29" spans="1:9" x14ac:dyDescent="0.2">
      <c r="B29" s="99"/>
      <c r="C29" s="99"/>
      <c r="D29" s="99"/>
      <c r="E29" s="99"/>
      <c r="F29" s="99"/>
      <c r="G29" s="99"/>
    </row>
    <row r="30" spans="1:9" x14ac:dyDescent="0.2">
      <c r="B30" s="99"/>
      <c r="C30" s="99"/>
      <c r="D30" s="99"/>
      <c r="E30" s="99"/>
      <c r="F30" s="99"/>
      <c r="G30" s="99"/>
    </row>
    <row r="31" spans="1:9" x14ac:dyDescent="0.2">
      <c r="B31" s="99"/>
      <c r="C31" s="99"/>
      <c r="D31" s="99"/>
      <c r="E31" s="99"/>
      <c r="F31" s="99"/>
      <c r="G31" s="99"/>
    </row>
    <row r="32" spans="1:9" x14ac:dyDescent="0.2">
      <c r="B32" s="99"/>
      <c r="C32" s="99"/>
      <c r="D32" s="99"/>
      <c r="E32" s="99"/>
      <c r="F32" s="99"/>
      <c r="G32" s="99"/>
    </row>
    <row r="33" spans="2:7" x14ac:dyDescent="0.2">
      <c r="B33" s="99"/>
      <c r="C33" s="99"/>
      <c r="D33" s="99"/>
      <c r="E33" s="99"/>
      <c r="F33" s="99"/>
      <c r="G33" s="99"/>
    </row>
    <row r="34" spans="2:7" x14ac:dyDescent="0.2">
      <c r="B34" s="99"/>
      <c r="C34" s="99"/>
      <c r="D34" s="99"/>
      <c r="E34" s="99"/>
      <c r="F34" s="99"/>
      <c r="G34" s="99"/>
    </row>
    <row r="55" spans="1:9" ht="13.5" thickBot="1" x14ac:dyDescent="0.25">
      <c r="A55" s="55" t="s">
        <v>476</v>
      </c>
      <c r="B55" s="56"/>
      <c r="C55" s="56"/>
      <c r="D55" s="56"/>
      <c r="E55" s="56"/>
      <c r="F55" s="56"/>
      <c r="G55" s="56"/>
      <c r="H55" s="56"/>
      <c r="I55" s="56"/>
    </row>
    <row r="56" spans="1:9" ht="38.25" x14ac:dyDescent="0.2">
      <c r="A56" s="143" t="s">
        <v>475</v>
      </c>
      <c r="B56" s="123" t="s">
        <v>467</v>
      </c>
      <c r="C56" s="123" t="s">
        <v>468</v>
      </c>
      <c r="D56" s="123" t="s">
        <v>469</v>
      </c>
      <c r="E56" s="123" t="s">
        <v>470</v>
      </c>
      <c r="F56" s="123" t="s">
        <v>471</v>
      </c>
      <c r="G56" s="123" t="s">
        <v>472</v>
      </c>
      <c r="H56" s="123" t="s">
        <v>473</v>
      </c>
      <c r="I56" s="124" t="s">
        <v>474</v>
      </c>
    </row>
    <row r="57" spans="1:9" x14ac:dyDescent="0.2">
      <c r="A57" s="144">
        <v>0.25</v>
      </c>
      <c r="B57" s="145">
        <f ca="1">D5</f>
        <v>2.4854981512907246</v>
      </c>
      <c r="C57" s="145">
        <f ca="1">D6</f>
        <v>2.0712484594089373</v>
      </c>
      <c r="D57" s="145">
        <f ca="1">D11</f>
        <v>0.7541162245630646</v>
      </c>
      <c r="E57" s="145">
        <f ca="1">D15</f>
        <v>2.0174050562041126</v>
      </c>
      <c r="F57" s="145">
        <f ca="1">D16</f>
        <v>2.0518556660757086</v>
      </c>
      <c r="G57" s="145">
        <f ca="1">D17</f>
        <v>2.0868945784881721</v>
      </c>
      <c r="H57" s="145">
        <f ca="1">E24</f>
        <v>1.0884730131293741</v>
      </c>
      <c r="I57" s="146">
        <f ca="1">E25</f>
        <v>2.5395475700410945</v>
      </c>
    </row>
    <row r="58" spans="1:9" x14ac:dyDescent="0.2">
      <c r="A58" s="144">
        <v>0.5</v>
      </c>
      <c r="B58" s="145">
        <f>E5</f>
        <v>2.5609677534187396</v>
      </c>
      <c r="C58" s="145">
        <f>E6</f>
        <v>2.1341397945156166</v>
      </c>
      <c r="D58" s="145">
        <f>E11</f>
        <v>0.78872259593175942</v>
      </c>
      <c r="E58" s="145">
        <f>E15</f>
        <v>2.0873845456313149</v>
      </c>
      <c r="F58" s="145">
        <f>E16</f>
        <v>2.1173224714804366</v>
      </c>
      <c r="G58" s="145">
        <f>E17</f>
        <v>2.1476897764806222</v>
      </c>
      <c r="H58" s="145">
        <f>F24</f>
        <v>1.1384230076928543</v>
      </c>
      <c r="I58" s="146">
        <f>F25</f>
        <v>2.6166583273340098</v>
      </c>
    </row>
    <row r="59" spans="1:9" x14ac:dyDescent="0.2">
      <c r="A59" s="144">
        <v>0.75</v>
      </c>
      <c r="B59" s="145">
        <f ca="1">F5</f>
        <v>2.6322336143530425</v>
      </c>
      <c r="C59" s="145">
        <f ca="1">F6</f>
        <v>2.1935280119608684</v>
      </c>
      <c r="D59" s="145">
        <f ca="1">F11</f>
        <v>0.82187309635820072</v>
      </c>
      <c r="E59" s="145">
        <f ca="1">F15</f>
        <v>2.1537318446923068</v>
      </c>
      <c r="F59" s="145">
        <f ca="1">F16</f>
        <v>2.1792313785600612</v>
      </c>
      <c r="G59" s="145">
        <f ca="1">F17</f>
        <v>2.205032819199114</v>
      </c>
      <c r="H59" s="145">
        <f ca="1">G24</f>
        <v>1.1862716335552961</v>
      </c>
      <c r="I59" s="146">
        <f ca="1">G25</f>
        <v>2.6894739292561476</v>
      </c>
    </row>
    <row r="60" spans="1:9" ht="13.5" thickBot="1" x14ac:dyDescent="0.25">
      <c r="A60" s="147">
        <v>0.98</v>
      </c>
      <c r="B60" s="148">
        <f ca="1">G5</f>
        <v>2.7632742292364125</v>
      </c>
      <c r="C60" s="148">
        <f ca="1">G6</f>
        <v>2.302728524363677</v>
      </c>
      <c r="D60" s="148">
        <f ca="1">G11</f>
        <v>0.88400373108341668</v>
      </c>
      <c r="E60" s="148">
        <f ca="1">G15</f>
        <v>2.2763818968132106</v>
      </c>
      <c r="F60" s="148">
        <f ca="1">G16</f>
        <v>2.2932841914588038</v>
      </c>
      <c r="G60" s="148">
        <f ca="1">G17</f>
        <v>2.3103119868231849</v>
      </c>
      <c r="H60" s="148">
        <f ca="1">H24</f>
        <v>1.2759494802641103</v>
      </c>
      <c r="I60" s="149">
        <f ca="1">H25</f>
        <v>2.8233641415385176</v>
      </c>
    </row>
  </sheetData>
  <phoneticPr fontId="7" type="noConversion"/>
  <pageMargins left="0.78740157499999996" right="0.78740157499999996" top="1.18" bottom="0.984251969" header="0.4921259845" footer="0.4921259845"/>
  <pageSetup paperSize="9" scale="83" fitToHeight="2" orientation="landscape" r:id="rId1"/>
  <headerFooter alignWithMargins="0">
    <oddHeader>&amp;L&amp;G&amp;CPrognose der Projektdauer&amp;RLV: Aufwandschätzverfahren für IKT Projekte</oddHeader>
    <oddFooter>&amp;L(c) 2006 DI(FH) Sven Schweiger&amp;R&amp;P / &amp;N</oddFooter>
  </headerFooter>
  <rowBreaks count="1" manualBreakCount="1">
    <brk id="25" max="16383" man="1"/>
  </rowBreaks>
  <drawing r:id="rId2"/>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5"/>
  <sheetViews>
    <sheetView workbookViewId="0">
      <selection activeCell="D11" sqref="D11"/>
    </sheetView>
  </sheetViews>
  <sheetFormatPr baseColWidth="10" defaultRowHeight="12.75" x14ac:dyDescent="0.2"/>
  <cols>
    <col min="1" max="1" width="34" customWidth="1"/>
    <col min="2" max="2" width="14.85546875" customWidth="1"/>
    <col min="3" max="3" width="15" customWidth="1"/>
    <col min="4" max="4" width="14.7109375" customWidth="1"/>
    <col min="5" max="5" width="28.28515625" customWidth="1"/>
    <col min="6" max="6" width="15.42578125" customWidth="1"/>
    <col min="7" max="7" width="14.7109375" customWidth="1"/>
    <col min="8" max="8" width="6.7109375" customWidth="1"/>
    <col min="9" max="9" width="7.5703125" customWidth="1"/>
    <col min="10" max="10" width="36.140625" customWidth="1"/>
  </cols>
  <sheetData>
    <row r="1" spans="1:9" x14ac:dyDescent="0.2">
      <c r="A1" s="7" t="s">
        <v>231</v>
      </c>
    </row>
    <row r="2" spans="1:9" ht="28.5" customHeight="1" thickBot="1" x14ac:dyDescent="0.25">
      <c r="A2" s="7" t="s">
        <v>248</v>
      </c>
      <c r="B2" s="37"/>
      <c r="C2" s="37"/>
      <c r="D2" s="37"/>
      <c r="E2" s="37"/>
      <c r="F2" s="37"/>
      <c r="G2" s="37"/>
      <c r="H2" s="35"/>
      <c r="I2" s="35"/>
    </row>
    <row r="3" spans="1:9" ht="38.25" x14ac:dyDescent="0.2">
      <c r="A3" s="150"/>
      <c r="B3" s="151" t="s">
        <v>232</v>
      </c>
      <c r="C3" s="151" t="s">
        <v>233</v>
      </c>
      <c r="D3" s="151" t="s">
        <v>227</v>
      </c>
      <c r="E3" s="151" t="s">
        <v>229</v>
      </c>
      <c r="F3" s="151" t="s">
        <v>228</v>
      </c>
      <c r="G3" s="152" t="s">
        <v>230</v>
      </c>
      <c r="H3" s="36"/>
      <c r="I3" s="36"/>
    </row>
    <row r="4" spans="1:9" ht="25.5" x14ac:dyDescent="0.2">
      <c r="A4" s="153" t="s">
        <v>249</v>
      </c>
      <c r="B4" s="163">
        <v>0.4</v>
      </c>
      <c r="C4" s="164">
        <v>0.62</v>
      </c>
      <c r="D4" s="155">
        <f ca="1">B4*('% Konfidenz'!D8^(C4))</f>
        <v>0.28189246299366499</v>
      </c>
      <c r="E4" s="161">
        <f>B4*('% Konfidenz'!D11^(C4))</f>
        <v>0.29802047477801402</v>
      </c>
      <c r="F4" s="155">
        <f ca="1">B4*('% Konfidenz'!D14^(C4))</f>
        <v>0.31363021732815494</v>
      </c>
      <c r="G4" s="156">
        <f ca="1">B4*('% Konfidenz'!D18^(C4))</f>
        <v>0.34329151785269396</v>
      </c>
      <c r="H4" s="36"/>
      <c r="I4" s="36"/>
    </row>
    <row r="5" spans="1:9" ht="25.5" x14ac:dyDescent="0.2">
      <c r="A5" s="153" t="s">
        <v>250</v>
      </c>
      <c r="B5" s="163">
        <v>0.4</v>
      </c>
      <c r="C5" s="164">
        <v>0.65</v>
      </c>
      <c r="D5" s="155">
        <f ca="1">B5*('% Konfidenz'!D8^(C5))</f>
        <v>0.27715949496433406</v>
      </c>
      <c r="E5" s="161">
        <f>B5*('% Konfidenz'!D11^(C5))</f>
        <v>0.29380660797425512</v>
      </c>
      <c r="F5" s="155">
        <f ca="1">B5*('% Konfidenz'!D14^(C5))</f>
        <v>0.30996038014271809</v>
      </c>
      <c r="G5" s="156">
        <f ca="1">B5*('% Konfidenz'!D18^(C5))</f>
        <v>0.34076134108450717</v>
      </c>
    </row>
    <row r="6" spans="1:9" ht="26.25" thickBot="1" x14ac:dyDescent="0.25">
      <c r="A6" s="157" t="s">
        <v>251</v>
      </c>
      <c r="B6" s="165">
        <v>0.4</v>
      </c>
      <c r="C6" s="166">
        <v>0.68</v>
      </c>
      <c r="D6" s="158">
        <f ca="1">B6*('% Konfidenz'!D8^(C6))</f>
        <v>0.27250599336035108</v>
      </c>
      <c r="E6" s="162">
        <f>B6*('% Konfidenz'!D11^(C6))</f>
        <v>0.28965232322925588</v>
      </c>
      <c r="F6" s="158">
        <f ca="1">B6*('% Konfidenz'!D14^(C6))</f>
        <v>0.30633348430739205</v>
      </c>
      <c r="G6" s="160">
        <f ca="1">B6*('% Konfidenz'!D18^(C6))</f>
        <v>0.33824981259087816</v>
      </c>
    </row>
    <row r="7" spans="1:9" x14ac:dyDescent="0.2">
      <c r="A7" s="38" t="s">
        <v>252</v>
      </c>
    </row>
    <row r="9" spans="1:9" ht="13.5" thickBot="1" x14ac:dyDescent="0.25">
      <c r="A9" s="7" t="s">
        <v>253</v>
      </c>
    </row>
    <row r="10" spans="1:9" ht="38.25" x14ac:dyDescent="0.2">
      <c r="A10" s="150"/>
      <c r="B10" s="151" t="s">
        <v>227</v>
      </c>
      <c r="C10" s="151" t="s">
        <v>229</v>
      </c>
      <c r="D10" s="151" t="s">
        <v>228</v>
      </c>
      <c r="E10" s="152" t="s">
        <v>230</v>
      </c>
    </row>
    <row r="11" spans="1:9" ht="13.5" thickBot="1" x14ac:dyDescent="0.25">
      <c r="A11" s="157" t="s">
        <v>255</v>
      </c>
      <c r="B11" s="158">
        <f ca="1">('% Konfidenz'!D8^(0.5))</f>
        <v>0.7541162245630646</v>
      </c>
      <c r="C11" s="162">
        <f>('% Konfidenz'!D11^(0.5))</f>
        <v>0.78872259593175942</v>
      </c>
      <c r="D11" s="158">
        <f ca="1">('% Konfidenz'!D14^(0.5))</f>
        <v>0.82187309635820072</v>
      </c>
      <c r="E11" s="160">
        <f ca="1">('% Konfidenz'!D18^(0.5))</f>
        <v>0.88400373108341668</v>
      </c>
    </row>
    <row r="13" spans="1:9" x14ac:dyDescent="0.2">
      <c r="A13" s="39"/>
    </row>
    <row r="15" spans="1:9" ht="13.5" thickBot="1" x14ac:dyDescent="0.25">
      <c r="A15" s="7" t="s">
        <v>254</v>
      </c>
      <c r="B15" s="18"/>
      <c r="E15" s="7" t="s">
        <v>221</v>
      </c>
    </row>
    <row r="16" spans="1:9" ht="51" x14ac:dyDescent="0.2">
      <c r="A16" s="167" t="s">
        <v>217</v>
      </c>
      <c r="B16" s="168" t="s">
        <v>216</v>
      </c>
      <c r="C16" s="169" t="s">
        <v>220</v>
      </c>
      <c r="E16" s="167" t="s">
        <v>222</v>
      </c>
      <c r="F16" s="169">
        <v>365</v>
      </c>
    </row>
    <row r="17" spans="1:9" x14ac:dyDescent="0.2">
      <c r="A17" s="170" t="s">
        <v>207</v>
      </c>
      <c r="B17" s="175">
        <v>8</v>
      </c>
      <c r="C17" s="176">
        <v>7.7</v>
      </c>
      <c r="D17" s="32"/>
      <c r="E17" s="177" t="s">
        <v>223</v>
      </c>
      <c r="F17" s="178">
        <f>-(52*2)</f>
        <v>-104</v>
      </c>
      <c r="G17" s="32"/>
      <c r="H17" s="32"/>
      <c r="I17" s="32"/>
    </row>
    <row r="18" spans="1:9" x14ac:dyDescent="0.2">
      <c r="A18" s="170" t="s">
        <v>209</v>
      </c>
      <c r="B18" s="175">
        <v>160</v>
      </c>
      <c r="C18" s="171">
        <f>C19/12</f>
        <v>138.6</v>
      </c>
      <c r="D18" s="33"/>
      <c r="E18" s="184" t="s">
        <v>479</v>
      </c>
      <c r="F18" s="183">
        <v>-10</v>
      </c>
      <c r="G18" s="33"/>
      <c r="H18" s="33"/>
      <c r="I18" s="33"/>
    </row>
    <row r="19" spans="1:9" ht="13.5" thickBot="1" x14ac:dyDescent="0.25">
      <c r="A19" s="172" t="s">
        <v>210</v>
      </c>
      <c r="B19" s="173">
        <f>160*12</f>
        <v>1920</v>
      </c>
      <c r="C19" s="174">
        <f>F23</f>
        <v>1663.2</v>
      </c>
      <c r="D19" s="34"/>
      <c r="E19" s="184" t="s">
        <v>478</v>
      </c>
      <c r="F19" s="183">
        <v>-28</v>
      </c>
      <c r="G19" s="34"/>
      <c r="H19" s="34"/>
      <c r="I19" s="34"/>
    </row>
    <row r="20" spans="1:9" x14ac:dyDescent="0.2">
      <c r="D20" s="34"/>
      <c r="E20" s="184" t="s">
        <v>480</v>
      </c>
      <c r="F20" s="183">
        <v>-2</v>
      </c>
      <c r="G20" s="34"/>
      <c r="H20" s="34"/>
      <c r="I20" s="34"/>
    </row>
    <row r="21" spans="1:9" x14ac:dyDescent="0.2">
      <c r="D21" s="34"/>
      <c r="E21" s="177" t="s">
        <v>224</v>
      </c>
      <c r="F21" s="183">
        <v>-5</v>
      </c>
      <c r="G21" s="34"/>
      <c r="H21" s="34"/>
      <c r="I21" s="34"/>
    </row>
    <row r="22" spans="1:9" x14ac:dyDescent="0.2">
      <c r="E22" s="179" t="s">
        <v>211</v>
      </c>
      <c r="F22" s="180">
        <f>SUM(F16:F21)</f>
        <v>216</v>
      </c>
    </row>
    <row r="23" spans="1:9" ht="13.5" thickBot="1" x14ac:dyDescent="0.25">
      <c r="E23" s="181" t="s">
        <v>212</v>
      </c>
      <c r="F23" s="182">
        <f>F22*C17</f>
        <v>1663.2</v>
      </c>
    </row>
    <row r="24" spans="1:9" x14ac:dyDescent="0.2">
      <c r="E24" s="31" t="s">
        <v>225</v>
      </c>
    </row>
    <row r="25" spans="1:9" x14ac:dyDescent="0.2">
      <c r="E25" s="31" t="s">
        <v>226</v>
      </c>
    </row>
  </sheetData>
  <phoneticPr fontId="7" type="noConversion"/>
  <pageMargins left="0.78740157480314965" right="0.45" top="0.98425196850393704" bottom="0.83" header="0.51181102362204722" footer="0.51181102362204722"/>
  <pageSetup paperSize="9" scale="87" orientation="landscape" r:id="rId1"/>
  <headerFooter alignWithMargins="0">
    <oddHeader>&amp;L&amp;G&amp;CRessourcenplanung&amp;RLV: Aufwandschätzverfahren für IKT Projekte</oddHeader>
    <oddFooter>&amp;L(c) 2006 DI(FH) Sven Schweiger&amp;RSeite &amp;P / &amp;N</oddFooter>
  </headerFooter>
  <legacyDrawingHF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6"/>
  <sheetViews>
    <sheetView topLeftCell="A13" workbookViewId="0">
      <selection activeCell="J49" sqref="J49"/>
    </sheetView>
  </sheetViews>
  <sheetFormatPr baseColWidth="10" defaultRowHeight="12.75" x14ac:dyDescent="0.2"/>
  <cols>
    <col min="1" max="1" width="27.140625" customWidth="1"/>
    <col min="2" max="2" width="19.28515625" style="18" customWidth="1"/>
    <col min="3" max="3" width="22" customWidth="1"/>
    <col min="4" max="4" width="23.85546875" customWidth="1"/>
    <col min="5" max="5" width="21.42578125" customWidth="1"/>
    <col min="6" max="6" width="10.5703125" customWidth="1"/>
    <col min="7" max="7" width="13.5703125" style="88" customWidth="1"/>
    <col min="8" max="8" width="9" style="88" hidden="1" customWidth="1"/>
    <col min="9" max="9" width="13.85546875" style="88" hidden="1" customWidth="1"/>
  </cols>
  <sheetData>
    <row r="1" spans="1:9" x14ac:dyDescent="0.2">
      <c r="A1" s="7" t="s">
        <v>98</v>
      </c>
    </row>
    <row r="2" spans="1:9" ht="13.5" thickBot="1" x14ac:dyDescent="0.25"/>
    <row r="3" spans="1:9" s="24" customFormat="1" ht="30.75" customHeight="1" x14ac:dyDescent="0.2">
      <c r="A3" s="167" t="s">
        <v>99</v>
      </c>
      <c r="B3" s="168" t="s">
        <v>208</v>
      </c>
      <c r="C3" s="168" t="s">
        <v>213</v>
      </c>
      <c r="D3" s="168" t="s">
        <v>214</v>
      </c>
      <c r="E3" s="169" t="s">
        <v>215</v>
      </c>
      <c r="G3" s="89"/>
      <c r="H3" s="89"/>
      <c r="I3" s="89"/>
    </row>
    <row r="4" spans="1:9" x14ac:dyDescent="0.2">
      <c r="A4" s="185">
        <v>0.02</v>
      </c>
      <c r="B4" s="186">
        <f ca="1">IF((I22-(2*Gesamtprojekt!L2))&lt;0,"NV",(I22-(2*Gesamtprojekt!L2)))</f>
        <v>74.032651215562424</v>
      </c>
      <c r="C4" s="186">
        <f ca="1">B4/B34</f>
        <v>9.254081401945303</v>
      </c>
      <c r="D4" s="186">
        <f ca="1">B4/B35</f>
        <v>0.46270407009726516</v>
      </c>
      <c r="E4" s="187">
        <f ca="1">B4/B36</f>
        <v>3.8558672508105428E-2</v>
      </c>
    </row>
    <row r="5" spans="1:9" x14ac:dyDescent="0.2">
      <c r="A5" s="188">
        <v>0.1</v>
      </c>
      <c r="B5" s="186">
        <f ca="1">IF((I22-(1.28*Gesamtprojekt!L2))&lt;0,"NV",(I22-(1.28*Gesamtprojekt!L2)))</f>
        <v>83.212896777959955</v>
      </c>
      <c r="C5" s="189">
        <f ca="1">B5/B34</f>
        <v>10.401612097244994</v>
      </c>
      <c r="D5" s="189">
        <f ca="1">B5/B35</f>
        <v>0.52008060486224972</v>
      </c>
      <c r="E5" s="190">
        <f ca="1">B5/B36</f>
        <v>4.3340050405187479E-2</v>
      </c>
    </row>
    <row r="6" spans="1:9" x14ac:dyDescent="0.2">
      <c r="A6" s="188">
        <v>0.16</v>
      </c>
      <c r="B6" s="189">
        <f ca="1">IF((I22-(1*Gesamtprojekt!L2))&lt;0,"NV",(I22-(1*Gesamtprojekt!L2)))</f>
        <v>86.782992274447878</v>
      </c>
      <c r="C6" s="189">
        <f ca="1">B6/B34</f>
        <v>10.847874034305985</v>
      </c>
      <c r="D6" s="189">
        <f ca="1">B6/B35</f>
        <v>0.54239370171529921</v>
      </c>
      <c r="E6" s="190">
        <f ca="1">B6/B36</f>
        <v>4.5199475142941606E-2</v>
      </c>
    </row>
    <row r="7" spans="1:9" x14ac:dyDescent="0.2">
      <c r="A7" s="188">
        <v>0.2</v>
      </c>
      <c r="B7" s="189">
        <f ca="1">IF((I22-(0.84*Gesamtprojekt!L2))&lt;0,"NV",(I22-(0.84*Gesamtprojekt!L2)))</f>
        <v>88.823046843869562</v>
      </c>
      <c r="C7" s="189">
        <f ca="1">B7/B34</f>
        <v>11.102880855483695</v>
      </c>
      <c r="D7" s="189">
        <f ca="1">B7/B35</f>
        <v>0.55514404277418472</v>
      </c>
      <c r="E7" s="190">
        <f ca="1">B7/B36</f>
        <v>4.6262003564515396E-2</v>
      </c>
    </row>
    <row r="8" spans="1:9" x14ac:dyDescent="0.2">
      <c r="A8" s="191">
        <v>0.25</v>
      </c>
      <c r="B8" s="192">
        <f ca="1">IF((I22-(0.67*Gesamtprojekt!L2))&lt;0,"NV",(I22-(0.67*Gesamtprojekt!L2)))</f>
        <v>90.990604823880091</v>
      </c>
      <c r="C8" s="192">
        <f ca="1">B8/B34</f>
        <v>11.373825602985011</v>
      </c>
      <c r="D8" s="192">
        <f ca="1">B8/B35</f>
        <v>0.56869128014925052</v>
      </c>
      <c r="E8" s="192">
        <f ca="1">B8/B36</f>
        <v>4.739094001243755E-2</v>
      </c>
    </row>
    <row r="9" spans="1:9" x14ac:dyDescent="0.2">
      <c r="A9" s="188">
        <v>0.3</v>
      </c>
      <c r="B9" s="189">
        <f ca="1">IF((I22-(0.52*Gesamtprojekt!L2))&lt;0,"NV",(I22-(0.52*Gesamtprojekt!L2)))</f>
        <v>92.903155982712903</v>
      </c>
      <c r="C9" s="189">
        <f ca="1">B9/B34</f>
        <v>11.612894497839113</v>
      </c>
      <c r="D9" s="189">
        <f ca="1">B9/B35</f>
        <v>0.58064472489195562</v>
      </c>
      <c r="E9" s="190">
        <f ca="1">B9/B36</f>
        <v>4.8387060407662968E-2</v>
      </c>
    </row>
    <row r="10" spans="1:9" x14ac:dyDescent="0.2">
      <c r="A10" s="188">
        <v>0.4</v>
      </c>
      <c r="B10" s="189">
        <f ca="1">IF((I22-(0.25*Gesamtprojekt!L2))&lt;0,"NV",(I22-(0.25*Gesamtprojekt!L2)))</f>
        <v>96.345748068611982</v>
      </c>
      <c r="C10" s="189">
        <f ca="1">B10/B34</f>
        <v>12.043218508576498</v>
      </c>
      <c r="D10" s="189">
        <f ca="1">B10/B35</f>
        <v>0.60216092542882493</v>
      </c>
      <c r="E10" s="190">
        <f ca="1">B10/B36</f>
        <v>5.0180077119068738E-2</v>
      </c>
    </row>
    <row r="11" spans="1:9" x14ac:dyDescent="0.2">
      <c r="A11" s="191">
        <v>0.5</v>
      </c>
      <c r="B11" s="192">
        <f>I22</f>
        <v>99.533333333333346</v>
      </c>
      <c r="C11" s="192">
        <f>B11/B34</f>
        <v>12.441666666666668</v>
      </c>
      <c r="D11" s="192">
        <f>B11/B35</f>
        <v>0.62208333333333343</v>
      </c>
      <c r="E11" s="192">
        <f>B11/B36</f>
        <v>5.1840277777777784E-2</v>
      </c>
    </row>
    <row r="12" spans="1:9" x14ac:dyDescent="0.2">
      <c r="A12" s="188">
        <v>0.6</v>
      </c>
      <c r="B12" s="189">
        <f ca="1">I22+(0.25*Gesamtprojekt!L2)</f>
        <v>102.72091859805471</v>
      </c>
      <c r="C12" s="189">
        <f ca="1">B12/B34</f>
        <v>12.840114824756839</v>
      </c>
      <c r="D12" s="189">
        <f ca="1">B12/B35</f>
        <v>0.64200574123784193</v>
      </c>
      <c r="E12" s="190">
        <f ca="1">B12/B36</f>
        <v>5.350047843648683E-2</v>
      </c>
    </row>
    <row r="13" spans="1:9" x14ac:dyDescent="0.2">
      <c r="A13" s="188">
        <v>0.7</v>
      </c>
      <c r="B13" s="189">
        <f ca="1">I22+(0.52*Gesamtprojekt!L2)</f>
        <v>106.16351068395379</v>
      </c>
      <c r="C13" s="189">
        <f ca="1">B13/B34</f>
        <v>13.270438835494224</v>
      </c>
      <c r="D13" s="189">
        <f ca="1">B13/B35</f>
        <v>0.66352194177471113</v>
      </c>
      <c r="E13" s="190">
        <f ca="1">B13/B36</f>
        <v>5.5293495147892599E-2</v>
      </c>
    </row>
    <row r="14" spans="1:9" x14ac:dyDescent="0.2">
      <c r="A14" s="191">
        <v>0.75</v>
      </c>
      <c r="B14" s="192">
        <f ca="1">I22+(0.67*Gesamtprojekt!L2)</f>
        <v>108.0760618427866</v>
      </c>
      <c r="C14" s="192">
        <f ca="1">B14/B34</f>
        <v>13.509507730348325</v>
      </c>
      <c r="D14" s="192">
        <f ca="1">B14/B35</f>
        <v>0.67547538651741623</v>
      </c>
      <c r="E14" s="192">
        <f ca="1">B14/B36</f>
        <v>5.6289615543118024E-2</v>
      </c>
    </row>
    <row r="15" spans="1:9" x14ac:dyDescent="0.2">
      <c r="A15" s="188">
        <v>0.8</v>
      </c>
      <c r="B15" s="189">
        <f ca="1">I22+(0.84*Gesamtprojekt!L2)</f>
        <v>110.24361982279713</v>
      </c>
      <c r="C15" s="189">
        <f ca="1">B15/B34</f>
        <v>13.780452477849641</v>
      </c>
      <c r="D15" s="189">
        <f ca="1">B15/B35</f>
        <v>0.68902262389248203</v>
      </c>
      <c r="E15" s="190">
        <f ca="1">B15/B36</f>
        <v>5.7418551991040172E-2</v>
      </c>
    </row>
    <row r="16" spans="1:9" x14ac:dyDescent="0.2">
      <c r="A16" s="188">
        <v>0.84</v>
      </c>
      <c r="B16" s="189">
        <f ca="1">I22+(1*Gesamtprojekt!L2)</f>
        <v>112.28367439221881</v>
      </c>
      <c r="C16" s="189">
        <f ca="1">B16/B34</f>
        <v>14.035459299027352</v>
      </c>
      <c r="D16" s="189">
        <f ca="1">B16/B35</f>
        <v>0.70177296495136754</v>
      </c>
      <c r="E16" s="190">
        <f ca="1">B16/B36</f>
        <v>5.8481080412613969E-2</v>
      </c>
    </row>
    <row r="17" spans="1:9" x14ac:dyDescent="0.2">
      <c r="A17" s="188">
        <v>0.9</v>
      </c>
      <c r="B17" s="189">
        <f ca="1">I22+(1.28*Gesamtprojekt!L2)</f>
        <v>115.85376988870674</v>
      </c>
      <c r="C17" s="189">
        <f ca="1">B17/B34</f>
        <v>14.481721236088342</v>
      </c>
      <c r="D17" s="189">
        <f ca="1">B17/B35</f>
        <v>0.72408606180441715</v>
      </c>
      <c r="E17" s="190">
        <f ca="1">B17/B36</f>
        <v>6.0340505150368089E-2</v>
      </c>
    </row>
    <row r="18" spans="1:9" ht="13.5" thickBot="1" x14ac:dyDescent="0.25">
      <c r="A18" s="193">
        <v>0.98</v>
      </c>
      <c r="B18" s="194">
        <f ca="1">I22+(2*Gesamtprojekt!L2)</f>
        <v>125.03401545110427</v>
      </c>
      <c r="C18" s="194">
        <f ca="1">B18/B34</f>
        <v>15.629251931388033</v>
      </c>
      <c r="D18" s="194">
        <f ca="1">B18/B35</f>
        <v>0.78146259656940165</v>
      </c>
      <c r="E18" s="194">
        <f ca="1">B18/B36</f>
        <v>6.5121883047450133E-2</v>
      </c>
    </row>
    <row r="20" spans="1:9" ht="13.5" thickBot="1" x14ac:dyDescent="0.25">
      <c r="A20" s="7" t="s">
        <v>461</v>
      </c>
      <c r="B20" s="7"/>
      <c r="C20" s="7"/>
    </row>
    <row r="21" spans="1:9" ht="36" customHeight="1" x14ac:dyDescent="0.2">
      <c r="A21" s="150" t="s">
        <v>273</v>
      </c>
      <c r="B21" s="151" t="s">
        <v>459</v>
      </c>
      <c r="C21" s="151" t="s">
        <v>456</v>
      </c>
      <c r="D21" s="151" t="s">
        <v>457</v>
      </c>
      <c r="E21" s="151" t="s">
        <v>458</v>
      </c>
      <c r="F21" s="151" t="s">
        <v>466</v>
      </c>
      <c r="G21" s="195" t="s">
        <v>460</v>
      </c>
      <c r="H21" s="90" t="s">
        <v>463</v>
      </c>
      <c r="I21" s="90" t="s">
        <v>464</v>
      </c>
    </row>
    <row r="22" spans="1:9" x14ac:dyDescent="0.2">
      <c r="A22" s="196" t="s">
        <v>281</v>
      </c>
      <c r="B22" s="197">
        <f>1-Risikospinne!A2</f>
        <v>0</v>
      </c>
      <c r="C22" s="204">
        <v>0</v>
      </c>
      <c r="D22" s="154">
        <f t="shared" ref="D22:D28" si="0">IF((H22=TRUE),B22*C22,"NB")</f>
        <v>0</v>
      </c>
      <c r="E22" s="155">
        <f t="shared" ref="E22:E28" si="1">IF((ISTEXT(D22)),"NB",D22/($B$35/$B$34))</f>
        <v>0</v>
      </c>
      <c r="F22" s="155" t="str">
        <f>IF(D22&gt;(Gesamtprojekt!I2/5),"Ja","Nein")</f>
        <v>Nein</v>
      </c>
      <c r="G22" s="198"/>
      <c r="H22" s="88" t="b">
        <v>1</v>
      </c>
      <c r="I22" s="91">
        <f>IF((H29=TRUE),(Gesamtprojekt!I2+(D29*B34)),Gesamtprojekt!I2)</f>
        <v>99.533333333333346</v>
      </c>
    </row>
    <row r="23" spans="1:9" ht="26.25" customHeight="1" x14ac:dyDescent="0.2">
      <c r="A23" s="153" t="s">
        <v>291</v>
      </c>
      <c r="B23" s="197">
        <f>1-Risikospinne!B2</f>
        <v>0.31578947368421051</v>
      </c>
      <c r="C23" s="204">
        <v>0</v>
      </c>
      <c r="D23" s="154">
        <f t="shared" si="0"/>
        <v>0</v>
      </c>
      <c r="E23" s="155">
        <f t="shared" si="1"/>
        <v>0</v>
      </c>
      <c r="F23" s="155" t="str">
        <f>IF(D23&gt;(Gesamtprojekt!I2/5),"Ja","Nein")</f>
        <v>Nein</v>
      </c>
      <c r="G23" s="198"/>
      <c r="H23" s="88" t="b">
        <v>1</v>
      </c>
    </row>
    <row r="24" spans="1:9" x14ac:dyDescent="0.2">
      <c r="A24" s="153" t="s">
        <v>314</v>
      </c>
      <c r="B24" s="197">
        <f>1-Risikospinne!C2</f>
        <v>0.59259259259259256</v>
      </c>
      <c r="C24" s="204">
        <v>0</v>
      </c>
      <c r="D24" s="154">
        <f t="shared" si="0"/>
        <v>0</v>
      </c>
      <c r="E24" s="155">
        <f t="shared" si="1"/>
        <v>0</v>
      </c>
      <c r="F24" s="155" t="str">
        <f>IF(D24&gt;(Gesamtprojekt!I2/5),"Ja","Nein")</f>
        <v>Nein</v>
      </c>
      <c r="G24" s="198"/>
      <c r="H24" s="88" t="b">
        <v>1</v>
      </c>
    </row>
    <row r="25" spans="1:9" x14ac:dyDescent="0.2">
      <c r="A25" s="153" t="s">
        <v>339</v>
      </c>
      <c r="B25" s="197">
        <f>1-Risikospinne!D2</f>
        <v>0.43181818181818177</v>
      </c>
      <c r="C25" s="204">
        <v>0</v>
      </c>
      <c r="D25" s="154">
        <f t="shared" si="0"/>
        <v>0</v>
      </c>
      <c r="E25" s="155">
        <f t="shared" si="1"/>
        <v>0</v>
      </c>
      <c r="F25" s="199" t="str">
        <f>IF(D25&gt;(Gesamtprojekt!I2/5),"Ja","Nein")</f>
        <v>Nein</v>
      </c>
      <c r="G25" s="200"/>
      <c r="H25" s="88" t="b">
        <v>1</v>
      </c>
    </row>
    <row r="26" spans="1:9" ht="25.5" x14ac:dyDescent="0.2">
      <c r="A26" s="153" t="s">
        <v>362</v>
      </c>
      <c r="B26" s="197">
        <f>1-Risikospinne!E2</f>
        <v>0.41935483870967749</v>
      </c>
      <c r="C26" s="204">
        <v>0</v>
      </c>
      <c r="D26" s="154">
        <f t="shared" si="0"/>
        <v>0</v>
      </c>
      <c r="E26" s="155">
        <f t="shared" si="1"/>
        <v>0</v>
      </c>
      <c r="F26" s="199" t="str">
        <f>IF(D26&gt;(Gesamtprojekt!I2/5),"Ja","Nein")</f>
        <v>Nein</v>
      </c>
      <c r="G26" s="200"/>
      <c r="H26" s="88" t="b">
        <v>1</v>
      </c>
    </row>
    <row r="27" spans="1:9" x14ac:dyDescent="0.2">
      <c r="A27" s="153" t="s">
        <v>390</v>
      </c>
      <c r="B27" s="197">
        <f>1-Risikospinne!F2</f>
        <v>0.43333333333333335</v>
      </c>
      <c r="C27" s="204">
        <v>0</v>
      </c>
      <c r="D27" s="154">
        <f t="shared" si="0"/>
        <v>0</v>
      </c>
      <c r="E27" s="155">
        <f t="shared" si="1"/>
        <v>0</v>
      </c>
      <c r="F27" s="199" t="str">
        <f>IF(D27&gt;(Gesamtprojekt!I2/5),"Ja","Nein")</f>
        <v>Nein</v>
      </c>
      <c r="G27" s="200"/>
      <c r="H27" s="88" t="b">
        <v>1</v>
      </c>
    </row>
    <row r="28" spans="1:9" x14ac:dyDescent="0.2">
      <c r="A28" s="153" t="s">
        <v>413</v>
      </c>
      <c r="B28" s="197">
        <f>1-Risikospinne!G2</f>
        <v>0.77049180327868849</v>
      </c>
      <c r="C28" s="204">
        <v>0</v>
      </c>
      <c r="D28" s="154">
        <f t="shared" si="0"/>
        <v>0</v>
      </c>
      <c r="E28" s="155">
        <f t="shared" si="1"/>
        <v>0</v>
      </c>
      <c r="F28" s="199" t="str">
        <f>IF(D28&gt;(Gesamtprojekt!I2/5),"Ja","Nein")</f>
        <v>Nein</v>
      </c>
      <c r="G28" s="200"/>
      <c r="H28" s="88" t="b">
        <v>1</v>
      </c>
    </row>
    <row r="29" spans="1:9" ht="26.25" thickBot="1" x14ac:dyDescent="0.25">
      <c r="A29" s="157" t="s">
        <v>462</v>
      </c>
      <c r="B29" s="201"/>
      <c r="C29" s="201"/>
      <c r="D29" s="202">
        <f>SUM(D22:D28)</f>
        <v>0</v>
      </c>
      <c r="E29" s="159">
        <f>SUM(E22:E28)</f>
        <v>0</v>
      </c>
      <c r="F29" s="201"/>
      <c r="G29" s="203"/>
      <c r="H29" s="88" t="b">
        <v>1</v>
      </c>
    </row>
    <row r="30" spans="1:9" x14ac:dyDescent="0.2">
      <c r="A30" t="s">
        <v>465</v>
      </c>
    </row>
    <row r="32" spans="1:9" ht="13.5" thickBot="1" x14ac:dyDescent="0.25">
      <c r="A32" s="7" t="s">
        <v>218</v>
      </c>
    </row>
    <row r="33" spans="1:2" ht="38.25" x14ac:dyDescent="0.2">
      <c r="A33" s="167" t="s">
        <v>217</v>
      </c>
      <c r="B33" s="169" t="s">
        <v>216</v>
      </c>
    </row>
    <row r="34" spans="1:2" x14ac:dyDescent="0.2">
      <c r="A34" s="205" t="s">
        <v>207</v>
      </c>
      <c r="B34" s="183">
        <v>8</v>
      </c>
    </row>
    <row r="35" spans="1:2" x14ac:dyDescent="0.2">
      <c r="A35" s="205" t="s">
        <v>209</v>
      </c>
      <c r="B35" s="183">
        <v>160</v>
      </c>
    </row>
    <row r="36" spans="1:2" ht="13.5" thickBot="1" x14ac:dyDescent="0.25">
      <c r="A36" s="206" t="s">
        <v>210</v>
      </c>
      <c r="B36" s="207">
        <f>160*12</f>
        <v>1920</v>
      </c>
    </row>
  </sheetData>
  <phoneticPr fontId="7" type="noConversion"/>
  <pageMargins left="0.78740157499999996" right="0.78740157499999996" top="0.984251969" bottom="0.984251969" header="0.4921259845" footer="0.4921259845"/>
  <pageSetup paperSize="9" scale="82" fitToHeight="2" orientation="landscape" r:id="rId1"/>
  <headerFooter alignWithMargins="0">
    <oddHeader>&amp;L&amp;G&amp;CGeschätzer Projektaufwand&amp;RLV: Aufwandschätzverfahren für IKT Projekte</oddHeader>
    <oddFooter>&amp;L(c) 2006 DI(FH) Sven Schweiger&amp;R&amp;P / &amp;N</oddFooter>
  </headerFooter>
  <rowBreaks count="1" manualBreakCount="1">
    <brk id="36" max="16383" man="1"/>
  </rowBreaks>
  <drawing r:id="rId2"/>
  <legacyDrawing r:id="rId3"/>
  <legacyDrawingHF r:id="rId4"/>
  <mc:AlternateContent xmlns:mc="http://schemas.openxmlformats.org/markup-compatibility/2006">
    <mc:Choice Requires="x14">
      <controls>
        <mc:AlternateContent xmlns:mc="http://schemas.openxmlformats.org/markup-compatibility/2006">
          <mc:Choice Requires="x14">
            <control shapeId="6147" r:id="rId5" name="Check Box 3">
              <controlPr locked="0" defaultSize="0" autoFill="0" autoLine="0" autoPict="0">
                <anchor moveWithCells="1">
                  <from>
                    <xdr:col>6</xdr:col>
                    <xdr:colOff>0</xdr:colOff>
                    <xdr:row>22</xdr:row>
                    <xdr:rowOff>57150</xdr:rowOff>
                  </from>
                  <to>
                    <xdr:col>6</xdr:col>
                    <xdr:colOff>866775</xdr:colOff>
                    <xdr:row>23</xdr:row>
                    <xdr:rowOff>0</xdr:rowOff>
                  </to>
                </anchor>
              </controlPr>
            </control>
          </mc:Choice>
        </mc:AlternateContent>
        <mc:AlternateContent xmlns:mc="http://schemas.openxmlformats.org/markup-compatibility/2006">
          <mc:Choice Requires="x14">
            <control shapeId="6148" r:id="rId6" name="Check Box 4">
              <controlPr locked="0" defaultSize="0" autoFill="0" autoLine="0" autoPict="0">
                <anchor moveWithCells="1">
                  <from>
                    <xdr:col>6</xdr:col>
                    <xdr:colOff>0</xdr:colOff>
                    <xdr:row>22</xdr:row>
                    <xdr:rowOff>304800</xdr:rowOff>
                  </from>
                  <to>
                    <xdr:col>6</xdr:col>
                    <xdr:colOff>866775</xdr:colOff>
                    <xdr:row>24</xdr:row>
                    <xdr:rowOff>28575</xdr:rowOff>
                  </to>
                </anchor>
              </controlPr>
            </control>
          </mc:Choice>
        </mc:AlternateContent>
        <mc:AlternateContent xmlns:mc="http://schemas.openxmlformats.org/markup-compatibility/2006">
          <mc:Choice Requires="x14">
            <control shapeId="6149" r:id="rId7" name="Check Box 5">
              <controlPr locked="0" defaultSize="0" autoFill="0" autoLine="0" autoPict="0">
                <anchor moveWithCells="1">
                  <from>
                    <xdr:col>6</xdr:col>
                    <xdr:colOff>0</xdr:colOff>
                    <xdr:row>23</xdr:row>
                    <xdr:rowOff>133350</xdr:rowOff>
                  </from>
                  <to>
                    <xdr:col>6</xdr:col>
                    <xdr:colOff>866775</xdr:colOff>
                    <xdr:row>25</xdr:row>
                    <xdr:rowOff>28575</xdr:rowOff>
                  </to>
                </anchor>
              </controlPr>
            </control>
          </mc:Choice>
        </mc:AlternateContent>
        <mc:AlternateContent xmlns:mc="http://schemas.openxmlformats.org/markup-compatibility/2006">
          <mc:Choice Requires="x14">
            <control shapeId="6150" r:id="rId8" name="Check Box 6">
              <controlPr locked="0" defaultSize="0" autoFill="0" autoLine="0" autoPict="0">
                <anchor moveWithCells="1">
                  <from>
                    <xdr:col>6</xdr:col>
                    <xdr:colOff>0</xdr:colOff>
                    <xdr:row>25</xdr:row>
                    <xdr:rowOff>57150</xdr:rowOff>
                  </from>
                  <to>
                    <xdr:col>6</xdr:col>
                    <xdr:colOff>866775</xdr:colOff>
                    <xdr:row>26</xdr:row>
                    <xdr:rowOff>0</xdr:rowOff>
                  </to>
                </anchor>
              </controlPr>
            </control>
          </mc:Choice>
        </mc:AlternateContent>
        <mc:AlternateContent xmlns:mc="http://schemas.openxmlformats.org/markup-compatibility/2006">
          <mc:Choice Requires="x14">
            <control shapeId="6151" r:id="rId9" name="Check Box 7">
              <controlPr locked="0" defaultSize="0" autoFill="0" autoLine="0" autoPict="0">
                <anchor moveWithCells="1">
                  <from>
                    <xdr:col>6</xdr:col>
                    <xdr:colOff>0</xdr:colOff>
                    <xdr:row>25</xdr:row>
                    <xdr:rowOff>295275</xdr:rowOff>
                  </from>
                  <to>
                    <xdr:col>6</xdr:col>
                    <xdr:colOff>866775</xdr:colOff>
                    <xdr:row>27</xdr:row>
                    <xdr:rowOff>28575</xdr:rowOff>
                  </to>
                </anchor>
              </controlPr>
            </control>
          </mc:Choice>
        </mc:AlternateContent>
        <mc:AlternateContent xmlns:mc="http://schemas.openxmlformats.org/markup-compatibility/2006">
          <mc:Choice Requires="x14">
            <control shapeId="6152" r:id="rId10" name="Check Box 8">
              <controlPr locked="0" defaultSize="0" autoFill="0" autoLine="0" autoPict="0">
                <anchor moveWithCells="1">
                  <from>
                    <xdr:col>6</xdr:col>
                    <xdr:colOff>0</xdr:colOff>
                    <xdr:row>26</xdr:row>
                    <xdr:rowOff>133350</xdr:rowOff>
                  </from>
                  <to>
                    <xdr:col>6</xdr:col>
                    <xdr:colOff>866775</xdr:colOff>
                    <xdr:row>28</xdr:row>
                    <xdr:rowOff>28575</xdr:rowOff>
                  </to>
                </anchor>
              </controlPr>
            </control>
          </mc:Choice>
        </mc:AlternateContent>
        <mc:AlternateContent xmlns:mc="http://schemas.openxmlformats.org/markup-compatibility/2006">
          <mc:Choice Requires="x14">
            <control shapeId="6153" r:id="rId11" name="Check Box 9">
              <controlPr locked="0" defaultSize="0" autoFill="0" autoLine="0" autoPict="0">
                <anchor moveWithCells="1">
                  <from>
                    <xdr:col>6</xdr:col>
                    <xdr:colOff>0</xdr:colOff>
                    <xdr:row>28</xdr:row>
                    <xdr:rowOff>47625</xdr:rowOff>
                  </from>
                  <to>
                    <xdr:col>6</xdr:col>
                    <xdr:colOff>866775</xdr:colOff>
                    <xdr:row>28</xdr:row>
                    <xdr:rowOff>266700</xdr:rowOff>
                  </to>
                </anchor>
              </controlPr>
            </control>
          </mc:Choice>
        </mc:AlternateContent>
        <mc:AlternateContent xmlns:mc="http://schemas.openxmlformats.org/markup-compatibility/2006">
          <mc:Choice Requires="x14">
            <control shapeId="6154" r:id="rId12" name="Check Box 10">
              <controlPr locked="0" defaultSize="0" autoFill="0" autoLine="0" autoPict="0">
                <anchor moveWithCells="1">
                  <from>
                    <xdr:col>6</xdr:col>
                    <xdr:colOff>0</xdr:colOff>
                    <xdr:row>20</xdr:row>
                    <xdr:rowOff>419100</xdr:rowOff>
                  </from>
                  <to>
                    <xdr:col>6</xdr:col>
                    <xdr:colOff>866775</xdr:colOff>
                    <xdr:row>22</xdr:row>
                    <xdr:rowOff>19050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pageSetUpPr fitToPage="1"/>
  </sheetPr>
  <dimension ref="A1:M322"/>
  <sheetViews>
    <sheetView topLeftCell="A7" zoomScale="70" zoomScaleSheetLayoutView="100" workbookViewId="0">
      <selection activeCell="J34" sqref="J34"/>
    </sheetView>
  </sheetViews>
  <sheetFormatPr baseColWidth="10" defaultRowHeight="12.75" x14ac:dyDescent="0.2"/>
  <cols>
    <col min="1" max="1" width="7.28515625" style="11" customWidth="1"/>
    <col min="2" max="2" width="16.28515625" style="3" bestFit="1" customWidth="1"/>
    <col min="3" max="3" width="36.140625" style="1" customWidth="1"/>
    <col min="4" max="4" width="27.85546875" style="1" customWidth="1"/>
    <col min="5" max="6" width="11.5703125" style="20" customWidth="1"/>
    <col min="7" max="7" width="12.28515625" style="20" customWidth="1"/>
    <col min="8" max="8" width="41.5703125" style="1" customWidth="1"/>
    <col min="9" max="9" width="10.85546875" style="23" customWidth="1"/>
    <col min="10" max="11" width="9.5703125" style="16" customWidth="1"/>
    <col min="12" max="12" width="11" style="19" customWidth="1"/>
    <col min="13" max="13" width="13.7109375" style="15" customWidth="1"/>
    <col min="14" max="14" width="11.42578125" style="1"/>
    <col min="15" max="15" width="40.140625" style="1" customWidth="1"/>
    <col min="16" max="16" width="22.85546875" style="1" customWidth="1"/>
    <col min="17" max="16384" width="11.42578125" style="1"/>
  </cols>
  <sheetData>
    <row r="1" spans="1:13" s="2" customFormat="1" ht="45.75" thickBot="1" x14ac:dyDescent="0.25">
      <c r="A1" s="208" t="s">
        <v>0</v>
      </c>
      <c r="B1" s="209" t="s">
        <v>1</v>
      </c>
      <c r="C1" s="209" t="s">
        <v>2</v>
      </c>
      <c r="D1" s="209" t="s">
        <v>85</v>
      </c>
      <c r="E1" s="210" t="s">
        <v>87</v>
      </c>
      <c r="F1" s="210" t="s">
        <v>95</v>
      </c>
      <c r="G1" s="210" t="s">
        <v>88</v>
      </c>
      <c r="H1" s="211" t="s">
        <v>89</v>
      </c>
      <c r="I1" s="212" t="s">
        <v>90</v>
      </c>
      <c r="J1" s="212" t="s">
        <v>96</v>
      </c>
      <c r="K1" s="212" t="s">
        <v>94</v>
      </c>
      <c r="L1" s="213" t="s">
        <v>97</v>
      </c>
      <c r="M1" s="214" t="s">
        <v>86</v>
      </c>
    </row>
    <row r="2" spans="1:13" s="2" customFormat="1" ht="15.75" thickBot="1" x14ac:dyDescent="0.25">
      <c r="A2" s="215"/>
      <c r="B2" s="216"/>
      <c r="C2" s="216"/>
      <c r="D2" s="216"/>
      <c r="E2" s="217">
        <f>SUM(E3:E9997)</f>
        <v>56</v>
      </c>
      <c r="F2" s="217">
        <f>SUM(F3:F9997)</f>
        <v>98.3</v>
      </c>
      <c r="G2" s="217">
        <f>SUM(G3:G9997)</f>
        <v>148</v>
      </c>
      <c r="H2" s="216"/>
      <c r="I2" s="218">
        <f>SUM(I3:I9997)</f>
        <v>99.533333333333346</v>
      </c>
      <c r="J2" s="218" t="s">
        <v>477</v>
      </c>
      <c r="K2" s="218"/>
      <c r="L2" s="219">
        <f ca="1">M2^(1/2)</f>
        <v>12.750341058885461</v>
      </c>
      <c r="M2" s="219">
        <f ca="1">SUM(M3:M9997)</f>
        <v>162.5711971179004</v>
      </c>
    </row>
    <row r="3" spans="1:13" ht="20.25" customHeight="1" x14ac:dyDescent="0.2">
      <c r="A3" s="10">
        <v>1</v>
      </c>
      <c r="B3" s="6" t="s">
        <v>3</v>
      </c>
      <c r="I3" s="227">
        <f>(E3+(4*F3)+G3)/6</f>
        <v>0</v>
      </c>
      <c r="J3" s="16">
        <v>99.73</v>
      </c>
      <c r="K3" s="225">
        <f t="array" aca="1" ref="K3" ca="1">INDIRECT(ADDRESS(ROW(Proz)+MATCH(MIN(ABS(J3-Proz)),ABS(J3-Proz),0)-1,COLUMN(Proz)+1))</f>
        <v>6</v>
      </c>
      <c r="L3" s="228">
        <f t="shared" ref="L3:L32" ca="1" si="0">(G3-E3)/K3</f>
        <v>0</v>
      </c>
      <c r="M3" s="228">
        <f t="shared" ref="M3:M32" ca="1" si="1">L3^2</f>
        <v>0</v>
      </c>
    </row>
    <row r="4" spans="1:13" x14ac:dyDescent="0.2">
      <c r="A4" s="12" t="s">
        <v>37</v>
      </c>
      <c r="B4" s="6"/>
      <c r="C4" s="1" t="s">
        <v>111</v>
      </c>
      <c r="I4" s="227">
        <f t="shared" ref="I4:I59" si="2">(E4+(4*F4)+G4)/6</f>
        <v>0</v>
      </c>
      <c r="J4" s="16">
        <v>99.73</v>
      </c>
      <c r="K4" s="225">
        <f t="array" aca="1" ref="K4" ca="1">INDIRECT(ADDRESS(ROW(Proz)+MATCH(MIN(ABS(J4-Proz)),ABS(J4-Proz),0)-1,COLUMN(Proz)+1))</f>
        <v>6</v>
      </c>
      <c r="L4" s="228">
        <f t="shared" ca="1" si="0"/>
        <v>0</v>
      </c>
      <c r="M4" s="228">
        <f t="shared" ca="1" si="1"/>
        <v>0</v>
      </c>
    </row>
    <row r="5" spans="1:13" x14ac:dyDescent="0.2">
      <c r="A5" s="12" t="s">
        <v>38</v>
      </c>
      <c r="B5" s="6"/>
      <c r="C5" s="1" t="s">
        <v>9</v>
      </c>
      <c r="I5" s="227">
        <f t="shared" si="2"/>
        <v>0</v>
      </c>
      <c r="J5" s="16">
        <v>99.73</v>
      </c>
      <c r="K5" s="225">
        <f t="array" aca="1" ref="K5" ca="1">INDIRECT(ADDRESS(ROW(Proz)+MATCH(MIN(ABS(J5-Proz)),ABS(J5-Proz),0)-1,COLUMN(Proz)+1))</f>
        <v>6</v>
      </c>
      <c r="L5" s="228">
        <f t="shared" ca="1" si="0"/>
        <v>0</v>
      </c>
      <c r="M5" s="228">
        <f t="shared" ca="1" si="1"/>
        <v>0</v>
      </c>
    </row>
    <row r="6" spans="1:13" ht="25.5" x14ac:dyDescent="0.2">
      <c r="A6" s="12" t="s">
        <v>39</v>
      </c>
      <c r="B6" s="1"/>
      <c r="C6" s="1" t="s">
        <v>19</v>
      </c>
      <c r="I6" s="227">
        <f t="shared" si="2"/>
        <v>0</v>
      </c>
      <c r="J6" s="16">
        <v>99.73</v>
      </c>
      <c r="K6" s="225">
        <f t="array" aca="1" ref="K6" ca="1">INDIRECT(ADDRESS(ROW(Proz)+MATCH(MIN(ABS(J6-Proz)),ABS(J6-Proz),0)-1,COLUMN(Proz)+1))</f>
        <v>6</v>
      </c>
      <c r="L6" s="228">
        <f t="shared" ca="1" si="0"/>
        <v>0</v>
      </c>
      <c r="M6" s="228">
        <f t="shared" ca="1" si="1"/>
        <v>0</v>
      </c>
    </row>
    <row r="7" spans="1:13" ht="25.5" x14ac:dyDescent="0.2">
      <c r="A7" s="12" t="s">
        <v>40</v>
      </c>
      <c r="B7" s="6"/>
      <c r="C7" s="1" t="s">
        <v>28</v>
      </c>
      <c r="I7" s="227">
        <f t="shared" si="2"/>
        <v>0</v>
      </c>
      <c r="J7" s="16">
        <v>99.73</v>
      </c>
      <c r="K7" s="225">
        <f t="array" aca="1" ref="K7" ca="1">INDIRECT(ADDRESS(ROW(Proz)+MATCH(MIN(ABS(J7-Proz)),ABS(J7-Proz),0)-1,COLUMN(Proz)+1))</f>
        <v>6</v>
      </c>
      <c r="L7" s="228">
        <f t="shared" ca="1" si="0"/>
        <v>0</v>
      </c>
      <c r="M7" s="228">
        <f t="shared" ca="1" si="1"/>
        <v>0</v>
      </c>
    </row>
    <row r="8" spans="1:13" x14ac:dyDescent="0.2">
      <c r="A8" s="12" t="s">
        <v>41</v>
      </c>
      <c r="B8" s="6"/>
      <c r="C8" s="1" t="s">
        <v>10</v>
      </c>
      <c r="I8" s="227">
        <f t="shared" si="2"/>
        <v>0</v>
      </c>
      <c r="J8" s="16">
        <v>99.73</v>
      </c>
      <c r="K8" s="225">
        <f t="array" aca="1" ref="K8" ca="1">INDIRECT(ADDRESS(ROW(Proz)+MATCH(MIN(ABS(J8-Proz)),ABS(J8-Proz),0)-1,COLUMN(Proz)+1))</f>
        <v>6</v>
      </c>
      <c r="L8" s="228">
        <f t="shared" ca="1" si="0"/>
        <v>0</v>
      </c>
      <c r="M8" s="228">
        <f t="shared" ca="1" si="1"/>
        <v>0</v>
      </c>
    </row>
    <row r="9" spans="1:13" x14ac:dyDescent="0.2">
      <c r="A9" s="12" t="s">
        <v>42</v>
      </c>
      <c r="B9" s="6"/>
      <c r="C9" s="1" t="s">
        <v>8</v>
      </c>
      <c r="I9" s="227">
        <f t="shared" si="2"/>
        <v>0</v>
      </c>
      <c r="J9" s="16">
        <v>99.73</v>
      </c>
      <c r="K9" s="225">
        <f t="array" aca="1" ref="K9" ca="1">INDIRECT(ADDRESS(ROW(Proz)+MATCH(MIN(ABS(J9-Proz)),ABS(J9-Proz),0)-1,COLUMN(Proz)+1))</f>
        <v>6</v>
      </c>
      <c r="L9" s="228">
        <f t="shared" ca="1" si="0"/>
        <v>0</v>
      </c>
      <c r="M9" s="228">
        <f t="shared" ca="1" si="1"/>
        <v>0</v>
      </c>
    </row>
    <row r="10" spans="1:13" ht="38.25" x14ac:dyDescent="0.2">
      <c r="A10" s="12" t="s">
        <v>43</v>
      </c>
      <c r="B10" s="6"/>
      <c r="C10" s="1" t="s">
        <v>27</v>
      </c>
      <c r="I10" s="227">
        <f t="shared" si="2"/>
        <v>0</v>
      </c>
      <c r="J10" s="16">
        <v>99.73</v>
      </c>
      <c r="K10" s="225">
        <f t="array" aca="1" ref="K10" ca="1">INDIRECT(ADDRESS(ROW(Proz)+MATCH(MIN(ABS(J10-Proz)),ABS(J10-Proz),0)-1,COLUMN(Proz)+1))</f>
        <v>6</v>
      </c>
      <c r="L10" s="228">
        <f t="shared" ca="1" si="0"/>
        <v>0</v>
      </c>
      <c r="M10" s="228">
        <f t="shared" ca="1" si="1"/>
        <v>0</v>
      </c>
    </row>
    <row r="11" spans="1:13" ht="25.5" x14ac:dyDescent="0.2">
      <c r="A11" s="12" t="s">
        <v>44</v>
      </c>
      <c r="B11" s="6"/>
      <c r="C11" s="1" t="s">
        <v>112</v>
      </c>
      <c r="I11" s="227">
        <f t="shared" si="2"/>
        <v>0</v>
      </c>
      <c r="J11" s="16">
        <v>99.73</v>
      </c>
      <c r="K11" s="225">
        <f t="array" aca="1" ref="K11" ca="1">INDIRECT(ADDRESS(ROW(Proz)+MATCH(MIN(ABS(J11-Proz)),ABS(J11-Proz),0)-1,COLUMN(Proz)+1))</f>
        <v>6</v>
      </c>
      <c r="L11" s="228">
        <f t="shared" ca="1" si="0"/>
        <v>0</v>
      </c>
      <c r="M11" s="228">
        <f t="shared" ca="1" si="1"/>
        <v>0</v>
      </c>
    </row>
    <row r="12" spans="1:13" ht="25.5" x14ac:dyDescent="0.2">
      <c r="A12" s="12" t="s">
        <v>45</v>
      </c>
      <c r="B12" s="6"/>
      <c r="C12" s="1" t="s">
        <v>29</v>
      </c>
      <c r="I12" s="227">
        <f t="shared" si="2"/>
        <v>0</v>
      </c>
      <c r="J12" s="16">
        <v>99.73</v>
      </c>
      <c r="K12" s="225">
        <f t="array" aca="1" ref="K12" ca="1">INDIRECT(ADDRESS(ROW(Proz)+MATCH(MIN(ABS(J12-Proz)),ABS(J12-Proz),0)-1,COLUMN(Proz)+1))</f>
        <v>6</v>
      </c>
      <c r="L12" s="228">
        <f t="shared" ca="1" si="0"/>
        <v>0</v>
      </c>
      <c r="M12" s="228">
        <f t="shared" ca="1" si="1"/>
        <v>0</v>
      </c>
    </row>
    <row r="13" spans="1:13" x14ac:dyDescent="0.2">
      <c r="A13" s="12"/>
      <c r="B13" s="6"/>
      <c r="I13" s="227">
        <f t="shared" si="2"/>
        <v>0</v>
      </c>
      <c r="J13" s="16">
        <v>99.73</v>
      </c>
      <c r="K13" s="225">
        <f t="array" aca="1" ref="K13" ca="1">INDIRECT(ADDRESS(ROW(Proz)+MATCH(MIN(ABS(J13-Proz)),ABS(J13-Proz),0)-1,COLUMN(Proz)+1))</f>
        <v>6</v>
      </c>
      <c r="L13" s="228">
        <f t="shared" ca="1" si="0"/>
        <v>0</v>
      </c>
      <c r="M13" s="228">
        <f t="shared" ca="1" si="1"/>
        <v>0</v>
      </c>
    </row>
    <row r="14" spans="1:13" x14ac:dyDescent="0.2">
      <c r="A14" s="10">
        <v>2</v>
      </c>
      <c r="B14" s="6" t="s">
        <v>4</v>
      </c>
      <c r="I14" s="227">
        <f t="shared" si="2"/>
        <v>0</v>
      </c>
      <c r="J14" s="16">
        <v>99.73</v>
      </c>
      <c r="K14" s="225">
        <f t="array" aca="1" ref="K14" ca="1">INDIRECT(ADDRESS(ROW(Proz)+MATCH(MIN(ABS(J14-Proz)),ABS(J14-Proz),0)-1,COLUMN(Proz)+1))</f>
        <v>6</v>
      </c>
      <c r="L14" s="228">
        <f t="shared" ca="1" si="0"/>
        <v>0</v>
      </c>
      <c r="M14" s="228">
        <f t="shared" ca="1" si="1"/>
        <v>0</v>
      </c>
    </row>
    <row r="15" spans="1:13" x14ac:dyDescent="0.2">
      <c r="A15" s="12" t="s">
        <v>46</v>
      </c>
      <c r="B15" s="6"/>
      <c r="C15" s="1" t="s">
        <v>113</v>
      </c>
      <c r="I15" s="227">
        <f t="shared" si="2"/>
        <v>0</v>
      </c>
      <c r="J15" s="16">
        <v>99.73</v>
      </c>
      <c r="K15" s="225">
        <f t="array" aca="1" ref="K15" ca="1">INDIRECT(ADDRESS(ROW(Proz)+MATCH(MIN(ABS(J15-Proz)),ABS(J15-Proz),0)-1,COLUMN(Proz)+1))</f>
        <v>6</v>
      </c>
      <c r="L15" s="228">
        <f t="shared" ca="1" si="0"/>
        <v>0</v>
      </c>
      <c r="M15" s="228">
        <f t="shared" ca="1" si="1"/>
        <v>0</v>
      </c>
    </row>
    <row r="16" spans="1:13" ht="31.5" customHeight="1" x14ac:dyDescent="0.2">
      <c r="A16" s="12" t="s">
        <v>47</v>
      </c>
      <c r="B16" s="6"/>
      <c r="C16" s="1" t="s">
        <v>114</v>
      </c>
      <c r="I16" s="227">
        <f t="shared" si="2"/>
        <v>0</v>
      </c>
      <c r="J16" s="16">
        <v>99.73</v>
      </c>
      <c r="K16" s="225">
        <f t="array" aca="1" ref="K16" ca="1">INDIRECT(ADDRESS(ROW(Proz)+MATCH(MIN(ABS(J16-Proz)),ABS(J16-Proz),0)-1,COLUMN(Proz)+1))</f>
        <v>6</v>
      </c>
      <c r="L16" s="228">
        <f t="shared" ca="1" si="0"/>
        <v>0</v>
      </c>
      <c r="M16" s="228">
        <f t="shared" ca="1" si="1"/>
        <v>0</v>
      </c>
    </row>
    <row r="17" spans="1:13" x14ac:dyDescent="0.2">
      <c r="A17" s="12" t="s">
        <v>73</v>
      </c>
      <c r="B17" s="6"/>
      <c r="D17" s="1" t="s">
        <v>75</v>
      </c>
      <c r="I17" s="227">
        <f t="shared" si="2"/>
        <v>0</v>
      </c>
      <c r="J17" s="16">
        <v>99.73</v>
      </c>
      <c r="K17" s="225">
        <f t="array" aca="1" ref="K17" ca="1">INDIRECT(ADDRESS(ROW(Proz)+MATCH(MIN(ABS(J17-Proz)),ABS(J17-Proz),0)-1,COLUMN(Proz)+1))</f>
        <v>6</v>
      </c>
      <c r="L17" s="228">
        <f t="shared" ca="1" si="0"/>
        <v>0</v>
      </c>
      <c r="M17" s="228">
        <f t="shared" ca="1" si="1"/>
        <v>0</v>
      </c>
    </row>
    <row r="18" spans="1:13" ht="45" customHeight="1" x14ac:dyDescent="0.2">
      <c r="A18" s="12" t="s">
        <v>74</v>
      </c>
      <c r="B18" s="6"/>
      <c r="D18" s="1" t="s">
        <v>76</v>
      </c>
      <c r="I18" s="227">
        <f t="shared" si="2"/>
        <v>0</v>
      </c>
      <c r="J18" s="16">
        <v>99.73</v>
      </c>
      <c r="K18" s="225">
        <f t="array" aca="1" ref="K18" ca="1">INDIRECT(ADDRESS(ROW(Proz)+MATCH(MIN(ABS(J18-Proz)),ABS(J18-Proz),0)-1,COLUMN(Proz)+1))</f>
        <v>6</v>
      </c>
      <c r="L18" s="228">
        <f t="shared" ca="1" si="0"/>
        <v>0</v>
      </c>
      <c r="M18" s="228">
        <f t="shared" ca="1" si="1"/>
        <v>0</v>
      </c>
    </row>
    <row r="19" spans="1:13" x14ac:dyDescent="0.2">
      <c r="A19" s="12"/>
      <c r="B19" s="6"/>
      <c r="I19" s="227">
        <f t="shared" si="2"/>
        <v>0</v>
      </c>
      <c r="J19" s="16">
        <v>99.73</v>
      </c>
      <c r="K19" s="225">
        <f t="array" aca="1" ref="K19" ca="1">INDIRECT(ADDRESS(ROW(Proz)+MATCH(MIN(ABS(J19-Proz)),ABS(J19-Proz),0)-1,COLUMN(Proz)+1))</f>
        <v>6</v>
      </c>
      <c r="L19" s="228">
        <f t="shared" ca="1" si="0"/>
        <v>0</v>
      </c>
      <c r="M19" s="228">
        <f t="shared" ca="1" si="1"/>
        <v>0</v>
      </c>
    </row>
    <row r="20" spans="1:13" ht="25.5" x14ac:dyDescent="0.2">
      <c r="A20" s="12" t="s">
        <v>48</v>
      </c>
      <c r="B20" s="6"/>
      <c r="C20" s="1" t="s">
        <v>30</v>
      </c>
      <c r="I20" s="227">
        <f t="shared" si="2"/>
        <v>0</v>
      </c>
      <c r="J20" s="16">
        <v>99.73</v>
      </c>
      <c r="K20" s="225">
        <f t="array" aca="1" ref="K20" ca="1">INDIRECT(ADDRESS(ROW(Proz)+MATCH(MIN(ABS(J20-Proz)),ABS(J20-Proz),0)-1,COLUMN(Proz)+1))</f>
        <v>6</v>
      </c>
      <c r="L20" s="228">
        <f t="shared" ca="1" si="0"/>
        <v>0</v>
      </c>
      <c r="M20" s="228">
        <f t="shared" ca="1" si="1"/>
        <v>0</v>
      </c>
    </row>
    <row r="21" spans="1:13" x14ac:dyDescent="0.2">
      <c r="A21" s="12" t="s">
        <v>49</v>
      </c>
      <c r="B21" s="6"/>
      <c r="C21" s="1" t="s">
        <v>31</v>
      </c>
      <c r="I21" s="227">
        <f t="shared" si="2"/>
        <v>0</v>
      </c>
      <c r="J21" s="16">
        <v>99.73</v>
      </c>
      <c r="K21" s="225">
        <f t="array" aca="1" ref="K21" ca="1">INDIRECT(ADDRESS(ROW(Proz)+MATCH(MIN(ABS(J21-Proz)),ABS(J21-Proz),0)-1,COLUMN(Proz)+1))</f>
        <v>6</v>
      </c>
      <c r="L21" s="228">
        <f t="shared" ca="1" si="0"/>
        <v>0</v>
      </c>
      <c r="M21" s="228">
        <f t="shared" ca="1" si="1"/>
        <v>0</v>
      </c>
    </row>
    <row r="22" spans="1:13" x14ac:dyDescent="0.2">
      <c r="A22" s="12" t="s">
        <v>50</v>
      </c>
      <c r="B22" s="6"/>
      <c r="C22" s="1" t="s">
        <v>115</v>
      </c>
      <c r="I22" s="227">
        <f t="shared" si="2"/>
        <v>0</v>
      </c>
      <c r="J22" s="16">
        <v>99.73</v>
      </c>
      <c r="K22" s="225">
        <f t="array" aca="1" ref="K22" ca="1">INDIRECT(ADDRESS(ROW(Proz)+MATCH(MIN(ABS(J22-Proz)),ABS(J22-Proz),0)-1,COLUMN(Proz)+1))</f>
        <v>6</v>
      </c>
      <c r="L22" s="228">
        <f t="shared" ca="1" si="0"/>
        <v>0</v>
      </c>
      <c r="M22" s="228">
        <f t="shared" ca="1" si="1"/>
        <v>0</v>
      </c>
    </row>
    <row r="23" spans="1:13" ht="36" customHeight="1" x14ac:dyDescent="0.2">
      <c r="A23" s="12" t="s">
        <v>51</v>
      </c>
      <c r="B23" s="6"/>
      <c r="C23" s="1" t="s">
        <v>20</v>
      </c>
      <c r="I23" s="227">
        <f t="shared" si="2"/>
        <v>0</v>
      </c>
      <c r="J23" s="16">
        <v>99.73</v>
      </c>
      <c r="K23" s="225">
        <f t="array" aca="1" ref="K23" ca="1">INDIRECT(ADDRESS(ROW(Proz)+MATCH(MIN(ABS(J23-Proz)),ABS(J23-Proz),0)-1,COLUMN(Proz)+1))</f>
        <v>6</v>
      </c>
      <c r="L23" s="228">
        <f t="shared" ca="1" si="0"/>
        <v>0</v>
      </c>
      <c r="M23" s="228">
        <f t="shared" ca="1" si="1"/>
        <v>0</v>
      </c>
    </row>
    <row r="24" spans="1:13" ht="32.25" customHeight="1" x14ac:dyDescent="0.2">
      <c r="A24" s="12" t="s">
        <v>52</v>
      </c>
      <c r="B24" s="6"/>
      <c r="C24" s="1" t="s">
        <v>32</v>
      </c>
      <c r="I24" s="227">
        <f t="shared" si="2"/>
        <v>0</v>
      </c>
      <c r="J24" s="16">
        <v>99.73</v>
      </c>
      <c r="K24" s="225">
        <f t="array" aca="1" ref="K24" ca="1">INDIRECT(ADDRESS(ROW(Proz)+MATCH(MIN(ABS(J24-Proz)),ABS(J24-Proz),0)-1,COLUMN(Proz)+1))</f>
        <v>6</v>
      </c>
      <c r="L24" s="228">
        <f t="shared" ca="1" si="0"/>
        <v>0</v>
      </c>
      <c r="M24" s="228">
        <f t="shared" ca="1" si="1"/>
        <v>0</v>
      </c>
    </row>
    <row r="25" spans="1:13" x14ac:dyDescent="0.2">
      <c r="A25" s="10" t="s">
        <v>26</v>
      </c>
      <c r="B25" s="6" t="s">
        <v>91</v>
      </c>
      <c r="I25" s="227">
        <f t="shared" si="2"/>
        <v>0</v>
      </c>
      <c r="J25" s="16">
        <v>99.73</v>
      </c>
      <c r="K25" s="225">
        <f t="array" aca="1" ref="K25" ca="1">INDIRECT(ADDRESS(ROW(Proz)+MATCH(MIN(ABS(J25-Proz)),ABS(J25-Proz),0)-1,COLUMN(Proz)+1))</f>
        <v>6</v>
      </c>
      <c r="L25" s="228">
        <f t="shared" ca="1" si="0"/>
        <v>0</v>
      </c>
      <c r="M25" s="228">
        <f t="shared" ca="1" si="1"/>
        <v>0</v>
      </c>
    </row>
    <row r="26" spans="1:13" x14ac:dyDescent="0.2">
      <c r="B26" s="6"/>
      <c r="C26" s="1" t="s">
        <v>11</v>
      </c>
      <c r="I26" s="227">
        <f t="shared" si="2"/>
        <v>0</v>
      </c>
      <c r="J26" s="16">
        <v>99.73</v>
      </c>
      <c r="K26" s="225">
        <f t="array" aca="1" ref="K26" ca="1">INDIRECT(ADDRESS(ROW(Proz)+MATCH(MIN(ABS(J26-Proz)),ABS(J26-Proz),0)-1,COLUMN(Proz)+1))</f>
        <v>6</v>
      </c>
      <c r="L26" s="228">
        <f t="shared" ca="1" si="0"/>
        <v>0</v>
      </c>
      <c r="M26" s="228">
        <f t="shared" ca="1" si="1"/>
        <v>0</v>
      </c>
    </row>
    <row r="27" spans="1:13" x14ac:dyDescent="0.2">
      <c r="B27" s="6"/>
      <c r="C27" s="1" t="s">
        <v>12</v>
      </c>
      <c r="I27" s="227">
        <f t="shared" si="2"/>
        <v>0</v>
      </c>
      <c r="J27" s="16">
        <v>99.73</v>
      </c>
      <c r="K27" s="225">
        <f t="array" aca="1" ref="K27" ca="1">INDIRECT(ADDRESS(ROW(Proz)+MATCH(MIN(ABS(J27-Proz)),ABS(J27-Proz),0)-1,COLUMN(Proz)+1))</f>
        <v>6</v>
      </c>
      <c r="L27" s="228">
        <f t="shared" ca="1" si="0"/>
        <v>0</v>
      </c>
      <c r="M27" s="228">
        <f t="shared" ca="1" si="1"/>
        <v>0</v>
      </c>
    </row>
    <row r="28" spans="1:13" x14ac:dyDescent="0.2">
      <c r="B28" s="6"/>
      <c r="I28" s="227">
        <f t="shared" si="2"/>
        <v>0</v>
      </c>
      <c r="J28" s="16">
        <v>99.73</v>
      </c>
      <c r="K28" s="225">
        <f t="array" aca="1" ref="K28" ca="1">INDIRECT(ADDRESS(ROW(Proz)+MATCH(MIN(ABS(J28-Proz)),ABS(J28-Proz),0)-1,COLUMN(Proz)+1))</f>
        <v>6</v>
      </c>
      <c r="L28" s="228">
        <f t="shared" ca="1" si="0"/>
        <v>0</v>
      </c>
      <c r="M28" s="228">
        <f t="shared" ca="1" si="1"/>
        <v>0</v>
      </c>
    </row>
    <row r="29" spans="1:13" x14ac:dyDescent="0.2">
      <c r="A29" s="10">
        <v>3</v>
      </c>
      <c r="B29" s="6" t="s">
        <v>5</v>
      </c>
      <c r="I29" s="227">
        <f t="shared" si="2"/>
        <v>0</v>
      </c>
      <c r="J29" s="16">
        <v>99.73</v>
      </c>
      <c r="K29" s="225">
        <f t="array" aca="1" ref="K29" ca="1">INDIRECT(ADDRESS(ROW(Proz)+MATCH(MIN(ABS(J29-Proz)),ABS(J29-Proz),0)-1,COLUMN(Proz)+1))</f>
        <v>6</v>
      </c>
      <c r="L29" s="228">
        <f t="shared" ca="1" si="0"/>
        <v>0</v>
      </c>
      <c r="M29" s="228">
        <f t="shared" ca="1" si="1"/>
        <v>0</v>
      </c>
    </row>
    <row r="30" spans="1:13" ht="38.25" x14ac:dyDescent="0.2">
      <c r="A30" s="12" t="s">
        <v>53</v>
      </c>
      <c r="B30" s="6"/>
      <c r="C30" s="4" t="s">
        <v>21</v>
      </c>
      <c r="E30" s="17"/>
      <c r="I30" s="227">
        <f t="shared" si="2"/>
        <v>0</v>
      </c>
      <c r="J30" s="16">
        <v>99.73</v>
      </c>
      <c r="K30" s="225">
        <f t="array" aca="1" ref="K30" ca="1">INDIRECT(ADDRESS(ROW(Proz)+MATCH(MIN(ABS(J30-Proz)),ABS(J30-Proz),0)-1,COLUMN(Proz)+1))</f>
        <v>6</v>
      </c>
      <c r="L30" s="228">
        <f t="shared" ca="1" si="0"/>
        <v>0</v>
      </c>
      <c r="M30" s="228">
        <f t="shared" ca="1" si="1"/>
        <v>0</v>
      </c>
    </row>
    <row r="31" spans="1:13" ht="58.5" customHeight="1" x14ac:dyDescent="0.2">
      <c r="A31" s="12" t="s">
        <v>54</v>
      </c>
      <c r="B31" s="6"/>
      <c r="C31" s="1" t="s">
        <v>116</v>
      </c>
      <c r="E31" s="17"/>
      <c r="I31" s="227">
        <f t="shared" si="2"/>
        <v>0</v>
      </c>
      <c r="J31" s="16">
        <v>99.73</v>
      </c>
      <c r="K31" s="225">
        <f t="array" aca="1" ref="K31" ca="1">INDIRECT(ADDRESS(ROW(Proz)+MATCH(MIN(ABS(J31-Proz)),ABS(J31-Proz),0)-1,COLUMN(Proz)+1))</f>
        <v>6</v>
      </c>
      <c r="L31" s="228">
        <f t="shared" ca="1" si="0"/>
        <v>0</v>
      </c>
      <c r="M31" s="228">
        <f t="shared" ca="1" si="1"/>
        <v>0</v>
      </c>
    </row>
    <row r="32" spans="1:13" ht="25.5" x14ac:dyDescent="0.2">
      <c r="A32" s="12" t="s">
        <v>55</v>
      </c>
      <c r="B32" s="6"/>
      <c r="C32" s="1" t="s">
        <v>22</v>
      </c>
      <c r="I32" s="227">
        <f t="shared" si="2"/>
        <v>0</v>
      </c>
      <c r="J32" s="16">
        <v>99.73</v>
      </c>
      <c r="K32" s="225">
        <f t="array" aca="1" ref="K32" ca="1">INDIRECT(ADDRESS(ROW(Proz)+MATCH(MIN(ABS(J32-Proz)),ABS(J32-Proz),0)-1,COLUMN(Proz)+1))</f>
        <v>6</v>
      </c>
      <c r="L32" s="228">
        <f t="shared" ca="1" si="0"/>
        <v>0</v>
      </c>
      <c r="M32" s="228">
        <f t="shared" ca="1" si="1"/>
        <v>0</v>
      </c>
    </row>
    <row r="33" spans="1:13" ht="34.5" customHeight="1" x14ac:dyDescent="0.2">
      <c r="A33" s="220" t="s">
        <v>56</v>
      </c>
      <c r="B33" s="221"/>
      <c r="C33" s="221" t="s">
        <v>23</v>
      </c>
      <c r="D33" s="222"/>
      <c r="E33" s="223">
        <f>Hardware!E2</f>
        <v>0</v>
      </c>
      <c r="F33" s="223">
        <f>Hardware!F2</f>
        <v>0</v>
      </c>
      <c r="G33" s="223">
        <f>Hardware!G2</f>
        <v>0</v>
      </c>
      <c r="H33" s="222"/>
      <c r="I33" s="224">
        <f t="shared" si="2"/>
        <v>0</v>
      </c>
      <c r="J33" s="225">
        <v>99.73</v>
      </c>
      <c r="K33" s="225" t="s">
        <v>140</v>
      </c>
      <c r="L33" s="225" t="s">
        <v>140</v>
      </c>
      <c r="M33" s="226">
        <f ca="1">Hardware!M2</f>
        <v>0</v>
      </c>
    </row>
    <row r="34" spans="1:13" ht="30.75" customHeight="1" x14ac:dyDescent="0.2">
      <c r="A34" s="220" t="s">
        <v>57</v>
      </c>
      <c r="B34" s="221"/>
      <c r="C34" s="221" t="s">
        <v>24</v>
      </c>
      <c r="D34" s="222"/>
      <c r="E34" s="223">
        <f>Software!E2</f>
        <v>56</v>
      </c>
      <c r="F34" s="223">
        <f>Software!F2</f>
        <v>98.3</v>
      </c>
      <c r="G34" s="223">
        <f>Software!G2</f>
        <v>148</v>
      </c>
      <c r="H34" s="222"/>
      <c r="I34" s="224">
        <f t="shared" si="2"/>
        <v>99.533333333333346</v>
      </c>
      <c r="J34" s="225">
        <v>99.73</v>
      </c>
      <c r="K34" s="225" t="s">
        <v>140</v>
      </c>
      <c r="L34" s="225" t="s">
        <v>140</v>
      </c>
      <c r="M34" s="226">
        <f ca="1">Software!M2</f>
        <v>162.5711971179004</v>
      </c>
    </row>
    <row r="35" spans="1:13" ht="30.75" customHeight="1" x14ac:dyDescent="0.2">
      <c r="A35" s="220" t="s">
        <v>58</v>
      </c>
      <c r="B35" s="221"/>
      <c r="C35" s="221" t="s">
        <v>159</v>
      </c>
      <c r="D35" s="222"/>
      <c r="E35" s="223">
        <f>'Standard-Software'!E2</f>
        <v>0</v>
      </c>
      <c r="F35" s="223">
        <f>'Standard-Software'!F2</f>
        <v>0</v>
      </c>
      <c r="G35" s="223">
        <f>'Standard-Software'!G2</f>
        <v>0</v>
      </c>
      <c r="H35" s="222"/>
      <c r="I35" s="224">
        <f t="shared" si="2"/>
        <v>0</v>
      </c>
      <c r="J35" s="225">
        <v>99.73</v>
      </c>
      <c r="K35" s="225" t="s">
        <v>140</v>
      </c>
      <c r="L35" s="225" t="s">
        <v>140</v>
      </c>
      <c r="M35" s="226">
        <f ca="1">'Standard-Software'!M2</f>
        <v>0</v>
      </c>
    </row>
    <row r="36" spans="1:13" ht="16.5" customHeight="1" x14ac:dyDescent="0.2">
      <c r="A36" s="12" t="s">
        <v>59</v>
      </c>
      <c r="B36" s="6"/>
      <c r="C36" s="1" t="s">
        <v>25</v>
      </c>
      <c r="I36" s="227">
        <f t="shared" si="2"/>
        <v>0</v>
      </c>
      <c r="J36" s="16">
        <v>99.73</v>
      </c>
      <c r="K36" s="225">
        <f t="array" aca="1" ref="K36" ca="1">INDIRECT(ADDRESS(ROW(Proz)+MATCH(MIN(ABS(J36-Proz)),ABS(J36-Proz),0)-1,COLUMN(Proz)+1))</f>
        <v>6</v>
      </c>
      <c r="L36" s="228">
        <f t="shared" ref="L36:L59" ca="1" si="3">(G36-E36)/K36</f>
        <v>0</v>
      </c>
      <c r="M36" s="228">
        <f t="shared" ref="M36:M59" ca="1" si="4">L36^2</f>
        <v>0</v>
      </c>
    </row>
    <row r="37" spans="1:13" x14ac:dyDescent="0.2">
      <c r="A37" s="12" t="s">
        <v>158</v>
      </c>
      <c r="B37" s="6"/>
      <c r="C37" s="1" t="s">
        <v>117</v>
      </c>
      <c r="I37" s="227">
        <f t="shared" si="2"/>
        <v>0</v>
      </c>
      <c r="J37" s="16">
        <v>99.73</v>
      </c>
      <c r="K37" s="225">
        <f t="array" aca="1" ref="K37" ca="1">INDIRECT(ADDRESS(ROW(Proz)+MATCH(MIN(ABS(J37-Proz)),ABS(J37-Proz),0)-1,COLUMN(Proz)+1))</f>
        <v>6</v>
      </c>
      <c r="L37" s="228">
        <f t="shared" ca="1" si="3"/>
        <v>0</v>
      </c>
      <c r="M37" s="228">
        <f t="shared" ca="1" si="4"/>
        <v>0</v>
      </c>
    </row>
    <row r="38" spans="1:13" x14ac:dyDescent="0.2">
      <c r="B38" s="6"/>
      <c r="I38" s="227">
        <f t="shared" si="2"/>
        <v>0</v>
      </c>
      <c r="J38" s="16">
        <v>99.73</v>
      </c>
      <c r="K38" s="225">
        <f t="array" aca="1" ref="K38" ca="1">INDIRECT(ADDRESS(ROW(Proz)+MATCH(MIN(ABS(J38-Proz)),ABS(J38-Proz),0)-1,COLUMN(Proz)+1))</f>
        <v>6</v>
      </c>
      <c r="L38" s="228">
        <f t="shared" ca="1" si="3"/>
        <v>0</v>
      </c>
      <c r="M38" s="228">
        <f t="shared" ca="1" si="4"/>
        <v>0</v>
      </c>
    </row>
    <row r="39" spans="1:13" x14ac:dyDescent="0.2">
      <c r="A39" s="10">
        <v>4</v>
      </c>
      <c r="B39" s="6" t="s">
        <v>6</v>
      </c>
      <c r="I39" s="227">
        <f t="shared" si="2"/>
        <v>0</v>
      </c>
      <c r="J39" s="16">
        <v>99.73</v>
      </c>
      <c r="K39" s="225">
        <f t="array" aca="1" ref="K39" ca="1">INDIRECT(ADDRESS(ROW(Proz)+MATCH(MIN(ABS(J39-Proz)),ABS(J39-Proz),0)-1,COLUMN(Proz)+1))</f>
        <v>6</v>
      </c>
      <c r="L39" s="228">
        <f t="shared" ca="1" si="3"/>
        <v>0</v>
      </c>
      <c r="M39" s="228">
        <f t="shared" ca="1" si="4"/>
        <v>0</v>
      </c>
    </row>
    <row r="40" spans="1:13" x14ac:dyDescent="0.2">
      <c r="B40" s="6"/>
      <c r="I40" s="227">
        <f t="shared" si="2"/>
        <v>0</v>
      </c>
      <c r="J40" s="16">
        <v>99.73</v>
      </c>
      <c r="K40" s="225">
        <f t="array" aca="1" ref="K40" ca="1">INDIRECT(ADDRESS(ROW(Proz)+MATCH(MIN(ABS(J40-Proz)),ABS(J40-Proz),0)-1,COLUMN(Proz)+1))</f>
        <v>6</v>
      </c>
      <c r="L40" s="228">
        <f t="shared" ca="1" si="3"/>
        <v>0</v>
      </c>
      <c r="M40" s="228">
        <f t="shared" ca="1" si="4"/>
        <v>0</v>
      </c>
    </row>
    <row r="41" spans="1:13" x14ac:dyDescent="0.2">
      <c r="A41" s="12" t="s">
        <v>60</v>
      </c>
      <c r="B41" s="6"/>
      <c r="C41" s="1" t="s">
        <v>33</v>
      </c>
      <c r="I41" s="227">
        <f t="shared" si="2"/>
        <v>0</v>
      </c>
      <c r="J41" s="16">
        <v>99.73</v>
      </c>
      <c r="K41" s="225">
        <f t="array" aca="1" ref="K41" ca="1">INDIRECT(ADDRESS(ROW(Proz)+MATCH(MIN(ABS(J41-Proz)),ABS(J41-Proz),0)-1,COLUMN(Proz)+1))</f>
        <v>6</v>
      </c>
      <c r="L41" s="228">
        <f t="shared" ca="1" si="3"/>
        <v>0</v>
      </c>
      <c r="M41" s="228">
        <f t="shared" ca="1" si="4"/>
        <v>0</v>
      </c>
    </row>
    <row r="42" spans="1:13" x14ac:dyDescent="0.2">
      <c r="A42" s="12" t="s">
        <v>62</v>
      </c>
      <c r="B42" s="6"/>
      <c r="C42" s="1" t="s">
        <v>34</v>
      </c>
      <c r="I42" s="227">
        <f t="shared" si="2"/>
        <v>0</v>
      </c>
      <c r="J42" s="16">
        <v>99.73</v>
      </c>
      <c r="K42" s="225">
        <f t="array" aca="1" ref="K42" ca="1">INDIRECT(ADDRESS(ROW(Proz)+MATCH(MIN(ABS(J42-Proz)),ABS(J42-Proz),0)-1,COLUMN(Proz)+1))</f>
        <v>6</v>
      </c>
      <c r="L42" s="228">
        <f t="shared" ca="1" si="3"/>
        <v>0</v>
      </c>
      <c r="M42" s="228">
        <f t="shared" ca="1" si="4"/>
        <v>0</v>
      </c>
    </row>
    <row r="43" spans="1:13" x14ac:dyDescent="0.2">
      <c r="A43" s="12" t="s">
        <v>83</v>
      </c>
      <c r="B43" s="6"/>
      <c r="C43" s="1" t="s">
        <v>77</v>
      </c>
      <c r="I43" s="227">
        <f t="shared" si="2"/>
        <v>0</v>
      </c>
      <c r="J43" s="16">
        <v>99.73</v>
      </c>
      <c r="K43" s="225">
        <f t="array" aca="1" ref="K43" ca="1">INDIRECT(ADDRESS(ROW(Proz)+MATCH(MIN(ABS(J43-Proz)),ABS(J43-Proz),0)-1,COLUMN(Proz)+1))</f>
        <v>6</v>
      </c>
      <c r="L43" s="228">
        <f t="shared" ca="1" si="3"/>
        <v>0</v>
      </c>
      <c r="M43" s="228">
        <f t="shared" ca="1" si="4"/>
        <v>0</v>
      </c>
    </row>
    <row r="44" spans="1:13" x14ac:dyDescent="0.2">
      <c r="A44" s="12" t="s">
        <v>84</v>
      </c>
      <c r="B44" s="6"/>
      <c r="C44" s="1" t="s">
        <v>78</v>
      </c>
      <c r="I44" s="227">
        <f t="shared" si="2"/>
        <v>0</v>
      </c>
      <c r="J44" s="16">
        <v>99.73</v>
      </c>
      <c r="K44" s="225">
        <f t="array" aca="1" ref="K44" ca="1">INDIRECT(ADDRESS(ROW(Proz)+MATCH(MIN(ABS(J44-Proz)),ABS(J44-Proz),0)-1,COLUMN(Proz)+1))</f>
        <v>6</v>
      </c>
      <c r="L44" s="228">
        <f t="shared" ca="1" si="3"/>
        <v>0</v>
      </c>
      <c r="M44" s="228">
        <f t="shared" ca="1" si="4"/>
        <v>0</v>
      </c>
    </row>
    <row r="45" spans="1:13" x14ac:dyDescent="0.2">
      <c r="B45" s="6"/>
      <c r="I45" s="227">
        <f t="shared" si="2"/>
        <v>0</v>
      </c>
      <c r="J45" s="16">
        <v>99.73</v>
      </c>
      <c r="K45" s="225">
        <f t="array" aca="1" ref="K45" ca="1">INDIRECT(ADDRESS(ROW(Proz)+MATCH(MIN(ABS(J45-Proz)),ABS(J45-Proz),0)-1,COLUMN(Proz)+1))</f>
        <v>6</v>
      </c>
      <c r="L45" s="228">
        <f t="shared" ca="1" si="3"/>
        <v>0</v>
      </c>
      <c r="M45" s="228">
        <f t="shared" ca="1" si="4"/>
        <v>0</v>
      </c>
    </row>
    <row r="46" spans="1:13" x14ac:dyDescent="0.2">
      <c r="A46" s="10">
        <v>5</v>
      </c>
      <c r="B46" s="6" t="s">
        <v>35</v>
      </c>
      <c r="I46" s="227">
        <f t="shared" si="2"/>
        <v>0</v>
      </c>
      <c r="J46" s="16">
        <v>99.73</v>
      </c>
      <c r="K46" s="225">
        <f t="array" aca="1" ref="K46" ca="1">INDIRECT(ADDRESS(ROW(Proz)+MATCH(MIN(ABS(J46-Proz)),ABS(J46-Proz),0)-1,COLUMN(Proz)+1))</f>
        <v>6</v>
      </c>
      <c r="L46" s="228">
        <f t="shared" ca="1" si="3"/>
        <v>0</v>
      </c>
      <c r="M46" s="228">
        <f t="shared" ca="1" si="4"/>
        <v>0</v>
      </c>
    </row>
    <row r="47" spans="1:13" x14ac:dyDescent="0.2">
      <c r="A47" s="12" t="s">
        <v>61</v>
      </c>
      <c r="B47" s="6"/>
      <c r="C47" s="1" t="s">
        <v>7</v>
      </c>
      <c r="I47" s="227">
        <f t="shared" si="2"/>
        <v>0</v>
      </c>
      <c r="J47" s="16">
        <v>99.73</v>
      </c>
      <c r="K47" s="225">
        <f t="array" aca="1" ref="K47" ca="1">INDIRECT(ADDRESS(ROW(Proz)+MATCH(MIN(ABS(J47-Proz)),ABS(J47-Proz),0)-1,COLUMN(Proz)+1))</f>
        <v>6</v>
      </c>
      <c r="L47" s="228">
        <f t="shared" ca="1" si="3"/>
        <v>0</v>
      </c>
      <c r="M47" s="228">
        <f t="shared" ca="1" si="4"/>
        <v>0</v>
      </c>
    </row>
    <row r="48" spans="1:13" x14ac:dyDescent="0.2">
      <c r="A48" s="12" t="s">
        <v>63</v>
      </c>
      <c r="B48" s="6"/>
      <c r="C48" s="1" t="s">
        <v>36</v>
      </c>
      <c r="I48" s="227">
        <f t="shared" si="2"/>
        <v>0</v>
      </c>
      <c r="J48" s="16">
        <v>99.73</v>
      </c>
      <c r="K48" s="225">
        <f t="array" aca="1" ref="K48" ca="1">INDIRECT(ADDRESS(ROW(Proz)+MATCH(MIN(ABS(J48-Proz)),ABS(J48-Proz),0)-1,COLUMN(Proz)+1))</f>
        <v>6</v>
      </c>
      <c r="L48" s="228">
        <f t="shared" ca="1" si="3"/>
        <v>0</v>
      </c>
      <c r="M48" s="228">
        <f t="shared" ca="1" si="4"/>
        <v>0</v>
      </c>
    </row>
    <row r="49" spans="1:13" ht="25.5" x14ac:dyDescent="0.2">
      <c r="A49" s="12" t="s">
        <v>81</v>
      </c>
      <c r="B49" s="6"/>
      <c r="C49" s="1" t="s">
        <v>79</v>
      </c>
      <c r="I49" s="227">
        <f t="shared" si="2"/>
        <v>0</v>
      </c>
      <c r="J49" s="16">
        <v>99.73</v>
      </c>
      <c r="K49" s="225">
        <f t="array" aca="1" ref="K49" ca="1">INDIRECT(ADDRESS(ROW(Proz)+MATCH(MIN(ABS(J49-Proz)),ABS(J49-Proz),0)-1,COLUMN(Proz)+1))</f>
        <v>6</v>
      </c>
      <c r="L49" s="228">
        <f t="shared" ca="1" si="3"/>
        <v>0</v>
      </c>
      <c r="M49" s="228">
        <f t="shared" ca="1" si="4"/>
        <v>0</v>
      </c>
    </row>
    <row r="50" spans="1:13" x14ac:dyDescent="0.2">
      <c r="A50" s="12" t="s">
        <v>82</v>
      </c>
      <c r="B50" s="6"/>
      <c r="C50" s="1" t="s">
        <v>80</v>
      </c>
      <c r="I50" s="227">
        <f t="shared" si="2"/>
        <v>0</v>
      </c>
      <c r="J50" s="16">
        <v>99.73</v>
      </c>
      <c r="K50" s="225">
        <f t="array" aca="1" ref="K50" ca="1">INDIRECT(ADDRESS(ROW(Proz)+MATCH(MIN(ABS(J50-Proz)),ABS(J50-Proz),0)-1,COLUMN(Proz)+1))</f>
        <v>6</v>
      </c>
      <c r="L50" s="228">
        <f t="shared" ca="1" si="3"/>
        <v>0</v>
      </c>
      <c r="M50" s="228">
        <f t="shared" ca="1" si="4"/>
        <v>0</v>
      </c>
    </row>
    <row r="51" spans="1:13" x14ac:dyDescent="0.2">
      <c r="I51" s="227">
        <f t="shared" si="2"/>
        <v>0</v>
      </c>
      <c r="J51" s="16">
        <v>99.73</v>
      </c>
      <c r="K51" s="225">
        <f t="array" aca="1" ref="K51" ca="1">INDIRECT(ADDRESS(ROW(Proz)+MATCH(MIN(ABS(J51-Proz)),ABS(J51-Proz),0)-1,COLUMN(Proz)+1))</f>
        <v>6</v>
      </c>
      <c r="L51" s="228">
        <f t="shared" ca="1" si="3"/>
        <v>0</v>
      </c>
      <c r="M51" s="228">
        <f t="shared" ca="1" si="4"/>
        <v>0</v>
      </c>
    </row>
    <row r="52" spans="1:13" x14ac:dyDescent="0.2">
      <c r="B52" s="6"/>
      <c r="I52" s="227">
        <f t="shared" si="2"/>
        <v>0</v>
      </c>
      <c r="J52" s="16">
        <v>99.73</v>
      </c>
      <c r="K52" s="225">
        <f t="array" aca="1" ref="K52" ca="1">INDIRECT(ADDRESS(ROW(Proz)+MATCH(MIN(ABS(J52-Proz)),ABS(J52-Proz),0)-1,COLUMN(Proz)+1))</f>
        <v>6</v>
      </c>
      <c r="L52" s="228">
        <f t="shared" ca="1" si="3"/>
        <v>0</v>
      </c>
      <c r="M52" s="228">
        <f t="shared" ca="1" si="4"/>
        <v>0</v>
      </c>
    </row>
    <row r="53" spans="1:13" x14ac:dyDescent="0.2">
      <c r="B53" s="6"/>
      <c r="I53" s="227">
        <f t="shared" si="2"/>
        <v>0</v>
      </c>
      <c r="J53" s="16">
        <v>99.73</v>
      </c>
      <c r="K53" s="225">
        <f t="array" aca="1" ref="K53" ca="1">INDIRECT(ADDRESS(ROW(Proz)+MATCH(MIN(ABS(J53-Proz)),ABS(J53-Proz),0)-1,COLUMN(Proz)+1))</f>
        <v>6</v>
      </c>
      <c r="L53" s="228">
        <f t="shared" ca="1" si="3"/>
        <v>0</v>
      </c>
      <c r="M53" s="228">
        <f t="shared" ca="1" si="4"/>
        <v>0</v>
      </c>
    </row>
    <row r="54" spans="1:13" x14ac:dyDescent="0.2">
      <c r="B54" s="6"/>
      <c r="I54" s="227">
        <f t="shared" si="2"/>
        <v>0</v>
      </c>
      <c r="J54" s="16">
        <v>99.73</v>
      </c>
      <c r="K54" s="225">
        <f t="array" aca="1" ref="K54" ca="1">INDIRECT(ADDRESS(ROW(Proz)+MATCH(MIN(ABS(J54-Proz)),ABS(J54-Proz),0)-1,COLUMN(Proz)+1))</f>
        <v>6</v>
      </c>
      <c r="L54" s="228">
        <f t="shared" ca="1" si="3"/>
        <v>0</v>
      </c>
      <c r="M54" s="228">
        <f t="shared" ca="1" si="4"/>
        <v>0</v>
      </c>
    </row>
    <row r="55" spans="1:13" x14ac:dyDescent="0.2">
      <c r="I55" s="227">
        <f t="shared" si="2"/>
        <v>0</v>
      </c>
      <c r="J55" s="16">
        <v>99.73</v>
      </c>
      <c r="K55" s="225">
        <f t="array" aca="1" ref="K55" ca="1">INDIRECT(ADDRESS(ROW(Proz)+MATCH(MIN(ABS(J55-Proz)),ABS(J55-Proz),0)-1,COLUMN(Proz)+1))</f>
        <v>6</v>
      </c>
      <c r="L55" s="228">
        <f t="shared" ca="1" si="3"/>
        <v>0</v>
      </c>
      <c r="M55" s="228">
        <f t="shared" ca="1" si="4"/>
        <v>0</v>
      </c>
    </row>
    <row r="56" spans="1:13" x14ac:dyDescent="0.2">
      <c r="B56" s="6"/>
      <c r="I56" s="227">
        <f t="shared" si="2"/>
        <v>0</v>
      </c>
      <c r="J56" s="16">
        <v>99.73</v>
      </c>
      <c r="K56" s="225">
        <f t="array" aca="1" ref="K56" ca="1">INDIRECT(ADDRESS(ROW(Proz)+MATCH(MIN(ABS(J56-Proz)),ABS(J56-Proz),0)-1,COLUMN(Proz)+1))</f>
        <v>6</v>
      </c>
      <c r="L56" s="228">
        <f t="shared" ca="1" si="3"/>
        <v>0</v>
      </c>
      <c r="M56" s="228">
        <f t="shared" ca="1" si="4"/>
        <v>0</v>
      </c>
    </row>
    <row r="57" spans="1:13" x14ac:dyDescent="0.2">
      <c r="B57" s="6"/>
      <c r="I57" s="227">
        <f t="shared" si="2"/>
        <v>0</v>
      </c>
      <c r="J57" s="16">
        <v>99.73</v>
      </c>
      <c r="K57" s="225">
        <f t="array" aca="1" ref="K57" ca="1">INDIRECT(ADDRESS(ROW(Proz)+MATCH(MIN(ABS(J57-Proz)),ABS(J57-Proz),0)-1,COLUMN(Proz)+1))</f>
        <v>6</v>
      </c>
      <c r="L57" s="228">
        <f t="shared" ca="1" si="3"/>
        <v>0</v>
      </c>
      <c r="M57" s="228">
        <f t="shared" ca="1" si="4"/>
        <v>0</v>
      </c>
    </row>
    <row r="58" spans="1:13" x14ac:dyDescent="0.2">
      <c r="I58" s="227">
        <f t="shared" si="2"/>
        <v>0</v>
      </c>
      <c r="J58" s="16">
        <v>99.73</v>
      </c>
      <c r="K58" s="225">
        <f t="array" aca="1" ref="K58" ca="1">INDIRECT(ADDRESS(ROW(Proz)+MATCH(MIN(ABS(J58-Proz)),ABS(J58-Proz),0)-1,COLUMN(Proz)+1))</f>
        <v>6</v>
      </c>
      <c r="L58" s="228">
        <f t="shared" ca="1" si="3"/>
        <v>0</v>
      </c>
      <c r="M58" s="228">
        <f t="shared" ca="1" si="4"/>
        <v>0</v>
      </c>
    </row>
    <row r="59" spans="1:13" ht="13.5" thickBot="1" x14ac:dyDescent="0.25">
      <c r="E59" s="22"/>
      <c r="F59" s="22"/>
      <c r="G59" s="22"/>
      <c r="I59" s="227">
        <f t="shared" si="2"/>
        <v>0</v>
      </c>
      <c r="J59" s="16">
        <v>99.73</v>
      </c>
      <c r="K59" s="225">
        <f t="array" aca="1" ref="K59" ca="1">INDIRECT(ADDRESS(ROW(Proz)+MATCH(MIN(ABS(J59-Proz)),ABS(J59-Proz),0)-1,COLUMN(Proz)+1))</f>
        <v>6</v>
      </c>
      <c r="L59" s="228">
        <f t="shared" ca="1" si="3"/>
        <v>0</v>
      </c>
      <c r="M59" s="228">
        <f t="shared" ca="1" si="4"/>
        <v>0</v>
      </c>
    </row>
    <row r="60" spans="1:13" ht="57.75" customHeight="1" x14ac:dyDescent="0.2">
      <c r="C60" s="249" t="s">
        <v>93</v>
      </c>
      <c r="D60" s="152" t="s">
        <v>92</v>
      </c>
      <c r="M60" s="19"/>
    </row>
    <row r="61" spans="1:13" x14ac:dyDescent="0.2">
      <c r="C61" s="250">
        <v>10</v>
      </c>
      <c r="D61" s="190">
        <v>0.25</v>
      </c>
      <c r="M61" s="19"/>
    </row>
    <row r="62" spans="1:13" x14ac:dyDescent="0.2">
      <c r="C62" s="250">
        <v>20</v>
      </c>
      <c r="D62" s="190">
        <v>0.51</v>
      </c>
      <c r="M62" s="19"/>
    </row>
    <row r="63" spans="1:13" x14ac:dyDescent="0.2">
      <c r="C63" s="250">
        <v>30</v>
      </c>
      <c r="D63" s="190">
        <v>0.77</v>
      </c>
      <c r="M63" s="19"/>
    </row>
    <row r="64" spans="1:13" x14ac:dyDescent="0.2">
      <c r="C64" s="250">
        <v>40</v>
      </c>
      <c r="D64" s="190">
        <v>1</v>
      </c>
      <c r="M64" s="19"/>
    </row>
    <row r="65" spans="3:13" x14ac:dyDescent="0.2">
      <c r="C65" s="250">
        <v>50</v>
      </c>
      <c r="D65" s="190">
        <v>1.4</v>
      </c>
      <c r="M65" s="19"/>
    </row>
    <row r="66" spans="3:13" x14ac:dyDescent="0.2">
      <c r="C66" s="250">
        <v>60</v>
      </c>
      <c r="D66" s="190">
        <v>1.7</v>
      </c>
      <c r="M66" s="19"/>
    </row>
    <row r="67" spans="3:13" x14ac:dyDescent="0.2">
      <c r="C67" s="250">
        <v>70</v>
      </c>
      <c r="D67" s="190">
        <v>2.1</v>
      </c>
      <c r="M67" s="19"/>
    </row>
    <row r="68" spans="3:13" x14ac:dyDescent="0.2">
      <c r="C68" s="250">
        <v>80</v>
      </c>
      <c r="D68" s="190">
        <v>2.6</v>
      </c>
      <c r="M68" s="19"/>
    </row>
    <row r="69" spans="3:13" x14ac:dyDescent="0.2">
      <c r="C69" s="250">
        <v>90</v>
      </c>
      <c r="D69" s="190">
        <v>3.3</v>
      </c>
      <c r="M69" s="19"/>
    </row>
    <row r="70" spans="3:13" ht="13.5" thickBot="1" x14ac:dyDescent="0.25">
      <c r="C70" s="251">
        <v>100</v>
      </c>
      <c r="D70" s="252">
        <v>6</v>
      </c>
      <c r="M70" s="19"/>
    </row>
    <row r="71" spans="3:13" x14ac:dyDescent="0.2">
      <c r="M71" s="19"/>
    </row>
    <row r="72" spans="3:13" x14ac:dyDescent="0.2">
      <c r="M72" s="19"/>
    </row>
    <row r="73" spans="3:13" x14ac:dyDescent="0.2">
      <c r="M73" s="19"/>
    </row>
    <row r="74" spans="3:13" x14ac:dyDescent="0.2">
      <c r="M74" s="19"/>
    </row>
    <row r="75" spans="3:13" x14ac:dyDescent="0.2">
      <c r="M75" s="19"/>
    </row>
    <row r="76" spans="3:13" x14ac:dyDescent="0.2">
      <c r="M76" s="19"/>
    </row>
    <row r="77" spans="3:13" x14ac:dyDescent="0.2">
      <c r="M77" s="19"/>
    </row>
    <row r="78" spans="3:13" x14ac:dyDescent="0.2">
      <c r="M78" s="19"/>
    </row>
    <row r="79" spans="3:13" x14ac:dyDescent="0.2">
      <c r="M79" s="19"/>
    </row>
    <row r="80" spans="3:13" x14ac:dyDescent="0.2">
      <c r="M80" s="19"/>
    </row>
    <row r="81" spans="13:13" x14ac:dyDescent="0.2">
      <c r="M81" s="19"/>
    </row>
    <row r="82" spans="13:13" x14ac:dyDescent="0.2">
      <c r="M82" s="19"/>
    </row>
    <row r="83" spans="13:13" x14ac:dyDescent="0.2">
      <c r="M83" s="19"/>
    </row>
    <row r="84" spans="13:13" x14ac:dyDescent="0.2">
      <c r="M84" s="19"/>
    </row>
    <row r="85" spans="13:13" x14ac:dyDescent="0.2">
      <c r="M85" s="19"/>
    </row>
    <row r="86" spans="13:13" x14ac:dyDescent="0.2">
      <c r="M86" s="19"/>
    </row>
    <row r="87" spans="13:13" x14ac:dyDescent="0.2">
      <c r="M87" s="19"/>
    </row>
    <row r="88" spans="13:13" x14ac:dyDescent="0.2">
      <c r="M88" s="19"/>
    </row>
    <row r="89" spans="13:13" x14ac:dyDescent="0.2">
      <c r="M89" s="19"/>
    </row>
    <row r="90" spans="13:13" x14ac:dyDescent="0.2">
      <c r="M90" s="19"/>
    </row>
    <row r="91" spans="13:13" x14ac:dyDescent="0.2">
      <c r="M91" s="19"/>
    </row>
    <row r="92" spans="13:13" x14ac:dyDescent="0.2">
      <c r="M92" s="19"/>
    </row>
    <row r="93" spans="13:13" x14ac:dyDescent="0.2">
      <c r="M93" s="19"/>
    </row>
    <row r="94" spans="13:13" x14ac:dyDescent="0.2">
      <c r="M94" s="19"/>
    </row>
    <row r="95" spans="13:13" x14ac:dyDescent="0.2">
      <c r="M95" s="19"/>
    </row>
    <row r="96" spans="13:13" x14ac:dyDescent="0.2">
      <c r="M96" s="19"/>
    </row>
    <row r="97" spans="13:13" x14ac:dyDescent="0.2">
      <c r="M97" s="19"/>
    </row>
    <row r="98" spans="13:13" x14ac:dyDescent="0.2">
      <c r="M98" s="19"/>
    </row>
    <row r="99" spans="13:13" x14ac:dyDescent="0.2">
      <c r="M99" s="19"/>
    </row>
    <row r="100" spans="13:13" x14ac:dyDescent="0.2">
      <c r="M100" s="19"/>
    </row>
    <row r="101" spans="13:13" x14ac:dyDescent="0.2">
      <c r="M101" s="19"/>
    </row>
    <row r="102" spans="13:13" x14ac:dyDescent="0.2">
      <c r="M102" s="19"/>
    </row>
    <row r="103" spans="13:13" x14ac:dyDescent="0.2">
      <c r="M103" s="19"/>
    </row>
    <row r="104" spans="13:13" x14ac:dyDescent="0.2">
      <c r="M104" s="19"/>
    </row>
    <row r="105" spans="13:13" x14ac:dyDescent="0.2">
      <c r="M105" s="19"/>
    </row>
    <row r="106" spans="13:13" x14ac:dyDescent="0.2">
      <c r="M106" s="19"/>
    </row>
    <row r="107" spans="13:13" x14ac:dyDescent="0.2">
      <c r="M107" s="19"/>
    </row>
    <row r="108" spans="13:13" x14ac:dyDescent="0.2">
      <c r="M108" s="19"/>
    </row>
    <row r="109" spans="13:13" x14ac:dyDescent="0.2">
      <c r="M109" s="19"/>
    </row>
    <row r="110" spans="13:13" x14ac:dyDescent="0.2">
      <c r="M110" s="19"/>
    </row>
    <row r="111" spans="13:13" x14ac:dyDescent="0.2">
      <c r="M111" s="19"/>
    </row>
    <row r="112" spans="13:13" x14ac:dyDescent="0.2">
      <c r="M112" s="19"/>
    </row>
    <row r="113" spans="13:13" x14ac:dyDescent="0.2">
      <c r="M113" s="19"/>
    </row>
    <row r="114" spans="13:13" x14ac:dyDescent="0.2">
      <c r="M114" s="19"/>
    </row>
    <row r="115" spans="13:13" x14ac:dyDescent="0.2">
      <c r="M115" s="19"/>
    </row>
    <row r="116" spans="13:13" x14ac:dyDescent="0.2">
      <c r="M116" s="19"/>
    </row>
    <row r="117" spans="13:13" x14ac:dyDescent="0.2">
      <c r="M117" s="19"/>
    </row>
    <row r="118" spans="13:13" x14ac:dyDescent="0.2">
      <c r="M118" s="19"/>
    </row>
    <row r="119" spans="13:13" x14ac:dyDescent="0.2">
      <c r="M119" s="19"/>
    </row>
    <row r="120" spans="13:13" x14ac:dyDescent="0.2">
      <c r="M120" s="19"/>
    </row>
    <row r="121" spans="13:13" x14ac:dyDescent="0.2">
      <c r="M121" s="19"/>
    </row>
    <row r="122" spans="13:13" x14ac:dyDescent="0.2">
      <c r="M122" s="19"/>
    </row>
    <row r="123" spans="13:13" x14ac:dyDescent="0.2">
      <c r="M123" s="19"/>
    </row>
    <row r="124" spans="13:13" x14ac:dyDescent="0.2">
      <c r="M124" s="19"/>
    </row>
    <row r="125" spans="13:13" x14ac:dyDescent="0.2">
      <c r="M125" s="19"/>
    </row>
    <row r="126" spans="13:13" x14ac:dyDescent="0.2">
      <c r="M126" s="19"/>
    </row>
    <row r="127" spans="13:13" x14ac:dyDescent="0.2">
      <c r="M127" s="19"/>
    </row>
    <row r="128" spans="13:13" x14ac:dyDescent="0.2">
      <c r="M128" s="19"/>
    </row>
    <row r="129" spans="13:13" x14ac:dyDescent="0.2">
      <c r="M129" s="19"/>
    </row>
    <row r="130" spans="13:13" x14ac:dyDescent="0.2">
      <c r="M130" s="19"/>
    </row>
    <row r="131" spans="13:13" x14ac:dyDescent="0.2">
      <c r="M131" s="19"/>
    </row>
    <row r="132" spans="13:13" x14ac:dyDescent="0.2">
      <c r="M132" s="19"/>
    </row>
    <row r="133" spans="13:13" x14ac:dyDescent="0.2">
      <c r="M133" s="19"/>
    </row>
    <row r="134" spans="13:13" x14ac:dyDescent="0.2">
      <c r="M134" s="19"/>
    </row>
    <row r="135" spans="13:13" x14ac:dyDescent="0.2">
      <c r="M135" s="19"/>
    </row>
    <row r="136" spans="13:13" x14ac:dyDescent="0.2">
      <c r="M136" s="19"/>
    </row>
    <row r="137" spans="13:13" x14ac:dyDescent="0.2">
      <c r="M137" s="19"/>
    </row>
    <row r="138" spans="13:13" x14ac:dyDescent="0.2">
      <c r="M138" s="19"/>
    </row>
    <row r="139" spans="13:13" x14ac:dyDescent="0.2">
      <c r="M139" s="19"/>
    </row>
    <row r="140" spans="13:13" x14ac:dyDescent="0.2">
      <c r="M140" s="19"/>
    </row>
    <row r="141" spans="13:13" x14ac:dyDescent="0.2">
      <c r="M141" s="19"/>
    </row>
    <row r="142" spans="13:13" x14ac:dyDescent="0.2">
      <c r="M142" s="19"/>
    </row>
    <row r="143" spans="13:13" x14ac:dyDescent="0.2">
      <c r="M143" s="19"/>
    </row>
    <row r="144" spans="13:13" x14ac:dyDescent="0.2">
      <c r="M144" s="19"/>
    </row>
    <row r="145" spans="13:13" x14ac:dyDescent="0.2">
      <c r="M145" s="19"/>
    </row>
    <row r="146" spans="13:13" x14ac:dyDescent="0.2">
      <c r="M146" s="19"/>
    </row>
    <row r="147" spans="13:13" x14ac:dyDescent="0.2">
      <c r="M147" s="19"/>
    </row>
    <row r="148" spans="13:13" x14ac:dyDescent="0.2">
      <c r="M148" s="19"/>
    </row>
    <row r="149" spans="13:13" x14ac:dyDescent="0.2">
      <c r="M149" s="19"/>
    </row>
    <row r="150" spans="13:13" x14ac:dyDescent="0.2">
      <c r="M150" s="19"/>
    </row>
    <row r="151" spans="13:13" x14ac:dyDescent="0.2">
      <c r="M151" s="19"/>
    </row>
    <row r="152" spans="13:13" x14ac:dyDescent="0.2">
      <c r="M152" s="19"/>
    </row>
    <row r="153" spans="13:13" x14ac:dyDescent="0.2">
      <c r="M153" s="19"/>
    </row>
    <row r="154" spans="13:13" x14ac:dyDescent="0.2">
      <c r="M154" s="19"/>
    </row>
    <row r="155" spans="13:13" x14ac:dyDescent="0.2">
      <c r="M155" s="19"/>
    </row>
    <row r="156" spans="13:13" x14ac:dyDescent="0.2">
      <c r="M156" s="19"/>
    </row>
    <row r="157" spans="13:13" x14ac:dyDescent="0.2">
      <c r="M157" s="19"/>
    </row>
    <row r="158" spans="13:13" x14ac:dyDescent="0.2">
      <c r="M158" s="19"/>
    </row>
    <row r="159" spans="13:13" x14ac:dyDescent="0.2">
      <c r="M159" s="19"/>
    </row>
    <row r="160" spans="13:13" x14ac:dyDescent="0.2">
      <c r="M160" s="19"/>
    </row>
    <row r="161" spans="13:13" x14ac:dyDescent="0.2">
      <c r="M161" s="19"/>
    </row>
    <row r="162" spans="13:13" x14ac:dyDescent="0.2">
      <c r="M162" s="19"/>
    </row>
    <row r="163" spans="13:13" x14ac:dyDescent="0.2">
      <c r="M163" s="19"/>
    </row>
    <row r="164" spans="13:13" x14ac:dyDescent="0.2">
      <c r="M164" s="19"/>
    </row>
    <row r="165" spans="13:13" x14ac:dyDescent="0.2">
      <c r="M165" s="19"/>
    </row>
    <row r="166" spans="13:13" x14ac:dyDescent="0.2">
      <c r="M166" s="19"/>
    </row>
    <row r="167" spans="13:13" x14ac:dyDescent="0.2">
      <c r="M167" s="19"/>
    </row>
    <row r="168" spans="13:13" x14ac:dyDescent="0.2">
      <c r="M168" s="19"/>
    </row>
    <row r="169" spans="13:13" x14ac:dyDescent="0.2">
      <c r="M169" s="19"/>
    </row>
    <row r="170" spans="13:13" x14ac:dyDescent="0.2">
      <c r="M170" s="19"/>
    </row>
    <row r="171" spans="13:13" x14ac:dyDescent="0.2">
      <c r="M171" s="19"/>
    </row>
    <row r="172" spans="13:13" x14ac:dyDescent="0.2">
      <c r="M172" s="19"/>
    </row>
    <row r="173" spans="13:13" x14ac:dyDescent="0.2">
      <c r="M173" s="19"/>
    </row>
    <row r="174" spans="13:13" x14ac:dyDescent="0.2">
      <c r="M174" s="19"/>
    </row>
    <row r="175" spans="13:13" x14ac:dyDescent="0.2">
      <c r="M175" s="19"/>
    </row>
    <row r="176" spans="13:13" x14ac:dyDescent="0.2">
      <c r="M176" s="19"/>
    </row>
    <row r="177" spans="13:13" x14ac:dyDescent="0.2">
      <c r="M177" s="19"/>
    </row>
    <row r="178" spans="13:13" x14ac:dyDescent="0.2">
      <c r="M178" s="19"/>
    </row>
    <row r="179" spans="13:13" x14ac:dyDescent="0.2">
      <c r="M179" s="19"/>
    </row>
    <row r="180" spans="13:13" x14ac:dyDescent="0.2">
      <c r="M180" s="19"/>
    </row>
    <row r="181" spans="13:13" x14ac:dyDescent="0.2">
      <c r="M181" s="19"/>
    </row>
    <row r="182" spans="13:13" x14ac:dyDescent="0.2">
      <c r="M182" s="19"/>
    </row>
    <row r="183" spans="13:13" x14ac:dyDescent="0.2">
      <c r="M183" s="19"/>
    </row>
    <row r="184" spans="13:13" x14ac:dyDescent="0.2">
      <c r="M184" s="19"/>
    </row>
    <row r="185" spans="13:13" x14ac:dyDescent="0.2">
      <c r="M185" s="19"/>
    </row>
    <row r="186" spans="13:13" x14ac:dyDescent="0.2">
      <c r="M186" s="19"/>
    </row>
    <row r="187" spans="13:13" x14ac:dyDescent="0.2">
      <c r="M187" s="19"/>
    </row>
    <row r="188" spans="13:13" x14ac:dyDescent="0.2">
      <c r="M188" s="19"/>
    </row>
    <row r="189" spans="13:13" x14ac:dyDescent="0.2">
      <c r="M189" s="19"/>
    </row>
    <row r="190" spans="13:13" x14ac:dyDescent="0.2">
      <c r="M190" s="19"/>
    </row>
    <row r="191" spans="13:13" x14ac:dyDescent="0.2">
      <c r="M191" s="19"/>
    </row>
    <row r="192" spans="13:13" x14ac:dyDescent="0.2">
      <c r="M192" s="19"/>
    </row>
    <row r="193" spans="13:13" x14ac:dyDescent="0.2">
      <c r="M193" s="19"/>
    </row>
    <row r="194" spans="13:13" x14ac:dyDescent="0.2">
      <c r="M194" s="19"/>
    </row>
    <row r="195" spans="13:13" x14ac:dyDescent="0.2">
      <c r="M195" s="19"/>
    </row>
    <row r="196" spans="13:13" x14ac:dyDescent="0.2">
      <c r="M196" s="19"/>
    </row>
    <row r="197" spans="13:13" x14ac:dyDescent="0.2">
      <c r="M197" s="19"/>
    </row>
    <row r="198" spans="13:13" x14ac:dyDescent="0.2">
      <c r="M198" s="19"/>
    </row>
    <row r="199" spans="13:13" x14ac:dyDescent="0.2">
      <c r="M199" s="19"/>
    </row>
    <row r="200" spans="13:13" x14ac:dyDescent="0.2">
      <c r="M200" s="19"/>
    </row>
    <row r="201" spans="13:13" x14ac:dyDescent="0.2">
      <c r="M201" s="19"/>
    </row>
    <row r="202" spans="13:13" x14ac:dyDescent="0.2">
      <c r="M202" s="19"/>
    </row>
    <row r="203" spans="13:13" x14ac:dyDescent="0.2">
      <c r="M203" s="19"/>
    </row>
    <row r="204" spans="13:13" x14ac:dyDescent="0.2">
      <c r="M204" s="19"/>
    </row>
    <row r="205" spans="13:13" x14ac:dyDescent="0.2">
      <c r="M205" s="19"/>
    </row>
    <row r="206" spans="13:13" x14ac:dyDescent="0.2">
      <c r="M206" s="19"/>
    </row>
    <row r="207" spans="13:13" x14ac:dyDescent="0.2">
      <c r="M207" s="19"/>
    </row>
    <row r="208" spans="13:13" x14ac:dyDescent="0.2">
      <c r="M208" s="19"/>
    </row>
    <row r="209" spans="13:13" x14ac:dyDescent="0.2">
      <c r="M209" s="19"/>
    </row>
    <row r="210" spans="13:13" x14ac:dyDescent="0.2">
      <c r="M210" s="19"/>
    </row>
    <row r="211" spans="13:13" x14ac:dyDescent="0.2">
      <c r="M211" s="19"/>
    </row>
    <row r="212" spans="13:13" x14ac:dyDescent="0.2">
      <c r="M212" s="19"/>
    </row>
    <row r="213" spans="13:13" x14ac:dyDescent="0.2">
      <c r="M213" s="19"/>
    </row>
    <row r="214" spans="13:13" x14ac:dyDescent="0.2">
      <c r="M214" s="19"/>
    </row>
    <row r="215" spans="13:13" x14ac:dyDescent="0.2">
      <c r="M215" s="19"/>
    </row>
    <row r="216" spans="13:13" x14ac:dyDescent="0.2">
      <c r="M216" s="19"/>
    </row>
    <row r="217" spans="13:13" x14ac:dyDescent="0.2">
      <c r="M217" s="19"/>
    </row>
    <row r="218" spans="13:13" x14ac:dyDescent="0.2">
      <c r="M218" s="19"/>
    </row>
    <row r="219" spans="13:13" x14ac:dyDescent="0.2">
      <c r="M219" s="19"/>
    </row>
    <row r="220" spans="13:13" x14ac:dyDescent="0.2">
      <c r="M220" s="19"/>
    </row>
    <row r="221" spans="13:13" x14ac:dyDescent="0.2">
      <c r="M221" s="19"/>
    </row>
    <row r="222" spans="13:13" x14ac:dyDescent="0.2">
      <c r="M222" s="19"/>
    </row>
    <row r="223" spans="13:13" x14ac:dyDescent="0.2">
      <c r="M223" s="19"/>
    </row>
    <row r="224" spans="13:13" x14ac:dyDescent="0.2">
      <c r="M224" s="19"/>
    </row>
    <row r="225" spans="13:13" x14ac:dyDescent="0.2">
      <c r="M225" s="19"/>
    </row>
    <row r="226" spans="13:13" x14ac:dyDescent="0.2">
      <c r="M226" s="19"/>
    </row>
    <row r="227" spans="13:13" x14ac:dyDescent="0.2">
      <c r="M227" s="19"/>
    </row>
    <row r="228" spans="13:13" x14ac:dyDescent="0.2">
      <c r="M228" s="19"/>
    </row>
    <row r="229" spans="13:13" x14ac:dyDescent="0.2">
      <c r="M229" s="19"/>
    </row>
    <row r="230" spans="13:13" x14ac:dyDescent="0.2">
      <c r="M230" s="19"/>
    </row>
    <row r="231" spans="13:13" x14ac:dyDescent="0.2">
      <c r="M231" s="19"/>
    </row>
    <row r="232" spans="13:13" x14ac:dyDescent="0.2">
      <c r="M232" s="19"/>
    </row>
    <row r="233" spans="13:13" x14ac:dyDescent="0.2">
      <c r="M233" s="19"/>
    </row>
    <row r="234" spans="13:13" x14ac:dyDescent="0.2">
      <c r="M234" s="19"/>
    </row>
    <row r="235" spans="13:13" x14ac:dyDescent="0.2">
      <c r="M235" s="19"/>
    </row>
    <row r="236" spans="13:13" x14ac:dyDescent="0.2">
      <c r="M236" s="19"/>
    </row>
    <row r="237" spans="13:13" x14ac:dyDescent="0.2">
      <c r="M237" s="19"/>
    </row>
    <row r="238" spans="13:13" x14ac:dyDescent="0.2">
      <c r="M238" s="19"/>
    </row>
    <row r="239" spans="13:13" x14ac:dyDescent="0.2">
      <c r="M239" s="19"/>
    </row>
    <row r="240" spans="13:13" x14ac:dyDescent="0.2">
      <c r="M240" s="19"/>
    </row>
    <row r="241" spans="13:13" x14ac:dyDescent="0.2">
      <c r="M241" s="19"/>
    </row>
    <row r="242" spans="13:13" x14ac:dyDescent="0.2">
      <c r="M242" s="19"/>
    </row>
    <row r="243" spans="13:13" x14ac:dyDescent="0.2">
      <c r="M243" s="19"/>
    </row>
    <row r="244" spans="13:13" x14ac:dyDescent="0.2">
      <c r="M244" s="19"/>
    </row>
    <row r="245" spans="13:13" x14ac:dyDescent="0.2">
      <c r="M245" s="19"/>
    </row>
    <row r="246" spans="13:13" x14ac:dyDescent="0.2">
      <c r="M246" s="19"/>
    </row>
    <row r="247" spans="13:13" x14ac:dyDescent="0.2">
      <c r="M247" s="19"/>
    </row>
    <row r="248" spans="13:13" x14ac:dyDescent="0.2">
      <c r="M248" s="19"/>
    </row>
    <row r="249" spans="13:13" x14ac:dyDescent="0.2">
      <c r="M249" s="19"/>
    </row>
    <row r="250" spans="13:13" x14ac:dyDescent="0.2">
      <c r="M250" s="19"/>
    </row>
    <row r="251" spans="13:13" x14ac:dyDescent="0.2">
      <c r="M251" s="19"/>
    </row>
    <row r="252" spans="13:13" x14ac:dyDescent="0.2">
      <c r="M252" s="19"/>
    </row>
    <row r="253" spans="13:13" x14ac:dyDescent="0.2">
      <c r="M253" s="19"/>
    </row>
    <row r="254" spans="13:13" x14ac:dyDescent="0.2">
      <c r="M254" s="19"/>
    </row>
    <row r="255" spans="13:13" x14ac:dyDescent="0.2">
      <c r="M255" s="19"/>
    </row>
    <row r="256" spans="13:13" x14ac:dyDescent="0.2">
      <c r="M256" s="19"/>
    </row>
    <row r="257" spans="13:13" x14ac:dyDescent="0.2">
      <c r="M257" s="19"/>
    </row>
    <row r="258" spans="13:13" x14ac:dyDescent="0.2">
      <c r="M258" s="19"/>
    </row>
    <row r="259" spans="13:13" x14ac:dyDescent="0.2">
      <c r="M259" s="19"/>
    </row>
    <row r="260" spans="13:13" x14ac:dyDescent="0.2">
      <c r="M260" s="19"/>
    </row>
    <row r="261" spans="13:13" x14ac:dyDescent="0.2">
      <c r="M261" s="19"/>
    </row>
    <row r="262" spans="13:13" x14ac:dyDescent="0.2">
      <c r="M262" s="19"/>
    </row>
    <row r="263" spans="13:13" x14ac:dyDescent="0.2">
      <c r="M263" s="19"/>
    </row>
    <row r="264" spans="13:13" x14ac:dyDescent="0.2">
      <c r="M264" s="19"/>
    </row>
    <row r="265" spans="13:13" x14ac:dyDescent="0.2">
      <c r="M265" s="19"/>
    </row>
    <row r="266" spans="13:13" x14ac:dyDescent="0.2">
      <c r="M266" s="19"/>
    </row>
    <row r="267" spans="13:13" x14ac:dyDescent="0.2">
      <c r="M267" s="19"/>
    </row>
    <row r="268" spans="13:13" x14ac:dyDescent="0.2">
      <c r="M268" s="19"/>
    </row>
    <row r="269" spans="13:13" x14ac:dyDescent="0.2">
      <c r="M269" s="19"/>
    </row>
    <row r="270" spans="13:13" x14ac:dyDescent="0.2">
      <c r="M270" s="19"/>
    </row>
    <row r="271" spans="13:13" x14ac:dyDescent="0.2">
      <c r="M271" s="19"/>
    </row>
    <row r="272" spans="13:13" x14ac:dyDescent="0.2">
      <c r="M272" s="19"/>
    </row>
    <row r="273" spans="13:13" x14ac:dyDescent="0.2">
      <c r="M273" s="19"/>
    </row>
    <row r="274" spans="13:13" x14ac:dyDescent="0.2">
      <c r="M274" s="19"/>
    </row>
    <row r="275" spans="13:13" x14ac:dyDescent="0.2">
      <c r="M275" s="19"/>
    </row>
    <row r="276" spans="13:13" x14ac:dyDescent="0.2">
      <c r="M276" s="19"/>
    </row>
    <row r="277" spans="13:13" x14ac:dyDescent="0.2">
      <c r="M277" s="19"/>
    </row>
    <row r="278" spans="13:13" x14ac:dyDescent="0.2">
      <c r="M278" s="19"/>
    </row>
    <row r="279" spans="13:13" x14ac:dyDescent="0.2">
      <c r="M279" s="19"/>
    </row>
    <row r="280" spans="13:13" x14ac:dyDescent="0.2">
      <c r="M280" s="19"/>
    </row>
    <row r="281" spans="13:13" x14ac:dyDescent="0.2">
      <c r="M281" s="19"/>
    </row>
    <row r="282" spans="13:13" x14ac:dyDescent="0.2">
      <c r="M282" s="19"/>
    </row>
    <row r="283" spans="13:13" x14ac:dyDescent="0.2">
      <c r="M283" s="19"/>
    </row>
    <row r="284" spans="13:13" x14ac:dyDescent="0.2">
      <c r="M284" s="19"/>
    </row>
    <row r="285" spans="13:13" x14ac:dyDescent="0.2">
      <c r="M285" s="19"/>
    </row>
    <row r="286" spans="13:13" x14ac:dyDescent="0.2">
      <c r="M286" s="19"/>
    </row>
    <row r="287" spans="13:13" x14ac:dyDescent="0.2">
      <c r="M287" s="19"/>
    </row>
    <row r="288" spans="13:13" x14ac:dyDescent="0.2">
      <c r="M288" s="19"/>
    </row>
    <row r="289" spans="13:13" x14ac:dyDescent="0.2">
      <c r="M289" s="19"/>
    </row>
    <row r="290" spans="13:13" x14ac:dyDescent="0.2">
      <c r="M290" s="19"/>
    </row>
    <row r="291" spans="13:13" x14ac:dyDescent="0.2">
      <c r="M291" s="19"/>
    </row>
    <row r="292" spans="13:13" x14ac:dyDescent="0.2">
      <c r="M292" s="19"/>
    </row>
    <row r="293" spans="13:13" x14ac:dyDescent="0.2">
      <c r="M293" s="19"/>
    </row>
    <row r="294" spans="13:13" x14ac:dyDescent="0.2">
      <c r="M294" s="19"/>
    </row>
    <row r="295" spans="13:13" x14ac:dyDescent="0.2">
      <c r="M295" s="19"/>
    </row>
    <row r="296" spans="13:13" x14ac:dyDescent="0.2">
      <c r="M296" s="19"/>
    </row>
    <row r="297" spans="13:13" x14ac:dyDescent="0.2">
      <c r="M297" s="19"/>
    </row>
    <row r="298" spans="13:13" x14ac:dyDescent="0.2">
      <c r="M298" s="19"/>
    </row>
    <row r="299" spans="13:13" x14ac:dyDescent="0.2">
      <c r="M299" s="19"/>
    </row>
    <row r="300" spans="13:13" x14ac:dyDescent="0.2">
      <c r="M300" s="19"/>
    </row>
    <row r="301" spans="13:13" x14ac:dyDescent="0.2">
      <c r="M301" s="19"/>
    </row>
    <row r="302" spans="13:13" x14ac:dyDescent="0.2">
      <c r="M302" s="19"/>
    </row>
    <row r="303" spans="13:13" x14ac:dyDescent="0.2">
      <c r="M303" s="19"/>
    </row>
    <row r="304" spans="13:13" x14ac:dyDescent="0.2">
      <c r="M304" s="19"/>
    </row>
    <row r="305" spans="13:13" x14ac:dyDescent="0.2">
      <c r="M305" s="19"/>
    </row>
    <row r="306" spans="13:13" x14ac:dyDescent="0.2">
      <c r="M306" s="19"/>
    </row>
    <row r="307" spans="13:13" x14ac:dyDescent="0.2">
      <c r="M307" s="19"/>
    </row>
    <row r="308" spans="13:13" x14ac:dyDescent="0.2">
      <c r="M308" s="19"/>
    </row>
    <row r="309" spans="13:13" x14ac:dyDescent="0.2">
      <c r="M309" s="19"/>
    </row>
    <row r="310" spans="13:13" x14ac:dyDescent="0.2">
      <c r="M310" s="19"/>
    </row>
    <row r="311" spans="13:13" x14ac:dyDescent="0.2">
      <c r="M311" s="19"/>
    </row>
    <row r="312" spans="13:13" x14ac:dyDescent="0.2">
      <c r="M312" s="19"/>
    </row>
    <row r="313" spans="13:13" x14ac:dyDescent="0.2">
      <c r="M313" s="19"/>
    </row>
    <row r="314" spans="13:13" x14ac:dyDescent="0.2">
      <c r="M314" s="19"/>
    </row>
    <row r="315" spans="13:13" x14ac:dyDescent="0.2">
      <c r="M315" s="19"/>
    </row>
    <row r="316" spans="13:13" x14ac:dyDescent="0.2">
      <c r="M316" s="19"/>
    </row>
    <row r="317" spans="13:13" x14ac:dyDescent="0.2">
      <c r="M317" s="19"/>
    </row>
    <row r="318" spans="13:13" x14ac:dyDescent="0.2">
      <c r="M318" s="19"/>
    </row>
    <row r="319" spans="13:13" x14ac:dyDescent="0.2">
      <c r="M319" s="19"/>
    </row>
    <row r="320" spans="13:13" x14ac:dyDescent="0.2">
      <c r="M320" s="19"/>
    </row>
    <row r="321" spans="13:13" x14ac:dyDescent="0.2">
      <c r="M321" s="19"/>
    </row>
    <row r="322" spans="13:13" x14ac:dyDescent="0.2">
      <c r="M322" s="19"/>
    </row>
  </sheetData>
  <phoneticPr fontId="0" type="noConversion"/>
  <printOptions gridLines="1"/>
  <pageMargins left="0.78740157480314965" right="0.78740157480314965" top="0.98425196850393704" bottom="0.98425196850393704" header="0.51181102362204722" footer="0.51181102362204722"/>
  <pageSetup paperSize="9" scale="52" orientation="portrait" verticalDpi="1200" r:id="rId1"/>
  <headerFooter alignWithMargins="0">
    <oddHeader>&amp;L&amp;G&amp;C&amp;A&amp;RLV: Aufwandschätzverfahren für IKT Projekte</oddHeader>
    <oddFooter>&amp;L(c) 2006 DI(FH) Sven Schweiger&amp;R&amp;P / &amp;N</oddFooter>
  </headerFooter>
  <rowBreaks count="1" manualBreakCount="1">
    <brk id="547" max="16383" man="1"/>
  </rowBreaks>
  <ignoredErrors>
    <ignoredError sqref="A17:A18" twoDigitTextYear="1"/>
    <ignoredError sqref="M33" formula="1"/>
  </ignoredErrors>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pageSetUpPr fitToPage="1"/>
  </sheetPr>
  <dimension ref="A1:M314"/>
  <sheetViews>
    <sheetView zoomScale="70" zoomScaleSheetLayoutView="100" workbookViewId="0">
      <selection activeCell="C52" sqref="C52:D62"/>
    </sheetView>
  </sheetViews>
  <sheetFormatPr baseColWidth="10" defaultRowHeight="12.75" x14ac:dyDescent="0.2"/>
  <cols>
    <col min="1" max="1" width="7.28515625" style="11" customWidth="1"/>
    <col min="2" max="2" width="16.7109375" style="3" customWidth="1"/>
    <col min="3" max="3" width="36.140625" style="1" customWidth="1"/>
    <col min="4" max="4" width="27.85546875" style="1" customWidth="1"/>
    <col min="5" max="6" width="11.5703125" style="20" customWidth="1"/>
    <col min="7" max="7" width="12.28515625" style="20" customWidth="1"/>
    <col min="8" max="8" width="41.5703125" style="1" customWidth="1"/>
    <col min="9" max="9" width="10.85546875" style="23" customWidth="1"/>
    <col min="10" max="10" width="10" style="16" customWidth="1"/>
    <col min="11" max="11" width="9.5703125" style="16" customWidth="1"/>
    <col min="12" max="12" width="11" style="19" customWidth="1"/>
    <col min="13" max="13" width="11.5703125" style="15" customWidth="1"/>
    <col min="14" max="14" width="11.42578125" style="1"/>
    <col min="15" max="15" width="40.140625" style="1" customWidth="1"/>
    <col min="16" max="16" width="22.85546875" style="1" customWidth="1"/>
    <col min="17" max="16384" width="11.42578125" style="1"/>
  </cols>
  <sheetData>
    <row r="1" spans="1:13" s="2" customFormat="1" ht="45.75" thickBot="1" x14ac:dyDescent="0.25">
      <c r="A1" s="208" t="s">
        <v>0</v>
      </c>
      <c r="B1" s="209" t="s">
        <v>1</v>
      </c>
      <c r="C1" s="209" t="s">
        <v>2</v>
      </c>
      <c r="D1" s="209" t="s">
        <v>85</v>
      </c>
      <c r="E1" s="210" t="s">
        <v>87</v>
      </c>
      <c r="F1" s="210" t="s">
        <v>95</v>
      </c>
      <c r="G1" s="210" t="s">
        <v>88</v>
      </c>
      <c r="H1" s="211" t="s">
        <v>89</v>
      </c>
      <c r="I1" s="212" t="s">
        <v>90</v>
      </c>
      <c r="J1" s="212" t="s">
        <v>96</v>
      </c>
      <c r="K1" s="212" t="s">
        <v>94</v>
      </c>
      <c r="L1" s="213" t="s">
        <v>97</v>
      </c>
      <c r="M1" s="214" t="s">
        <v>86</v>
      </c>
    </row>
    <row r="2" spans="1:13" s="2" customFormat="1" ht="15.75" thickBot="1" x14ac:dyDescent="0.25">
      <c r="A2" s="215"/>
      <c r="B2" s="216"/>
      <c r="C2" s="216"/>
      <c r="D2" s="216"/>
      <c r="E2" s="217">
        <f>SUM(E3:E9989)</f>
        <v>0</v>
      </c>
      <c r="F2" s="217">
        <f>SUM(F3:F9989)</f>
        <v>0</v>
      </c>
      <c r="G2" s="217">
        <f>SUM(G3:G9989)</f>
        <v>0</v>
      </c>
      <c r="H2" s="216"/>
      <c r="I2" s="218">
        <f>SUM(I3:I9989)</f>
        <v>0</v>
      </c>
      <c r="J2" s="218" t="s">
        <v>477</v>
      </c>
      <c r="K2" s="218"/>
      <c r="L2" s="219">
        <f ca="1">M2^(1/2)</f>
        <v>0</v>
      </c>
      <c r="M2" s="219">
        <f ca="1">SUM(M3:M9989)</f>
        <v>0</v>
      </c>
    </row>
    <row r="3" spans="1:13" ht="32.25" customHeight="1" x14ac:dyDescent="0.2">
      <c r="A3" s="10" t="s">
        <v>119</v>
      </c>
      <c r="B3" s="6" t="s">
        <v>132</v>
      </c>
      <c r="I3" s="227">
        <f t="shared" ref="I3:I35" si="0">(E3+(4*F3)+G3)/6</f>
        <v>0</v>
      </c>
      <c r="J3" s="16">
        <v>99.73</v>
      </c>
      <c r="K3" s="225">
        <f t="array" aca="1" ref="K3" ca="1">INDIRECT(ADDRESS(ROW(Proz)+MATCH(MIN(ABS(J3-Proz)),ABS(J3-Proz),0)-1,COLUMN(Proz)+1))</f>
        <v>6</v>
      </c>
      <c r="L3" s="228">
        <f t="shared" ref="L3:L9" ca="1" si="1">(G3-E3)/K3</f>
        <v>0</v>
      </c>
      <c r="M3" s="228">
        <f t="shared" ref="M3:M34" ca="1" si="2">L3^2</f>
        <v>0</v>
      </c>
    </row>
    <row r="4" spans="1:13" x14ac:dyDescent="0.2">
      <c r="A4" s="12" t="s">
        <v>120</v>
      </c>
      <c r="B4" s="6"/>
      <c r="C4" s="1" t="s">
        <v>13</v>
      </c>
      <c r="I4" s="227">
        <f t="shared" si="0"/>
        <v>0</v>
      </c>
      <c r="J4" s="16">
        <v>99.73</v>
      </c>
      <c r="K4" s="225">
        <f t="array" aca="1" ref="K4" ca="1">INDIRECT(ADDRESS(ROW(Proz)+MATCH(MIN(ABS(J4-Proz)),ABS(J4-Proz),0)-1,COLUMN(Proz)+1))</f>
        <v>6</v>
      </c>
      <c r="L4" s="228">
        <f t="shared" ca="1" si="1"/>
        <v>0</v>
      </c>
      <c r="M4" s="228">
        <f t="shared" ca="1" si="2"/>
        <v>0</v>
      </c>
    </row>
    <row r="5" spans="1:13" x14ac:dyDescent="0.2">
      <c r="A5" s="12" t="s">
        <v>121</v>
      </c>
      <c r="B5" s="6"/>
      <c r="C5" s="1" t="s">
        <v>14</v>
      </c>
      <c r="I5" s="227">
        <f t="shared" si="0"/>
        <v>0</v>
      </c>
      <c r="J5" s="16">
        <v>99.73</v>
      </c>
      <c r="K5" s="225">
        <f t="array" aca="1" ref="K5" ca="1">INDIRECT(ADDRESS(ROW(Proz)+MATCH(MIN(ABS(J5-Proz)),ABS(J5-Proz),0)-1,COLUMN(Proz)+1))</f>
        <v>6</v>
      </c>
      <c r="L5" s="228">
        <f t="shared" ca="1" si="1"/>
        <v>0</v>
      </c>
      <c r="M5" s="228">
        <f t="shared" ca="1" si="2"/>
        <v>0</v>
      </c>
    </row>
    <row r="6" spans="1:13" x14ac:dyDescent="0.2">
      <c r="A6" s="12" t="s">
        <v>122</v>
      </c>
      <c r="B6" s="1"/>
      <c r="C6" s="1" t="s">
        <v>16</v>
      </c>
      <c r="I6" s="227">
        <f>(E6+(4*F6)+G6)/6</f>
        <v>0</v>
      </c>
      <c r="J6" s="16">
        <v>99.73</v>
      </c>
      <c r="K6" s="225">
        <f t="array" aca="1" ref="K6" ca="1">INDIRECT(ADDRESS(ROW(Proz)+MATCH(MIN(ABS(J6-Proz)),ABS(J6-Proz),0)-1,COLUMN(Proz)+1))</f>
        <v>6</v>
      </c>
      <c r="L6" s="228">
        <f t="shared" ca="1" si="1"/>
        <v>0</v>
      </c>
      <c r="M6" s="228">
        <f t="shared" ca="1" si="2"/>
        <v>0</v>
      </c>
    </row>
    <row r="7" spans="1:13" x14ac:dyDescent="0.2">
      <c r="A7" s="12" t="s">
        <v>123</v>
      </c>
      <c r="B7" s="6"/>
      <c r="C7" s="1" t="s">
        <v>17</v>
      </c>
      <c r="I7" s="227">
        <f t="shared" si="0"/>
        <v>0</v>
      </c>
      <c r="J7" s="16">
        <v>99.73</v>
      </c>
      <c r="K7" s="225">
        <f t="array" aca="1" ref="K7" ca="1">INDIRECT(ADDRESS(ROW(Proz)+MATCH(MIN(ABS(J7-Proz)),ABS(J7-Proz),0)-1,COLUMN(Proz)+1))</f>
        <v>6</v>
      </c>
      <c r="L7" s="228">
        <f t="shared" ca="1" si="1"/>
        <v>0</v>
      </c>
      <c r="M7" s="228">
        <f t="shared" ca="1" si="2"/>
        <v>0</v>
      </c>
    </row>
    <row r="8" spans="1:13" x14ac:dyDescent="0.2">
      <c r="A8" s="12" t="s">
        <v>124</v>
      </c>
      <c r="B8" s="6"/>
      <c r="C8" s="1" t="s">
        <v>15</v>
      </c>
      <c r="I8" s="227">
        <f t="shared" si="0"/>
        <v>0</v>
      </c>
      <c r="J8" s="16">
        <v>99.73</v>
      </c>
      <c r="K8" s="225">
        <f t="array" aca="1" ref="K8" ca="1">INDIRECT(ADDRESS(ROW(Proz)+MATCH(MIN(ABS(J8-Proz)),ABS(J8-Proz),0)-1,COLUMN(Proz)+1))</f>
        <v>6</v>
      </c>
      <c r="L8" s="228">
        <f t="shared" ca="1" si="1"/>
        <v>0</v>
      </c>
      <c r="M8" s="228">
        <f t="shared" ca="1" si="2"/>
        <v>0</v>
      </c>
    </row>
    <row r="9" spans="1:13" x14ac:dyDescent="0.2">
      <c r="A9" s="12" t="s">
        <v>125</v>
      </c>
      <c r="B9" s="6"/>
      <c r="C9" s="1" t="s">
        <v>18</v>
      </c>
      <c r="I9" s="227">
        <f t="shared" si="0"/>
        <v>0</v>
      </c>
      <c r="J9" s="16">
        <v>99.73</v>
      </c>
      <c r="K9" s="225">
        <f t="array" aca="1" ref="K9" ca="1">INDIRECT(ADDRESS(ROW(Proz)+MATCH(MIN(ABS(J9-Proz)),ABS(J9-Proz),0)-1,COLUMN(Proz)+1))</f>
        <v>6</v>
      </c>
      <c r="L9" s="228">
        <f t="shared" ca="1" si="1"/>
        <v>0</v>
      </c>
      <c r="M9" s="228">
        <f t="shared" ca="1" si="2"/>
        <v>0</v>
      </c>
    </row>
    <row r="10" spans="1:13" x14ac:dyDescent="0.2">
      <c r="A10" s="12" t="s">
        <v>206</v>
      </c>
      <c r="B10" s="6"/>
      <c r="C10" s="1" t="s">
        <v>201</v>
      </c>
      <c r="I10" s="227">
        <f t="shared" si="0"/>
        <v>0</v>
      </c>
      <c r="J10" s="16">
        <v>99.73</v>
      </c>
      <c r="K10" s="225">
        <f t="array" aca="1" ref="K10" ca="1">INDIRECT(ADDRESS(ROW(Proz)+MATCH(MIN(ABS(J10-Proz)),ABS(J10-Proz),0)-1,COLUMN(Proz)+1))</f>
        <v>6</v>
      </c>
      <c r="L10" s="228">
        <f t="shared" ref="L10:L34" ca="1" si="3">(G10-E10)/K10</f>
        <v>0</v>
      </c>
      <c r="M10" s="228">
        <f t="shared" ca="1" si="2"/>
        <v>0</v>
      </c>
    </row>
    <row r="11" spans="1:13" x14ac:dyDescent="0.2">
      <c r="A11" s="12"/>
      <c r="B11" s="6"/>
      <c r="I11" s="227">
        <f t="shared" si="0"/>
        <v>0</v>
      </c>
      <c r="J11" s="16">
        <v>99.73</v>
      </c>
      <c r="K11" s="225">
        <f t="array" aca="1" ref="K11" ca="1">INDIRECT(ADDRESS(ROW(Proz)+MATCH(MIN(ABS(J11-Proz)),ABS(J11-Proz),0)-1,COLUMN(Proz)+1))</f>
        <v>6</v>
      </c>
      <c r="L11" s="228">
        <f t="shared" ca="1" si="3"/>
        <v>0</v>
      </c>
      <c r="M11" s="228">
        <f t="shared" ca="1" si="2"/>
        <v>0</v>
      </c>
    </row>
    <row r="12" spans="1:13" ht="31.5" customHeight="1" x14ac:dyDescent="0.2">
      <c r="A12" s="10" t="s">
        <v>126</v>
      </c>
      <c r="B12" s="6" t="s">
        <v>133</v>
      </c>
      <c r="I12" s="227">
        <f t="shared" si="0"/>
        <v>0</v>
      </c>
      <c r="J12" s="16">
        <v>99.73</v>
      </c>
      <c r="K12" s="225">
        <f t="array" aca="1" ref="K12" ca="1">INDIRECT(ADDRESS(ROW(Proz)+MATCH(MIN(ABS(J12-Proz)),ABS(J12-Proz),0)-1,COLUMN(Proz)+1))</f>
        <v>6</v>
      </c>
      <c r="L12" s="228">
        <f t="shared" ca="1" si="3"/>
        <v>0</v>
      </c>
      <c r="M12" s="228">
        <f t="shared" ca="1" si="2"/>
        <v>0</v>
      </c>
    </row>
    <row r="13" spans="1:13" x14ac:dyDescent="0.2">
      <c r="A13" s="12" t="s">
        <v>127</v>
      </c>
      <c r="B13" s="6"/>
      <c r="C13" s="1" t="s">
        <v>65</v>
      </c>
      <c r="I13" s="227">
        <f t="shared" si="0"/>
        <v>0</v>
      </c>
      <c r="J13" s="16">
        <v>99.73</v>
      </c>
      <c r="K13" s="225">
        <f t="array" aca="1" ref="K13" ca="1">INDIRECT(ADDRESS(ROW(Proz)+MATCH(MIN(ABS(J13-Proz)),ABS(J13-Proz),0)-1,COLUMN(Proz)+1))</f>
        <v>6</v>
      </c>
      <c r="L13" s="228">
        <f t="shared" ca="1" si="3"/>
        <v>0</v>
      </c>
      <c r="M13" s="228">
        <f t="shared" ca="1" si="2"/>
        <v>0</v>
      </c>
    </row>
    <row r="14" spans="1:13" x14ac:dyDescent="0.2">
      <c r="A14" s="12" t="s">
        <v>128</v>
      </c>
      <c r="B14" s="6"/>
      <c r="C14" s="1" t="s">
        <v>64</v>
      </c>
      <c r="I14" s="227">
        <f t="shared" si="0"/>
        <v>0</v>
      </c>
      <c r="J14" s="16">
        <v>99.73</v>
      </c>
      <c r="K14" s="225">
        <f t="array" aca="1" ref="K14" ca="1">INDIRECT(ADDRESS(ROW(Proz)+MATCH(MIN(ABS(J14-Proz)),ABS(J14-Proz),0)-1,COLUMN(Proz)+1))</f>
        <v>6</v>
      </c>
      <c r="L14" s="228">
        <f t="shared" ca="1" si="3"/>
        <v>0</v>
      </c>
      <c r="M14" s="228">
        <f t="shared" ca="1" si="2"/>
        <v>0</v>
      </c>
    </row>
    <row r="15" spans="1:13" x14ac:dyDescent="0.2">
      <c r="A15" s="12" t="s">
        <v>203</v>
      </c>
      <c r="B15" s="6"/>
      <c r="C15" s="1" t="s">
        <v>66</v>
      </c>
      <c r="I15" s="227">
        <f t="shared" si="0"/>
        <v>0</v>
      </c>
      <c r="J15" s="16">
        <v>99.73</v>
      </c>
      <c r="K15" s="225">
        <f t="array" aca="1" ref="K15" ca="1">INDIRECT(ADDRESS(ROW(Proz)+MATCH(MIN(ABS(J15-Proz)),ABS(J15-Proz),0)-1,COLUMN(Proz)+1))</f>
        <v>6</v>
      </c>
      <c r="L15" s="228">
        <f t="shared" ca="1" si="3"/>
        <v>0</v>
      </c>
      <c r="M15" s="228">
        <f t="shared" ca="1" si="2"/>
        <v>0</v>
      </c>
    </row>
    <row r="16" spans="1:13" ht="15" customHeight="1" x14ac:dyDescent="0.2">
      <c r="A16" s="12" t="s">
        <v>204</v>
      </c>
      <c r="B16" s="6"/>
      <c r="C16" s="1" t="s">
        <v>118</v>
      </c>
      <c r="I16" s="227">
        <f t="shared" si="0"/>
        <v>0</v>
      </c>
      <c r="J16" s="16">
        <v>99.73</v>
      </c>
      <c r="K16" s="225">
        <f t="array" aca="1" ref="K16" ca="1">INDIRECT(ADDRESS(ROW(Proz)+MATCH(MIN(ABS(J16-Proz)),ABS(J16-Proz),0)-1,COLUMN(Proz)+1))</f>
        <v>6</v>
      </c>
      <c r="L16" s="228">
        <f t="shared" ca="1" si="3"/>
        <v>0</v>
      </c>
      <c r="M16" s="228">
        <f t="shared" ca="1" si="2"/>
        <v>0</v>
      </c>
    </row>
    <row r="17" spans="1:13" ht="15" customHeight="1" x14ac:dyDescent="0.2">
      <c r="A17" s="12" t="s">
        <v>205</v>
      </c>
      <c r="B17" s="6"/>
      <c r="C17" s="1" t="s">
        <v>201</v>
      </c>
      <c r="I17" s="227">
        <f t="shared" si="0"/>
        <v>0</v>
      </c>
      <c r="J17" s="16">
        <v>99.73</v>
      </c>
      <c r="K17" s="225">
        <f t="array" aca="1" ref="K17" ca="1">INDIRECT(ADDRESS(ROW(Proz)+MATCH(MIN(ABS(J17-Proz)),ABS(J17-Proz),0)-1,COLUMN(Proz)+1))</f>
        <v>6</v>
      </c>
      <c r="L17" s="228">
        <f t="shared" ca="1" si="3"/>
        <v>0</v>
      </c>
      <c r="M17" s="228">
        <f t="shared" ca="1" si="2"/>
        <v>0</v>
      </c>
    </row>
    <row r="18" spans="1:13" x14ac:dyDescent="0.2">
      <c r="A18" s="12"/>
      <c r="B18" s="6"/>
      <c r="I18" s="227">
        <f t="shared" si="0"/>
        <v>0</v>
      </c>
      <c r="J18" s="16">
        <v>99.73</v>
      </c>
      <c r="K18" s="225">
        <f t="array" aca="1" ref="K18" ca="1">INDIRECT(ADDRESS(ROW(Proz)+MATCH(MIN(ABS(J18-Proz)),ABS(J18-Proz),0)-1,COLUMN(Proz)+1))</f>
        <v>6</v>
      </c>
      <c r="L18" s="228">
        <f t="shared" ca="1" si="3"/>
        <v>0</v>
      </c>
      <c r="M18" s="228">
        <f t="shared" ca="1" si="2"/>
        <v>0</v>
      </c>
    </row>
    <row r="19" spans="1:13" x14ac:dyDescent="0.2">
      <c r="A19" s="10" t="s">
        <v>129</v>
      </c>
      <c r="B19" s="6" t="s">
        <v>91</v>
      </c>
      <c r="I19" s="227">
        <f t="shared" si="0"/>
        <v>0</v>
      </c>
      <c r="J19" s="16">
        <v>99.73</v>
      </c>
      <c r="K19" s="225">
        <f t="array" aca="1" ref="K19" ca="1">INDIRECT(ADDRESS(ROW(Proz)+MATCH(MIN(ABS(J19-Proz)),ABS(J19-Proz),0)-1,COLUMN(Proz)+1))</f>
        <v>6</v>
      </c>
      <c r="L19" s="228">
        <f t="shared" ca="1" si="3"/>
        <v>0</v>
      </c>
      <c r="M19" s="228">
        <f t="shared" ca="1" si="2"/>
        <v>0</v>
      </c>
    </row>
    <row r="20" spans="1:13" x14ac:dyDescent="0.2">
      <c r="B20" s="6"/>
      <c r="C20" s="1" t="s">
        <v>11</v>
      </c>
      <c r="I20" s="227">
        <f t="shared" si="0"/>
        <v>0</v>
      </c>
      <c r="J20" s="16">
        <v>99.73</v>
      </c>
      <c r="K20" s="225">
        <f t="array" aca="1" ref="K20" ca="1">INDIRECT(ADDRESS(ROW(Proz)+MATCH(MIN(ABS(J20-Proz)),ABS(J20-Proz),0)-1,COLUMN(Proz)+1))</f>
        <v>6</v>
      </c>
      <c r="L20" s="228">
        <f t="shared" ca="1" si="3"/>
        <v>0</v>
      </c>
      <c r="M20" s="228">
        <f t="shared" ca="1" si="2"/>
        <v>0</v>
      </c>
    </row>
    <row r="21" spans="1:13" x14ac:dyDescent="0.2">
      <c r="B21" s="6"/>
      <c r="C21" s="1" t="s">
        <v>12</v>
      </c>
      <c r="I21" s="227">
        <f t="shared" si="0"/>
        <v>0</v>
      </c>
      <c r="J21" s="16">
        <v>99.73</v>
      </c>
      <c r="K21" s="225">
        <f t="array" aca="1" ref="K21" ca="1">INDIRECT(ADDRESS(ROW(Proz)+MATCH(MIN(ABS(J21-Proz)),ABS(J21-Proz),0)-1,COLUMN(Proz)+1))</f>
        <v>6</v>
      </c>
      <c r="L21" s="228">
        <f t="shared" ca="1" si="3"/>
        <v>0</v>
      </c>
      <c r="M21" s="228">
        <f t="shared" ca="1" si="2"/>
        <v>0</v>
      </c>
    </row>
    <row r="22" spans="1:13" x14ac:dyDescent="0.2">
      <c r="B22" s="6"/>
      <c r="I22" s="227">
        <f t="shared" si="0"/>
        <v>0</v>
      </c>
      <c r="J22" s="16">
        <v>99.73</v>
      </c>
      <c r="K22" s="225">
        <f t="array" aca="1" ref="K22" ca="1">INDIRECT(ADDRESS(ROW(Proz)+MATCH(MIN(ABS(J22-Proz)),ABS(J22-Proz),0)-1,COLUMN(Proz)+1))</f>
        <v>6</v>
      </c>
      <c r="L22" s="228">
        <f t="shared" ca="1" si="3"/>
        <v>0</v>
      </c>
      <c r="M22" s="228">
        <f t="shared" ca="1" si="2"/>
        <v>0</v>
      </c>
    </row>
    <row r="23" spans="1:13" x14ac:dyDescent="0.2">
      <c r="A23" s="10" t="s">
        <v>130</v>
      </c>
      <c r="B23" s="6" t="s">
        <v>67</v>
      </c>
      <c r="I23" s="227">
        <f t="shared" si="0"/>
        <v>0</v>
      </c>
      <c r="J23" s="16">
        <v>99.73</v>
      </c>
      <c r="K23" s="225">
        <f t="array" aca="1" ref="K23" ca="1">INDIRECT(ADDRESS(ROW(Proz)+MATCH(MIN(ABS(J23-Proz)),ABS(J23-Proz),0)-1,COLUMN(Proz)+1))</f>
        <v>6</v>
      </c>
      <c r="L23" s="228">
        <f t="shared" ca="1" si="3"/>
        <v>0</v>
      </c>
      <c r="M23" s="228">
        <f t="shared" ca="1" si="2"/>
        <v>0</v>
      </c>
    </row>
    <row r="24" spans="1:13" x14ac:dyDescent="0.2">
      <c r="A24" s="12" t="s">
        <v>131</v>
      </c>
      <c r="B24" s="6"/>
      <c r="C24" s="1" t="s">
        <v>68</v>
      </c>
      <c r="E24" s="17"/>
      <c r="I24" s="227">
        <f t="shared" si="0"/>
        <v>0</v>
      </c>
      <c r="J24" s="16">
        <v>99.73</v>
      </c>
      <c r="K24" s="225">
        <f t="array" aca="1" ref="K24" ca="1">INDIRECT(ADDRESS(ROW(Proz)+MATCH(MIN(ABS(J24-Proz)),ABS(J24-Proz),0)-1,COLUMN(Proz)+1))</f>
        <v>6</v>
      </c>
      <c r="L24" s="228">
        <f t="shared" ca="1" si="3"/>
        <v>0</v>
      </c>
      <c r="M24" s="228">
        <f t="shared" ca="1" si="2"/>
        <v>0</v>
      </c>
    </row>
    <row r="25" spans="1:13" x14ac:dyDescent="0.2">
      <c r="A25" s="12" t="s">
        <v>135</v>
      </c>
      <c r="B25" s="6"/>
      <c r="C25" s="1" t="s">
        <v>69</v>
      </c>
      <c r="E25" s="17"/>
      <c r="I25" s="227">
        <f t="shared" si="0"/>
        <v>0</v>
      </c>
      <c r="J25" s="16">
        <v>99.73</v>
      </c>
      <c r="K25" s="225">
        <f t="array" aca="1" ref="K25" ca="1">INDIRECT(ADDRESS(ROW(Proz)+MATCH(MIN(ABS(J25-Proz)),ABS(J25-Proz),0)-1,COLUMN(Proz)+1))</f>
        <v>6</v>
      </c>
      <c r="L25" s="228">
        <f t="shared" ca="1" si="3"/>
        <v>0</v>
      </c>
      <c r="M25" s="228">
        <f t="shared" ca="1" si="2"/>
        <v>0</v>
      </c>
    </row>
    <row r="26" spans="1:13" x14ac:dyDescent="0.2">
      <c r="A26" s="12" t="s">
        <v>136</v>
      </c>
      <c r="B26" s="6"/>
      <c r="C26" s="1" t="s">
        <v>70</v>
      </c>
      <c r="I26" s="227">
        <f t="shared" si="0"/>
        <v>0</v>
      </c>
      <c r="J26" s="16">
        <v>99.73</v>
      </c>
      <c r="K26" s="225">
        <f t="array" aca="1" ref="K26" ca="1">INDIRECT(ADDRESS(ROW(Proz)+MATCH(MIN(ABS(J26-Proz)),ABS(J26-Proz),0)-1,COLUMN(Proz)+1))</f>
        <v>6</v>
      </c>
      <c r="L26" s="228">
        <f t="shared" ca="1" si="3"/>
        <v>0</v>
      </c>
      <c r="M26" s="228">
        <f t="shared" ca="1" si="2"/>
        <v>0</v>
      </c>
    </row>
    <row r="27" spans="1:13" ht="25.5" x14ac:dyDescent="0.2">
      <c r="A27" s="12" t="s">
        <v>137</v>
      </c>
      <c r="B27" s="6"/>
      <c r="C27" s="1" t="s">
        <v>71</v>
      </c>
      <c r="E27" s="21"/>
      <c r="I27" s="227">
        <f t="shared" si="0"/>
        <v>0</v>
      </c>
      <c r="J27" s="16">
        <v>99.73</v>
      </c>
      <c r="K27" s="225">
        <f t="array" aca="1" ref="K27" ca="1">INDIRECT(ADDRESS(ROW(Proz)+MATCH(MIN(ABS(J27-Proz)),ABS(J27-Proz),0)-1,COLUMN(Proz)+1))</f>
        <v>6</v>
      </c>
      <c r="L27" s="228">
        <f t="shared" ca="1" si="3"/>
        <v>0</v>
      </c>
      <c r="M27" s="228">
        <f t="shared" ca="1" si="2"/>
        <v>0</v>
      </c>
    </row>
    <row r="28" spans="1:13" ht="15" x14ac:dyDescent="0.2">
      <c r="A28" s="12" t="s">
        <v>138</v>
      </c>
      <c r="B28" s="6"/>
      <c r="C28" s="1" t="s">
        <v>72</v>
      </c>
      <c r="E28" s="21"/>
      <c r="I28" s="227">
        <f t="shared" si="0"/>
        <v>0</v>
      </c>
      <c r="J28" s="16">
        <v>99.73</v>
      </c>
      <c r="K28" s="225">
        <f t="array" aca="1" ref="K28" ca="1">INDIRECT(ADDRESS(ROW(Proz)+MATCH(MIN(ABS(J28-Proz)),ABS(J28-Proz),0)-1,COLUMN(Proz)+1))</f>
        <v>6</v>
      </c>
      <c r="L28" s="228">
        <f t="shared" ca="1" si="3"/>
        <v>0</v>
      </c>
      <c r="M28" s="228">
        <f t="shared" ca="1" si="2"/>
        <v>0</v>
      </c>
    </row>
    <row r="29" spans="1:13" ht="15" x14ac:dyDescent="0.2">
      <c r="A29" s="12" t="s">
        <v>202</v>
      </c>
      <c r="B29" s="6"/>
      <c r="C29" s="1" t="s">
        <v>201</v>
      </c>
      <c r="E29" s="21"/>
      <c r="I29" s="227">
        <f t="shared" si="0"/>
        <v>0</v>
      </c>
      <c r="J29" s="16">
        <v>99.73</v>
      </c>
      <c r="K29" s="225">
        <f t="array" aca="1" ref="K29" ca="1">INDIRECT(ADDRESS(ROW(Proz)+MATCH(MIN(ABS(J29-Proz)),ABS(J29-Proz),0)-1,COLUMN(Proz)+1))</f>
        <v>6</v>
      </c>
      <c r="L29" s="228">
        <f t="shared" ca="1" si="3"/>
        <v>0</v>
      </c>
      <c r="M29" s="228">
        <f t="shared" ca="1" si="2"/>
        <v>0</v>
      </c>
    </row>
    <row r="30" spans="1:13" x14ac:dyDescent="0.2">
      <c r="B30" s="6"/>
      <c r="I30" s="227">
        <f t="shared" si="0"/>
        <v>0</v>
      </c>
      <c r="J30" s="16">
        <v>99.73</v>
      </c>
      <c r="K30" s="225">
        <f t="array" aca="1" ref="K30" ca="1">INDIRECT(ADDRESS(ROW(Proz)+MATCH(MIN(ABS(J30-Proz)),ABS(J30-Proz),0)-1,COLUMN(Proz)+1))</f>
        <v>6</v>
      </c>
      <c r="L30" s="228">
        <f t="shared" ca="1" si="3"/>
        <v>0</v>
      </c>
      <c r="M30" s="228">
        <f t="shared" ca="1" si="2"/>
        <v>0</v>
      </c>
    </row>
    <row r="31" spans="1:13" ht="42.75" customHeight="1" x14ac:dyDescent="0.2">
      <c r="A31" s="10" t="s">
        <v>139</v>
      </c>
      <c r="B31" s="6" t="s">
        <v>134</v>
      </c>
      <c r="I31" s="227">
        <f t="shared" si="0"/>
        <v>0</v>
      </c>
      <c r="J31" s="16">
        <v>99.73</v>
      </c>
      <c r="K31" s="225">
        <f t="array" aca="1" ref="K31" ca="1">INDIRECT(ADDRESS(ROW(Proz)+MATCH(MIN(ABS(J31-Proz)),ABS(J31-Proz),0)-1,COLUMN(Proz)+1))</f>
        <v>6</v>
      </c>
      <c r="L31" s="228">
        <f t="shared" ca="1" si="3"/>
        <v>0</v>
      </c>
      <c r="M31" s="228">
        <f t="shared" ca="1" si="2"/>
        <v>0</v>
      </c>
    </row>
    <row r="32" spans="1:13" x14ac:dyDescent="0.2">
      <c r="B32" s="6"/>
      <c r="I32" s="227">
        <f t="shared" si="0"/>
        <v>0</v>
      </c>
      <c r="J32" s="16">
        <v>99.73</v>
      </c>
      <c r="K32" s="225">
        <f t="array" aca="1" ref="K32" ca="1">INDIRECT(ADDRESS(ROW(Proz)+MATCH(MIN(ABS(J32-Proz)),ABS(J32-Proz),0)-1,COLUMN(Proz)+1))</f>
        <v>6</v>
      </c>
      <c r="L32" s="228">
        <f t="shared" ca="1" si="3"/>
        <v>0</v>
      </c>
      <c r="M32" s="228">
        <f t="shared" ca="1" si="2"/>
        <v>0</v>
      </c>
    </row>
    <row r="33" spans="1:13" x14ac:dyDescent="0.2">
      <c r="A33" s="12"/>
      <c r="B33" s="6"/>
      <c r="I33" s="227">
        <f t="shared" si="0"/>
        <v>0</v>
      </c>
      <c r="J33" s="16">
        <v>99.73</v>
      </c>
      <c r="K33" s="225">
        <f t="array" aca="1" ref="K33" ca="1">INDIRECT(ADDRESS(ROW(Proz)+MATCH(MIN(ABS(J33-Proz)),ABS(J33-Proz),0)-1,COLUMN(Proz)+1))</f>
        <v>6</v>
      </c>
      <c r="L33" s="228">
        <f t="shared" ca="1" si="3"/>
        <v>0</v>
      </c>
      <c r="M33" s="228">
        <f t="shared" ca="1" si="2"/>
        <v>0</v>
      </c>
    </row>
    <row r="34" spans="1:13" x14ac:dyDescent="0.2">
      <c r="A34" s="12"/>
      <c r="B34" s="6"/>
      <c r="I34" s="227">
        <f t="shared" si="0"/>
        <v>0</v>
      </c>
      <c r="J34" s="16">
        <v>99.73</v>
      </c>
      <c r="K34" s="225">
        <f t="array" aca="1" ref="K34" ca="1">INDIRECT(ADDRESS(ROW(Proz)+MATCH(MIN(ABS(J34-Proz)),ABS(J34-Proz),0)-1,COLUMN(Proz)+1))</f>
        <v>6</v>
      </c>
      <c r="L34" s="228">
        <f t="shared" ca="1" si="3"/>
        <v>0</v>
      </c>
      <c r="M34" s="228">
        <f t="shared" ca="1" si="2"/>
        <v>0</v>
      </c>
    </row>
    <row r="35" spans="1:13" x14ac:dyDescent="0.2">
      <c r="A35" s="12"/>
      <c r="B35" s="6"/>
      <c r="I35" s="227">
        <f t="shared" si="0"/>
        <v>0</v>
      </c>
      <c r="J35" s="16">
        <v>99.73</v>
      </c>
      <c r="K35" s="225">
        <f t="array" aca="1" ref="K35" ca="1">INDIRECT(ADDRESS(ROW(Proz)+MATCH(MIN(ABS(J35-Proz)),ABS(J35-Proz),0)-1,COLUMN(Proz)+1))</f>
        <v>6</v>
      </c>
      <c r="L35" s="228">
        <f t="shared" ref="L35:L51" ca="1" si="4">(G35-E35)/K35</f>
        <v>0</v>
      </c>
      <c r="M35" s="228">
        <f t="shared" ref="M35:M51" ca="1" si="5">L35^2</f>
        <v>0</v>
      </c>
    </row>
    <row r="36" spans="1:13" x14ac:dyDescent="0.2">
      <c r="A36" s="12"/>
      <c r="B36" s="6"/>
      <c r="I36" s="227">
        <f t="shared" ref="I36:I51" si="6">(E36+(4*F36)+G36)/6</f>
        <v>0</v>
      </c>
      <c r="J36" s="16">
        <v>99.73</v>
      </c>
      <c r="K36" s="225">
        <f t="array" aca="1" ref="K36" ca="1">INDIRECT(ADDRESS(ROW(Proz)+MATCH(MIN(ABS(J36-Proz)),ABS(J36-Proz),0)-1,COLUMN(Proz)+1))</f>
        <v>6</v>
      </c>
      <c r="L36" s="228">
        <f t="shared" ca="1" si="4"/>
        <v>0</v>
      </c>
      <c r="M36" s="228">
        <f t="shared" ca="1" si="5"/>
        <v>0</v>
      </c>
    </row>
    <row r="37" spans="1:13" x14ac:dyDescent="0.2">
      <c r="B37" s="6"/>
      <c r="I37" s="227">
        <f t="shared" si="6"/>
        <v>0</v>
      </c>
      <c r="J37" s="16">
        <v>99.73</v>
      </c>
      <c r="K37" s="225">
        <f t="array" aca="1" ref="K37" ca="1">INDIRECT(ADDRESS(ROW(Proz)+MATCH(MIN(ABS(J37-Proz)),ABS(J37-Proz),0)-1,COLUMN(Proz)+1))</f>
        <v>6</v>
      </c>
      <c r="L37" s="228">
        <f t="shared" ca="1" si="4"/>
        <v>0</v>
      </c>
      <c r="M37" s="228">
        <f t="shared" ca="1" si="5"/>
        <v>0</v>
      </c>
    </row>
    <row r="38" spans="1:13" x14ac:dyDescent="0.2">
      <c r="A38" s="10"/>
      <c r="B38" s="6"/>
      <c r="I38" s="227">
        <f t="shared" si="6"/>
        <v>0</v>
      </c>
      <c r="J38" s="16">
        <v>99.73</v>
      </c>
      <c r="K38" s="225">
        <f t="array" aca="1" ref="K38" ca="1">INDIRECT(ADDRESS(ROW(Proz)+MATCH(MIN(ABS(J38-Proz)),ABS(J38-Proz),0)-1,COLUMN(Proz)+1))</f>
        <v>6</v>
      </c>
      <c r="L38" s="228">
        <f t="shared" ca="1" si="4"/>
        <v>0</v>
      </c>
      <c r="M38" s="228">
        <f t="shared" ca="1" si="5"/>
        <v>0</v>
      </c>
    </row>
    <row r="39" spans="1:13" x14ac:dyDescent="0.2">
      <c r="A39" s="12"/>
      <c r="B39" s="6"/>
      <c r="I39" s="227">
        <f t="shared" si="6"/>
        <v>0</v>
      </c>
      <c r="J39" s="16">
        <v>99.73</v>
      </c>
      <c r="K39" s="225">
        <f t="array" aca="1" ref="K39" ca="1">INDIRECT(ADDRESS(ROW(Proz)+MATCH(MIN(ABS(J39-Proz)),ABS(J39-Proz),0)-1,COLUMN(Proz)+1))</f>
        <v>6</v>
      </c>
      <c r="L39" s="228">
        <f t="shared" ca="1" si="4"/>
        <v>0</v>
      </c>
      <c r="M39" s="228">
        <f t="shared" ca="1" si="5"/>
        <v>0</v>
      </c>
    </row>
    <row r="40" spans="1:13" x14ac:dyDescent="0.2">
      <c r="A40" s="12"/>
      <c r="B40" s="6"/>
      <c r="I40" s="227">
        <f t="shared" si="6"/>
        <v>0</v>
      </c>
      <c r="J40" s="16">
        <v>99.73</v>
      </c>
      <c r="K40" s="225">
        <f t="array" aca="1" ref="K40" ca="1">INDIRECT(ADDRESS(ROW(Proz)+MATCH(MIN(ABS(J40-Proz)),ABS(J40-Proz),0)-1,COLUMN(Proz)+1))</f>
        <v>6</v>
      </c>
      <c r="L40" s="228">
        <f t="shared" ca="1" si="4"/>
        <v>0</v>
      </c>
      <c r="M40" s="228">
        <f t="shared" ca="1" si="5"/>
        <v>0</v>
      </c>
    </row>
    <row r="41" spans="1:13" x14ac:dyDescent="0.2">
      <c r="A41" s="12"/>
      <c r="B41" s="6"/>
      <c r="I41" s="227">
        <f t="shared" si="6"/>
        <v>0</v>
      </c>
      <c r="J41" s="16">
        <v>99.73</v>
      </c>
      <c r="K41" s="225">
        <f t="array" aca="1" ref="K41" ca="1">INDIRECT(ADDRESS(ROW(Proz)+MATCH(MIN(ABS(J41-Proz)),ABS(J41-Proz),0)-1,COLUMN(Proz)+1))</f>
        <v>6</v>
      </c>
      <c r="L41" s="228">
        <f t="shared" ca="1" si="4"/>
        <v>0</v>
      </c>
      <c r="M41" s="228">
        <f t="shared" ca="1" si="5"/>
        <v>0</v>
      </c>
    </row>
    <row r="42" spans="1:13" x14ac:dyDescent="0.2">
      <c r="A42" s="12"/>
      <c r="B42" s="6"/>
      <c r="I42" s="227">
        <f t="shared" si="6"/>
        <v>0</v>
      </c>
      <c r="J42" s="16">
        <v>99.73</v>
      </c>
      <c r="K42" s="225">
        <f t="array" aca="1" ref="K42" ca="1">INDIRECT(ADDRESS(ROW(Proz)+MATCH(MIN(ABS(J42-Proz)),ABS(J42-Proz),0)-1,COLUMN(Proz)+1))</f>
        <v>6</v>
      </c>
      <c r="L42" s="228">
        <f t="shared" ca="1" si="4"/>
        <v>0</v>
      </c>
      <c r="M42" s="228">
        <f t="shared" ca="1" si="5"/>
        <v>0</v>
      </c>
    </row>
    <row r="43" spans="1:13" x14ac:dyDescent="0.2">
      <c r="I43" s="227">
        <f t="shared" si="6"/>
        <v>0</v>
      </c>
      <c r="J43" s="16">
        <v>99.73</v>
      </c>
      <c r="K43" s="225">
        <f t="array" aca="1" ref="K43" ca="1">INDIRECT(ADDRESS(ROW(Proz)+MATCH(MIN(ABS(J43-Proz)),ABS(J43-Proz),0)-1,COLUMN(Proz)+1))</f>
        <v>6</v>
      </c>
      <c r="L43" s="228">
        <f t="shared" ca="1" si="4"/>
        <v>0</v>
      </c>
      <c r="M43" s="228">
        <f t="shared" ca="1" si="5"/>
        <v>0</v>
      </c>
    </row>
    <row r="44" spans="1:13" x14ac:dyDescent="0.2">
      <c r="B44" s="6"/>
      <c r="I44" s="227">
        <f t="shared" si="6"/>
        <v>0</v>
      </c>
      <c r="J44" s="16">
        <v>99.73</v>
      </c>
      <c r="K44" s="225">
        <f t="array" aca="1" ref="K44" ca="1">INDIRECT(ADDRESS(ROW(Proz)+MATCH(MIN(ABS(J44-Proz)),ABS(J44-Proz),0)-1,COLUMN(Proz)+1))</f>
        <v>6</v>
      </c>
      <c r="L44" s="228">
        <f t="shared" ca="1" si="4"/>
        <v>0</v>
      </c>
      <c r="M44" s="228">
        <f t="shared" ca="1" si="5"/>
        <v>0</v>
      </c>
    </row>
    <row r="45" spans="1:13" x14ac:dyDescent="0.2">
      <c r="B45" s="6"/>
      <c r="I45" s="227">
        <f t="shared" si="6"/>
        <v>0</v>
      </c>
      <c r="J45" s="16">
        <v>99.73</v>
      </c>
      <c r="K45" s="225">
        <f t="array" aca="1" ref="K45" ca="1">INDIRECT(ADDRESS(ROW(Proz)+MATCH(MIN(ABS(J45-Proz)),ABS(J45-Proz),0)-1,COLUMN(Proz)+1))</f>
        <v>6</v>
      </c>
      <c r="L45" s="228">
        <f t="shared" ca="1" si="4"/>
        <v>0</v>
      </c>
      <c r="M45" s="228">
        <f t="shared" ca="1" si="5"/>
        <v>0</v>
      </c>
    </row>
    <row r="46" spans="1:13" x14ac:dyDescent="0.2">
      <c r="B46" s="6"/>
      <c r="I46" s="227">
        <f t="shared" si="6"/>
        <v>0</v>
      </c>
      <c r="J46" s="16">
        <v>99.73</v>
      </c>
      <c r="K46" s="225">
        <f t="array" aca="1" ref="K46" ca="1">INDIRECT(ADDRESS(ROW(Proz)+MATCH(MIN(ABS(J46-Proz)),ABS(J46-Proz),0)-1,COLUMN(Proz)+1))</f>
        <v>6</v>
      </c>
      <c r="L46" s="228">
        <f t="shared" ca="1" si="4"/>
        <v>0</v>
      </c>
      <c r="M46" s="228">
        <f t="shared" ca="1" si="5"/>
        <v>0</v>
      </c>
    </row>
    <row r="47" spans="1:13" x14ac:dyDescent="0.2">
      <c r="I47" s="227">
        <f t="shared" si="6"/>
        <v>0</v>
      </c>
      <c r="J47" s="16">
        <v>99.73</v>
      </c>
      <c r="K47" s="225">
        <f t="array" aca="1" ref="K47" ca="1">INDIRECT(ADDRESS(ROW(Proz)+MATCH(MIN(ABS(J47-Proz)),ABS(J47-Proz),0)-1,COLUMN(Proz)+1))</f>
        <v>6</v>
      </c>
      <c r="L47" s="228">
        <f t="shared" ca="1" si="4"/>
        <v>0</v>
      </c>
      <c r="M47" s="228">
        <f t="shared" ca="1" si="5"/>
        <v>0</v>
      </c>
    </row>
    <row r="48" spans="1:13" x14ac:dyDescent="0.2">
      <c r="B48" s="6"/>
      <c r="I48" s="227">
        <f t="shared" si="6"/>
        <v>0</v>
      </c>
      <c r="J48" s="16">
        <v>99.73</v>
      </c>
      <c r="K48" s="225">
        <f t="array" aca="1" ref="K48" ca="1">INDIRECT(ADDRESS(ROW(Proz)+MATCH(MIN(ABS(J48-Proz)),ABS(J48-Proz),0)-1,COLUMN(Proz)+1))</f>
        <v>6</v>
      </c>
      <c r="L48" s="228">
        <f t="shared" ca="1" si="4"/>
        <v>0</v>
      </c>
      <c r="M48" s="228">
        <f t="shared" ca="1" si="5"/>
        <v>0</v>
      </c>
    </row>
    <row r="49" spans="2:13" x14ac:dyDescent="0.2">
      <c r="B49" s="6"/>
      <c r="I49" s="227">
        <f t="shared" si="6"/>
        <v>0</v>
      </c>
      <c r="J49" s="16">
        <v>99.73</v>
      </c>
      <c r="K49" s="225">
        <f t="array" aca="1" ref="K49" ca="1">INDIRECT(ADDRESS(ROW(Proz)+MATCH(MIN(ABS(J49-Proz)),ABS(J49-Proz),0)-1,COLUMN(Proz)+1))</f>
        <v>6</v>
      </c>
      <c r="L49" s="228">
        <f t="shared" ca="1" si="4"/>
        <v>0</v>
      </c>
      <c r="M49" s="228">
        <f t="shared" ca="1" si="5"/>
        <v>0</v>
      </c>
    </row>
    <row r="50" spans="2:13" x14ac:dyDescent="0.2">
      <c r="I50" s="227">
        <f t="shared" si="6"/>
        <v>0</v>
      </c>
      <c r="J50" s="16">
        <v>99.73</v>
      </c>
      <c r="K50" s="225">
        <f t="array" aca="1" ref="K50" ca="1">INDIRECT(ADDRESS(ROW(Proz)+MATCH(MIN(ABS(J50-Proz)),ABS(J50-Proz),0)-1,COLUMN(Proz)+1))</f>
        <v>6</v>
      </c>
      <c r="L50" s="228">
        <f t="shared" ca="1" si="4"/>
        <v>0</v>
      </c>
      <c r="M50" s="228">
        <f t="shared" ca="1" si="5"/>
        <v>0</v>
      </c>
    </row>
    <row r="51" spans="2:13" ht="13.5" thickBot="1" x14ac:dyDescent="0.25">
      <c r="E51" s="22"/>
      <c r="F51" s="22"/>
      <c r="G51" s="22"/>
      <c r="I51" s="227">
        <f t="shared" si="6"/>
        <v>0</v>
      </c>
      <c r="J51" s="16">
        <v>99.73</v>
      </c>
      <c r="K51" s="225">
        <f t="array" aca="1" ref="K51" ca="1">INDIRECT(ADDRESS(ROW(Proz)+MATCH(MIN(ABS(J51-Proz)),ABS(J51-Proz),0)-1,COLUMN(Proz)+1))</f>
        <v>6</v>
      </c>
      <c r="L51" s="228">
        <f t="shared" ca="1" si="4"/>
        <v>0</v>
      </c>
      <c r="M51" s="228">
        <f t="shared" ca="1" si="5"/>
        <v>0</v>
      </c>
    </row>
    <row r="52" spans="2:13" ht="38.25" x14ac:dyDescent="0.2">
      <c r="C52" s="249" t="s">
        <v>93</v>
      </c>
      <c r="D52" s="152" t="s">
        <v>92</v>
      </c>
      <c r="M52" s="19"/>
    </row>
    <row r="53" spans="2:13" x14ac:dyDescent="0.2">
      <c r="C53" s="250">
        <v>10</v>
      </c>
      <c r="D53" s="190">
        <v>0.25</v>
      </c>
      <c r="M53" s="19"/>
    </row>
    <row r="54" spans="2:13" x14ac:dyDescent="0.2">
      <c r="C54" s="250">
        <v>20</v>
      </c>
      <c r="D54" s="190">
        <v>0.51</v>
      </c>
      <c r="M54" s="19"/>
    </row>
    <row r="55" spans="2:13" x14ac:dyDescent="0.2">
      <c r="C55" s="250">
        <v>30</v>
      </c>
      <c r="D55" s="190">
        <v>0.77</v>
      </c>
      <c r="M55" s="19"/>
    </row>
    <row r="56" spans="2:13" x14ac:dyDescent="0.2">
      <c r="C56" s="250">
        <v>40</v>
      </c>
      <c r="D56" s="190">
        <v>1</v>
      </c>
      <c r="M56" s="19"/>
    </row>
    <row r="57" spans="2:13" x14ac:dyDescent="0.2">
      <c r="C57" s="250">
        <v>50</v>
      </c>
      <c r="D57" s="190">
        <v>1.4</v>
      </c>
      <c r="M57" s="19"/>
    </row>
    <row r="58" spans="2:13" x14ac:dyDescent="0.2">
      <c r="C58" s="250">
        <v>60</v>
      </c>
      <c r="D58" s="190">
        <v>1.7</v>
      </c>
      <c r="M58" s="19"/>
    </row>
    <row r="59" spans="2:13" x14ac:dyDescent="0.2">
      <c r="C59" s="250">
        <v>70</v>
      </c>
      <c r="D59" s="190">
        <v>2.1</v>
      </c>
      <c r="M59" s="19"/>
    </row>
    <row r="60" spans="2:13" x14ac:dyDescent="0.2">
      <c r="C60" s="250">
        <v>80</v>
      </c>
      <c r="D60" s="190">
        <v>2.6</v>
      </c>
      <c r="M60" s="19"/>
    </row>
    <row r="61" spans="2:13" x14ac:dyDescent="0.2">
      <c r="C61" s="250">
        <v>90</v>
      </c>
      <c r="D61" s="190">
        <v>3.3</v>
      </c>
      <c r="M61" s="19"/>
    </row>
    <row r="62" spans="2:13" ht="13.5" thickBot="1" x14ac:dyDescent="0.25">
      <c r="C62" s="251">
        <v>100</v>
      </c>
      <c r="D62" s="252">
        <v>6</v>
      </c>
      <c r="M62" s="19"/>
    </row>
    <row r="63" spans="2:13" x14ac:dyDescent="0.2">
      <c r="M63" s="19"/>
    </row>
    <row r="64" spans="2:13" x14ac:dyDescent="0.2">
      <c r="M64" s="19"/>
    </row>
    <row r="65" spans="13:13" x14ac:dyDescent="0.2">
      <c r="M65" s="19"/>
    </row>
    <row r="66" spans="13:13" x14ac:dyDescent="0.2">
      <c r="M66" s="19"/>
    </row>
    <row r="67" spans="13:13" x14ac:dyDescent="0.2">
      <c r="M67" s="19"/>
    </row>
    <row r="68" spans="13:13" x14ac:dyDescent="0.2">
      <c r="M68" s="19"/>
    </row>
    <row r="69" spans="13:13" x14ac:dyDescent="0.2">
      <c r="M69" s="19"/>
    </row>
    <row r="70" spans="13:13" x14ac:dyDescent="0.2">
      <c r="M70" s="19"/>
    </row>
    <row r="71" spans="13:13" x14ac:dyDescent="0.2">
      <c r="M71" s="19"/>
    </row>
    <row r="72" spans="13:13" x14ac:dyDescent="0.2">
      <c r="M72" s="19"/>
    </row>
    <row r="73" spans="13:13" x14ac:dyDescent="0.2">
      <c r="M73" s="19"/>
    </row>
    <row r="74" spans="13:13" x14ac:dyDescent="0.2">
      <c r="M74" s="19"/>
    </row>
    <row r="75" spans="13:13" x14ac:dyDescent="0.2">
      <c r="M75" s="19"/>
    </row>
    <row r="76" spans="13:13" x14ac:dyDescent="0.2">
      <c r="M76" s="19"/>
    </row>
    <row r="77" spans="13:13" x14ac:dyDescent="0.2">
      <c r="M77" s="19"/>
    </row>
    <row r="78" spans="13:13" x14ac:dyDescent="0.2">
      <c r="M78" s="19"/>
    </row>
    <row r="79" spans="13:13" x14ac:dyDescent="0.2">
      <c r="M79" s="19"/>
    </row>
    <row r="80" spans="13:13" x14ac:dyDescent="0.2">
      <c r="M80" s="19"/>
    </row>
    <row r="81" spans="13:13" x14ac:dyDescent="0.2">
      <c r="M81" s="19"/>
    </row>
    <row r="82" spans="13:13" x14ac:dyDescent="0.2">
      <c r="M82" s="19"/>
    </row>
    <row r="83" spans="13:13" x14ac:dyDescent="0.2">
      <c r="M83" s="19"/>
    </row>
    <row r="84" spans="13:13" x14ac:dyDescent="0.2">
      <c r="M84" s="19"/>
    </row>
    <row r="85" spans="13:13" x14ac:dyDescent="0.2">
      <c r="M85" s="19"/>
    </row>
    <row r="86" spans="13:13" x14ac:dyDescent="0.2">
      <c r="M86" s="19"/>
    </row>
    <row r="87" spans="13:13" x14ac:dyDescent="0.2">
      <c r="M87" s="19"/>
    </row>
    <row r="88" spans="13:13" x14ac:dyDescent="0.2">
      <c r="M88" s="19"/>
    </row>
    <row r="89" spans="13:13" x14ac:dyDescent="0.2">
      <c r="M89" s="19"/>
    </row>
    <row r="90" spans="13:13" x14ac:dyDescent="0.2">
      <c r="M90" s="19"/>
    </row>
    <row r="91" spans="13:13" x14ac:dyDescent="0.2">
      <c r="M91" s="19"/>
    </row>
    <row r="92" spans="13:13" x14ac:dyDescent="0.2">
      <c r="M92" s="19"/>
    </row>
    <row r="93" spans="13:13" x14ac:dyDescent="0.2">
      <c r="M93" s="19"/>
    </row>
    <row r="94" spans="13:13" x14ac:dyDescent="0.2">
      <c r="M94" s="19"/>
    </row>
    <row r="95" spans="13:13" x14ac:dyDescent="0.2">
      <c r="M95" s="19"/>
    </row>
    <row r="96" spans="13:13" x14ac:dyDescent="0.2">
      <c r="M96" s="19"/>
    </row>
    <row r="97" spans="13:13" x14ac:dyDescent="0.2">
      <c r="M97" s="19"/>
    </row>
    <row r="98" spans="13:13" x14ac:dyDescent="0.2">
      <c r="M98" s="19"/>
    </row>
    <row r="99" spans="13:13" x14ac:dyDescent="0.2">
      <c r="M99" s="19"/>
    </row>
    <row r="100" spans="13:13" x14ac:dyDescent="0.2">
      <c r="M100" s="19"/>
    </row>
    <row r="101" spans="13:13" x14ac:dyDescent="0.2">
      <c r="M101" s="19"/>
    </row>
    <row r="102" spans="13:13" x14ac:dyDescent="0.2">
      <c r="M102" s="19"/>
    </row>
    <row r="103" spans="13:13" x14ac:dyDescent="0.2">
      <c r="M103" s="19"/>
    </row>
    <row r="104" spans="13:13" x14ac:dyDescent="0.2">
      <c r="M104" s="19"/>
    </row>
    <row r="105" spans="13:13" x14ac:dyDescent="0.2">
      <c r="M105" s="19"/>
    </row>
    <row r="106" spans="13:13" x14ac:dyDescent="0.2">
      <c r="M106" s="19"/>
    </row>
    <row r="107" spans="13:13" x14ac:dyDescent="0.2">
      <c r="M107" s="19"/>
    </row>
    <row r="108" spans="13:13" x14ac:dyDescent="0.2">
      <c r="M108" s="19"/>
    </row>
    <row r="109" spans="13:13" x14ac:dyDescent="0.2">
      <c r="M109" s="19"/>
    </row>
    <row r="110" spans="13:13" x14ac:dyDescent="0.2">
      <c r="M110" s="19"/>
    </row>
    <row r="111" spans="13:13" x14ac:dyDescent="0.2">
      <c r="M111" s="19"/>
    </row>
    <row r="112" spans="13:13" x14ac:dyDescent="0.2">
      <c r="M112" s="19"/>
    </row>
    <row r="113" spans="13:13" x14ac:dyDescent="0.2">
      <c r="M113" s="19"/>
    </row>
    <row r="114" spans="13:13" x14ac:dyDescent="0.2">
      <c r="M114" s="19"/>
    </row>
    <row r="115" spans="13:13" x14ac:dyDescent="0.2">
      <c r="M115" s="19"/>
    </row>
    <row r="116" spans="13:13" x14ac:dyDescent="0.2">
      <c r="M116" s="19"/>
    </row>
    <row r="117" spans="13:13" x14ac:dyDescent="0.2">
      <c r="M117" s="19"/>
    </row>
    <row r="118" spans="13:13" x14ac:dyDescent="0.2">
      <c r="M118" s="19"/>
    </row>
    <row r="119" spans="13:13" x14ac:dyDescent="0.2">
      <c r="M119" s="19"/>
    </row>
    <row r="120" spans="13:13" x14ac:dyDescent="0.2">
      <c r="M120" s="19"/>
    </row>
    <row r="121" spans="13:13" x14ac:dyDescent="0.2">
      <c r="M121" s="19"/>
    </row>
    <row r="122" spans="13:13" x14ac:dyDescent="0.2">
      <c r="M122" s="19"/>
    </row>
    <row r="123" spans="13:13" x14ac:dyDescent="0.2">
      <c r="M123" s="19"/>
    </row>
    <row r="124" spans="13:13" x14ac:dyDescent="0.2">
      <c r="M124" s="19"/>
    </row>
    <row r="125" spans="13:13" x14ac:dyDescent="0.2">
      <c r="M125" s="19"/>
    </row>
    <row r="126" spans="13:13" x14ac:dyDescent="0.2">
      <c r="M126" s="19"/>
    </row>
    <row r="127" spans="13:13" x14ac:dyDescent="0.2">
      <c r="M127" s="19"/>
    </row>
    <row r="128" spans="13:13" x14ac:dyDescent="0.2">
      <c r="M128" s="19"/>
    </row>
    <row r="129" spans="13:13" x14ac:dyDescent="0.2">
      <c r="M129" s="19"/>
    </row>
    <row r="130" spans="13:13" x14ac:dyDescent="0.2">
      <c r="M130" s="19"/>
    </row>
    <row r="131" spans="13:13" x14ac:dyDescent="0.2">
      <c r="M131" s="19"/>
    </row>
    <row r="132" spans="13:13" x14ac:dyDescent="0.2">
      <c r="M132" s="19"/>
    </row>
    <row r="133" spans="13:13" x14ac:dyDescent="0.2">
      <c r="M133" s="19"/>
    </row>
    <row r="134" spans="13:13" x14ac:dyDescent="0.2">
      <c r="M134" s="19"/>
    </row>
    <row r="135" spans="13:13" x14ac:dyDescent="0.2">
      <c r="M135" s="19"/>
    </row>
    <row r="136" spans="13:13" x14ac:dyDescent="0.2">
      <c r="M136" s="19"/>
    </row>
    <row r="137" spans="13:13" x14ac:dyDescent="0.2">
      <c r="M137" s="19"/>
    </row>
    <row r="138" spans="13:13" x14ac:dyDescent="0.2">
      <c r="M138" s="19"/>
    </row>
    <row r="139" spans="13:13" x14ac:dyDescent="0.2">
      <c r="M139" s="19"/>
    </row>
    <row r="140" spans="13:13" x14ac:dyDescent="0.2">
      <c r="M140" s="19"/>
    </row>
    <row r="141" spans="13:13" x14ac:dyDescent="0.2">
      <c r="M141" s="19"/>
    </row>
    <row r="142" spans="13:13" x14ac:dyDescent="0.2">
      <c r="M142" s="19"/>
    </row>
    <row r="143" spans="13:13" x14ac:dyDescent="0.2">
      <c r="M143" s="19"/>
    </row>
    <row r="144" spans="13:13" x14ac:dyDescent="0.2">
      <c r="M144" s="19"/>
    </row>
    <row r="145" spans="13:13" x14ac:dyDescent="0.2">
      <c r="M145" s="19"/>
    </row>
    <row r="146" spans="13:13" x14ac:dyDescent="0.2">
      <c r="M146" s="19"/>
    </row>
    <row r="147" spans="13:13" x14ac:dyDescent="0.2">
      <c r="M147" s="19"/>
    </row>
    <row r="148" spans="13:13" x14ac:dyDescent="0.2">
      <c r="M148" s="19"/>
    </row>
    <row r="149" spans="13:13" x14ac:dyDescent="0.2">
      <c r="M149" s="19"/>
    </row>
    <row r="150" spans="13:13" x14ac:dyDescent="0.2">
      <c r="M150" s="19"/>
    </row>
    <row r="151" spans="13:13" x14ac:dyDescent="0.2">
      <c r="M151" s="19"/>
    </row>
    <row r="152" spans="13:13" x14ac:dyDescent="0.2">
      <c r="M152" s="19"/>
    </row>
    <row r="153" spans="13:13" x14ac:dyDescent="0.2">
      <c r="M153" s="19"/>
    </row>
    <row r="154" spans="13:13" x14ac:dyDescent="0.2">
      <c r="M154" s="19"/>
    </row>
    <row r="155" spans="13:13" x14ac:dyDescent="0.2">
      <c r="M155" s="19"/>
    </row>
    <row r="156" spans="13:13" x14ac:dyDescent="0.2">
      <c r="M156" s="19"/>
    </row>
    <row r="157" spans="13:13" x14ac:dyDescent="0.2">
      <c r="M157" s="19"/>
    </row>
    <row r="158" spans="13:13" x14ac:dyDescent="0.2">
      <c r="M158" s="19"/>
    </row>
    <row r="159" spans="13:13" x14ac:dyDescent="0.2">
      <c r="M159" s="19"/>
    </row>
    <row r="160" spans="13:13" x14ac:dyDescent="0.2">
      <c r="M160" s="19"/>
    </row>
    <row r="161" spans="13:13" x14ac:dyDescent="0.2">
      <c r="M161" s="19"/>
    </row>
    <row r="162" spans="13:13" x14ac:dyDescent="0.2">
      <c r="M162" s="19"/>
    </row>
    <row r="163" spans="13:13" x14ac:dyDescent="0.2">
      <c r="M163" s="19"/>
    </row>
    <row r="164" spans="13:13" x14ac:dyDescent="0.2">
      <c r="M164" s="19"/>
    </row>
    <row r="165" spans="13:13" x14ac:dyDescent="0.2">
      <c r="M165" s="19"/>
    </row>
    <row r="166" spans="13:13" x14ac:dyDescent="0.2">
      <c r="M166" s="19"/>
    </row>
    <row r="167" spans="13:13" x14ac:dyDescent="0.2">
      <c r="M167" s="19"/>
    </row>
    <row r="168" spans="13:13" x14ac:dyDescent="0.2">
      <c r="M168" s="19"/>
    </row>
    <row r="169" spans="13:13" x14ac:dyDescent="0.2">
      <c r="M169" s="19"/>
    </row>
    <row r="170" spans="13:13" x14ac:dyDescent="0.2">
      <c r="M170" s="19"/>
    </row>
    <row r="171" spans="13:13" x14ac:dyDescent="0.2">
      <c r="M171" s="19"/>
    </row>
    <row r="172" spans="13:13" x14ac:dyDescent="0.2">
      <c r="M172" s="19"/>
    </row>
    <row r="173" spans="13:13" x14ac:dyDescent="0.2">
      <c r="M173" s="19"/>
    </row>
    <row r="174" spans="13:13" x14ac:dyDescent="0.2">
      <c r="M174" s="19"/>
    </row>
    <row r="175" spans="13:13" x14ac:dyDescent="0.2">
      <c r="M175" s="19"/>
    </row>
    <row r="176" spans="13:13" x14ac:dyDescent="0.2">
      <c r="M176" s="19"/>
    </row>
    <row r="177" spans="13:13" x14ac:dyDescent="0.2">
      <c r="M177" s="19"/>
    </row>
    <row r="178" spans="13:13" x14ac:dyDescent="0.2">
      <c r="M178" s="19"/>
    </row>
    <row r="179" spans="13:13" x14ac:dyDescent="0.2">
      <c r="M179" s="19"/>
    </row>
    <row r="180" spans="13:13" x14ac:dyDescent="0.2">
      <c r="M180" s="19"/>
    </row>
    <row r="181" spans="13:13" x14ac:dyDescent="0.2">
      <c r="M181" s="19"/>
    </row>
    <row r="182" spans="13:13" x14ac:dyDescent="0.2">
      <c r="M182" s="19"/>
    </row>
    <row r="183" spans="13:13" x14ac:dyDescent="0.2">
      <c r="M183" s="19"/>
    </row>
    <row r="184" spans="13:13" x14ac:dyDescent="0.2">
      <c r="M184" s="19"/>
    </row>
    <row r="185" spans="13:13" x14ac:dyDescent="0.2">
      <c r="M185" s="19"/>
    </row>
    <row r="186" spans="13:13" x14ac:dyDescent="0.2">
      <c r="M186" s="19"/>
    </row>
    <row r="187" spans="13:13" x14ac:dyDescent="0.2">
      <c r="M187" s="19"/>
    </row>
    <row r="188" spans="13:13" x14ac:dyDescent="0.2">
      <c r="M188" s="19"/>
    </row>
    <row r="189" spans="13:13" x14ac:dyDescent="0.2">
      <c r="M189" s="19"/>
    </row>
    <row r="190" spans="13:13" x14ac:dyDescent="0.2">
      <c r="M190" s="19"/>
    </row>
    <row r="191" spans="13:13" x14ac:dyDescent="0.2">
      <c r="M191" s="19"/>
    </row>
    <row r="192" spans="13:13" x14ac:dyDescent="0.2">
      <c r="M192" s="19"/>
    </row>
    <row r="193" spans="13:13" x14ac:dyDescent="0.2">
      <c r="M193" s="19"/>
    </row>
    <row r="194" spans="13:13" x14ac:dyDescent="0.2">
      <c r="M194" s="19"/>
    </row>
    <row r="195" spans="13:13" x14ac:dyDescent="0.2">
      <c r="M195" s="19"/>
    </row>
    <row r="196" spans="13:13" x14ac:dyDescent="0.2">
      <c r="M196" s="19"/>
    </row>
    <row r="197" spans="13:13" x14ac:dyDescent="0.2">
      <c r="M197" s="19"/>
    </row>
    <row r="198" spans="13:13" x14ac:dyDescent="0.2">
      <c r="M198" s="19"/>
    </row>
    <row r="199" spans="13:13" x14ac:dyDescent="0.2">
      <c r="M199" s="19"/>
    </row>
    <row r="200" spans="13:13" x14ac:dyDescent="0.2">
      <c r="M200" s="19"/>
    </row>
    <row r="201" spans="13:13" x14ac:dyDescent="0.2">
      <c r="M201" s="19"/>
    </row>
    <row r="202" spans="13:13" x14ac:dyDescent="0.2">
      <c r="M202" s="19"/>
    </row>
    <row r="203" spans="13:13" x14ac:dyDescent="0.2">
      <c r="M203" s="19"/>
    </row>
    <row r="204" spans="13:13" x14ac:dyDescent="0.2">
      <c r="M204" s="19"/>
    </row>
    <row r="205" spans="13:13" x14ac:dyDescent="0.2">
      <c r="M205" s="19"/>
    </row>
    <row r="206" spans="13:13" x14ac:dyDescent="0.2">
      <c r="M206" s="19"/>
    </row>
    <row r="207" spans="13:13" x14ac:dyDescent="0.2">
      <c r="M207" s="19"/>
    </row>
    <row r="208" spans="13:13" x14ac:dyDescent="0.2">
      <c r="M208" s="19"/>
    </row>
    <row r="209" spans="13:13" x14ac:dyDescent="0.2">
      <c r="M209" s="19"/>
    </row>
    <row r="210" spans="13:13" x14ac:dyDescent="0.2">
      <c r="M210" s="19"/>
    </row>
    <row r="211" spans="13:13" x14ac:dyDescent="0.2">
      <c r="M211" s="19"/>
    </row>
    <row r="212" spans="13:13" x14ac:dyDescent="0.2">
      <c r="M212" s="19"/>
    </row>
    <row r="213" spans="13:13" x14ac:dyDescent="0.2">
      <c r="M213" s="19"/>
    </row>
    <row r="214" spans="13:13" x14ac:dyDescent="0.2">
      <c r="M214" s="19"/>
    </row>
    <row r="215" spans="13:13" x14ac:dyDescent="0.2">
      <c r="M215" s="19"/>
    </row>
    <row r="216" spans="13:13" x14ac:dyDescent="0.2">
      <c r="M216" s="19"/>
    </row>
    <row r="217" spans="13:13" x14ac:dyDescent="0.2">
      <c r="M217" s="19"/>
    </row>
    <row r="218" spans="13:13" x14ac:dyDescent="0.2">
      <c r="M218" s="19"/>
    </row>
    <row r="219" spans="13:13" x14ac:dyDescent="0.2">
      <c r="M219" s="19"/>
    </row>
    <row r="220" spans="13:13" x14ac:dyDescent="0.2">
      <c r="M220" s="19"/>
    </row>
    <row r="221" spans="13:13" x14ac:dyDescent="0.2">
      <c r="M221" s="19"/>
    </row>
    <row r="222" spans="13:13" x14ac:dyDescent="0.2">
      <c r="M222" s="19"/>
    </row>
    <row r="223" spans="13:13" x14ac:dyDescent="0.2">
      <c r="M223" s="19"/>
    </row>
    <row r="224" spans="13:13" x14ac:dyDescent="0.2">
      <c r="M224" s="19"/>
    </row>
    <row r="225" spans="13:13" x14ac:dyDescent="0.2">
      <c r="M225" s="19"/>
    </row>
    <row r="226" spans="13:13" x14ac:dyDescent="0.2">
      <c r="M226" s="19"/>
    </row>
    <row r="227" spans="13:13" x14ac:dyDescent="0.2">
      <c r="M227" s="19"/>
    </row>
    <row r="228" spans="13:13" x14ac:dyDescent="0.2">
      <c r="M228" s="19"/>
    </row>
    <row r="229" spans="13:13" x14ac:dyDescent="0.2">
      <c r="M229" s="19"/>
    </row>
    <row r="230" spans="13:13" x14ac:dyDescent="0.2">
      <c r="M230" s="19"/>
    </row>
    <row r="231" spans="13:13" x14ac:dyDescent="0.2">
      <c r="M231" s="19"/>
    </row>
    <row r="232" spans="13:13" x14ac:dyDescent="0.2">
      <c r="M232" s="19"/>
    </row>
    <row r="233" spans="13:13" x14ac:dyDescent="0.2">
      <c r="M233" s="19"/>
    </row>
    <row r="234" spans="13:13" x14ac:dyDescent="0.2">
      <c r="M234" s="19"/>
    </row>
    <row r="235" spans="13:13" x14ac:dyDescent="0.2">
      <c r="M235" s="19"/>
    </row>
    <row r="236" spans="13:13" x14ac:dyDescent="0.2">
      <c r="M236" s="19"/>
    </row>
    <row r="237" spans="13:13" x14ac:dyDescent="0.2">
      <c r="M237" s="19"/>
    </row>
    <row r="238" spans="13:13" x14ac:dyDescent="0.2">
      <c r="M238" s="19"/>
    </row>
    <row r="239" spans="13:13" x14ac:dyDescent="0.2">
      <c r="M239" s="19"/>
    </row>
    <row r="240" spans="13:13" x14ac:dyDescent="0.2">
      <c r="M240" s="19"/>
    </row>
    <row r="241" spans="13:13" x14ac:dyDescent="0.2">
      <c r="M241" s="19"/>
    </row>
    <row r="242" spans="13:13" x14ac:dyDescent="0.2">
      <c r="M242" s="19"/>
    </row>
    <row r="243" spans="13:13" x14ac:dyDescent="0.2">
      <c r="M243" s="19"/>
    </row>
    <row r="244" spans="13:13" x14ac:dyDescent="0.2">
      <c r="M244" s="19"/>
    </row>
    <row r="245" spans="13:13" x14ac:dyDescent="0.2">
      <c r="M245" s="19"/>
    </row>
    <row r="246" spans="13:13" x14ac:dyDescent="0.2">
      <c r="M246" s="19"/>
    </row>
    <row r="247" spans="13:13" x14ac:dyDescent="0.2">
      <c r="M247" s="19"/>
    </row>
    <row r="248" spans="13:13" x14ac:dyDescent="0.2">
      <c r="M248" s="19"/>
    </row>
    <row r="249" spans="13:13" x14ac:dyDescent="0.2">
      <c r="M249" s="19"/>
    </row>
    <row r="250" spans="13:13" x14ac:dyDescent="0.2">
      <c r="M250" s="19"/>
    </row>
    <row r="251" spans="13:13" x14ac:dyDescent="0.2">
      <c r="M251" s="19"/>
    </row>
    <row r="252" spans="13:13" x14ac:dyDescent="0.2">
      <c r="M252" s="19"/>
    </row>
    <row r="253" spans="13:13" x14ac:dyDescent="0.2">
      <c r="M253" s="19"/>
    </row>
    <row r="254" spans="13:13" x14ac:dyDescent="0.2">
      <c r="M254" s="19"/>
    </row>
    <row r="255" spans="13:13" x14ac:dyDescent="0.2">
      <c r="M255" s="19"/>
    </row>
    <row r="256" spans="13:13" x14ac:dyDescent="0.2">
      <c r="M256" s="19"/>
    </row>
    <row r="257" spans="13:13" x14ac:dyDescent="0.2">
      <c r="M257" s="19"/>
    </row>
    <row r="258" spans="13:13" x14ac:dyDescent="0.2">
      <c r="M258" s="19"/>
    </row>
    <row r="259" spans="13:13" x14ac:dyDescent="0.2">
      <c r="M259" s="19"/>
    </row>
    <row r="260" spans="13:13" x14ac:dyDescent="0.2">
      <c r="M260" s="19"/>
    </row>
    <row r="261" spans="13:13" x14ac:dyDescent="0.2">
      <c r="M261" s="19"/>
    </row>
    <row r="262" spans="13:13" x14ac:dyDescent="0.2">
      <c r="M262" s="19"/>
    </row>
    <row r="263" spans="13:13" x14ac:dyDescent="0.2">
      <c r="M263" s="19"/>
    </row>
    <row r="264" spans="13:13" x14ac:dyDescent="0.2">
      <c r="M264" s="19"/>
    </row>
    <row r="265" spans="13:13" x14ac:dyDescent="0.2">
      <c r="M265" s="19"/>
    </row>
    <row r="266" spans="13:13" x14ac:dyDescent="0.2">
      <c r="M266" s="19"/>
    </row>
    <row r="267" spans="13:13" x14ac:dyDescent="0.2">
      <c r="M267" s="19"/>
    </row>
    <row r="268" spans="13:13" x14ac:dyDescent="0.2">
      <c r="M268" s="19"/>
    </row>
    <row r="269" spans="13:13" x14ac:dyDescent="0.2">
      <c r="M269" s="19"/>
    </row>
    <row r="270" spans="13:13" x14ac:dyDescent="0.2">
      <c r="M270" s="19"/>
    </row>
    <row r="271" spans="13:13" x14ac:dyDescent="0.2">
      <c r="M271" s="19"/>
    </row>
    <row r="272" spans="13:13" x14ac:dyDescent="0.2">
      <c r="M272" s="19"/>
    </row>
    <row r="273" spans="13:13" x14ac:dyDescent="0.2">
      <c r="M273" s="19"/>
    </row>
    <row r="274" spans="13:13" x14ac:dyDescent="0.2">
      <c r="M274" s="19"/>
    </row>
    <row r="275" spans="13:13" x14ac:dyDescent="0.2">
      <c r="M275" s="19"/>
    </row>
    <row r="276" spans="13:13" x14ac:dyDescent="0.2">
      <c r="M276" s="19"/>
    </row>
    <row r="277" spans="13:13" x14ac:dyDescent="0.2">
      <c r="M277" s="19"/>
    </row>
    <row r="278" spans="13:13" x14ac:dyDescent="0.2">
      <c r="M278" s="19"/>
    </row>
    <row r="279" spans="13:13" x14ac:dyDescent="0.2">
      <c r="M279" s="19"/>
    </row>
    <row r="280" spans="13:13" x14ac:dyDescent="0.2">
      <c r="M280" s="19"/>
    </row>
    <row r="281" spans="13:13" x14ac:dyDescent="0.2">
      <c r="M281" s="19"/>
    </row>
    <row r="282" spans="13:13" x14ac:dyDescent="0.2">
      <c r="M282" s="19"/>
    </row>
    <row r="283" spans="13:13" x14ac:dyDescent="0.2">
      <c r="M283" s="19"/>
    </row>
    <row r="284" spans="13:13" x14ac:dyDescent="0.2">
      <c r="M284" s="19"/>
    </row>
    <row r="285" spans="13:13" x14ac:dyDescent="0.2">
      <c r="M285" s="19"/>
    </row>
    <row r="286" spans="13:13" x14ac:dyDescent="0.2">
      <c r="M286" s="19"/>
    </row>
    <row r="287" spans="13:13" x14ac:dyDescent="0.2">
      <c r="M287" s="19"/>
    </row>
    <row r="288" spans="13:13" x14ac:dyDescent="0.2">
      <c r="M288" s="19"/>
    </row>
    <row r="289" spans="13:13" x14ac:dyDescent="0.2">
      <c r="M289" s="19"/>
    </row>
    <row r="290" spans="13:13" x14ac:dyDescent="0.2">
      <c r="M290" s="19"/>
    </row>
    <row r="291" spans="13:13" x14ac:dyDescent="0.2">
      <c r="M291" s="19"/>
    </row>
    <row r="292" spans="13:13" x14ac:dyDescent="0.2">
      <c r="M292" s="19"/>
    </row>
    <row r="293" spans="13:13" x14ac:dyDescent="0.2">
      <c r="M293" s="19"/>
    </row>
    <row r="294" spans="13:13" x14ac:dyDescent="0.2">
      <c r="M294" s="19"/>
    </row>
    <row r="295" spans="13:13" x14ac:dyDescent="0.2">
      <c r="M295" s="19"/>
    </row>
    <row r="296" spans="13:13" x14ac:dyDescent="0.2">
      <c r="M296" s="19"/>
    </row>
    <row r="297" spans="13:13" x14ac:dyDescent="0.2">
      <c r="M297" s="19"/>
    </row>
    <row r="298" spans="13:13" x14ac:dyDescent="0.2">
      <c r="M298" s="19"/>
    </row>
    <row r="299" spans="13:13" x14ac:dyDescent="0.2">
      <c r="M299" s="19"/>
    </row>
    <row r="300" spans="13:13" x14ac:dyDescent="0.2">
      <c r="M300" s="19"/>
    </row>
    <row r="301" spans="13:13" x14ac:dyDescent="0.2">
      <c r="M301" s="19"/>
    </row>
    <row r="302" spans="13:13" x14ac:dyDescent="0.2">
      <c r="M302" s="19"/>
    </row>
    <row r="303" spans="13:13" x14ac:dyDescent="0.2">
      <c r="M303" s="19"/>
    </row>
    <row r="304" spans="13:13" x14ac:dyDescent="0.2">
      <c r="M304" s="19"/>
    </row>
    <row r="305" spans="13:13" x14ac:dyDescent="0.2">
      <c r="M305" s="19"/>
    </row>
    <row r="306" spans="13:13" x14ac:dyDescent="0.2">
      <c r="M306" s="19"/>
    </row>
    <row r="307" spans="13:13" x14ac:dyDescent="0.2">
      <c r="M307" s="19"/>
    </row>
    <row r="308" spans="13:13" x14ac:dyDescent="0.2">
      <c r="M308" s="19"/>
    </row>
    <row r="309" spans="13:13" x14ac:dyDescent="0.2">
      <c r="M309" s="19"/>
    </row>
    <row r="310" spans="13:13" x14ac:dyDescent="0.2">
      <c r="M310" s="19"/>
    </row>
    <row r="311" spans="13:13" x14ac:dyDescent="0.2">
      <c r="M311" s="19"/>
    </row>
    <row r="312" spans="13:13" x14ac:dyDescent="0.2">
      <c r="M312" s="19"/>
    </row>
    <row r="313" spans="13:13" x14ac:dyDescent="0.2">
      <c r="M313" s="19"/>
    </row>
    <row r="314" spans="13:13" x14ac:dyDescent="0.2">
      <c r="M314" s="19"/>
    </row>
  </sheetData>
  <phoneticPr fontId="0" type="noConversion"/>
  <printOptions gridLines="1"/>
  <pageMargins left="0.78740157480314965" right="0.78740157480314965" top="0.98425196850393704" bottom="0.98425196850393704" header="0.51181102362204722" footer="0.51181102362204722"/>
  <pageSetup paperSize="9" scale="52" orientation="portrait" verticalDpi="1200" r:id="rId1"/>
  <headerFooter alignWithMargins="0">
    <oddHeader>&amp;L&amp;G&amp;C&amp;A&amp;RLV: Aufwandschätzverfahren für IKT Projekte</oddHeader>
    <oddFooter>&amp;L(c) 2006 DI(FH) Sven Schweiger&amp;R&amp;P / &amp;N</oddFooter>
  </headerFooter>
  <rowBreaks count="1" manualBreakCount="1">
    <brk id="539" max="16383" man="1"/>
  </rowBreaks>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pageSetUpPr fitToPage="1"/>
  </sheetPr>
  <dimension ref="A1:M337"/>
  <sheetViews>
    <sheetView tabSelected="1" topLeftCell="A7" zoomScaleNormal="100" zoomScaleSheetLayoutView="100" workbookViewId="0">
      <selection activeCell="H19" sqref="H19"/>
    </sheetView>
  </sheetViews>
  <sheetFormatPr baseColWidth="10" defaultRowHeight="12.75" x14ac:dyDescent="0.2"/>
  <cols>
    <col min="1" max="1" width="7.28515625" style="11" customWidth="1"/>
    <col min="2" max="2" width="16.7109375" style="3" customWidth="1"/>
    <col min="3" max="3" width="36.140625" style="1" customWidth="1"/>
    <col min="4" max="4" width="27.85546875" style="1" customWidth="1"/>
    <col min="5" max="6" width="11.5703125" style="20" customWidth="1"/>
    <col min="7" max="7" width="12.28515625" style="20" customWidth="1"/>
    <col min="8" max="8" width="41.5703125" style="1" customWidth="1"/>
    <col min="9" max="9" width="10.85546875" style="23" customWidth="1"/>
    <col min="10" max="10" width="9.7109375" style="16" customWidth="1"/>
    <col min="11" max="11" width="9.5703125" style="16" customWidth="1"/>
    <col min="12" max="12" width="11" style="19" customWidth="1"/>
    <col min="13" max="13" width="11.5703125" style="15" customWidth="1"/>
    <col min="14" max="14" width="11.42578125" style="1"/>
    <col min="15" max="15" width="40.140625" style="1" customWidth="1"/>
    <col min="16" max="16" width="22.85546875" style="1" customWidth="1"/>
    <col min="17" max="16384" width="11.42578125" style="1"/>
  </cols>
  <sheetData>
    <row r="1" spans="1:13" s="2" customFormat="1" ht="45.75" thickBot="1" x14ac:dyDescent="0.25">
      <c r="A1" s="208" t="s">
        <v>0</v>
      </c>
      <c r="B1" s="209" t="s">
        <v>1</v>
      </c>
      <c r="C1" s="209" t="s">
        <v>2</v>
      </c>
      <c r="D1" s="209" t="s">
        <v>85</v>
      </c>
      <c r="E1" s="210" t="s">
        <v>87</v>
      </c>
      <c r="F1" s="210" t="s">
        <v>95</v>
      </c>
      <c r="G1" s="210" t="s">
        <v>88</v>
      </c>
      <c r="H1" s="211" t="s">
        <v>89</v>
      </c>
      <c r="I1" s="212" t="s">
        <v>90</v>
      </c>
      <c r="J1" s="212" t="s">
        <v>96</v>
      </c>
      <c r="K1" s="212" t="s">
        <v>94</v>
      </c>
      <c r="L1" s="213" t="s">
        <v>97</v>
      </c>
      <c r="M1" s="214" t="s">
        <v>86</v>
      </c>
    </row>
    <row r="2" spans="1:13" s="2" customFormat="1" ht="15.75" thickBot="1" x14ac:dyDescent="0.25">
      <c r="A2" s="215"/>
      <c r="B2" s="216"/>
      <c r="C2" s="216"/>
      <c r="D2" s="216"/>
      <c r="E2" s="217">
        <f>SUM(E3:E10012)</f>
        <v>56</v>
      </c>
      <c r="F2" s="217">
        <f>SUM(F3:F10012)</f>
        <v>98.3</v>
      </c>
      <c r="G2" s="217">
        <f>SUM(G3:G10012)</f>
        <v>148</v>
      </c>
      <c r="H2" s="216"/>
      <c r="I2" s="218">
        <f>SUM(I3:I10012)</f>
        <v>99.533333333333331</v>
      </c>
      <c r="J2" s="218" t="s">
        <v>477</v>
      </c>
      <c r="K2" s="218"/>
      <c r="L2" s="219">
        <f ca="1">M2^(1/2)</f>
        <v>12.750341058885461</v>
      </c>
      <c r="M2" s="219">
        <f ca="1">SUM(M3:M10012)</f>
        <v>162.5711971179004</v>
      </c>
    </row>
    <row r="3" spans="1:13" x14ac:dyDescent="0.2">
      <c r="A3" s="10" t="s">
        <v>141</v>
      </c>
      <c r="B3" s="6" t="s">
        <v>492</v>
      </c>
      <c r="I3" s="227">
        <f t="shared" ref="I3:I8" si="0">(E3+(4*F3)+G3)/6</f>
        <v>0</v>
      </c>
      <c r="J3" s="16">
        <v>99.73</v>
      </c>
      <c r="K3" s="225">
        <f t="array" aca="1" ref="K3" ca="1">INDIRECT(ADDRESS(ROW(Proz)+MATCH(MIN(ABS(J3-Proz)),ABS(J3-Proz),0)-1,COLUMN(Proz)+1))</f>
        <v>6</v>
      </c>
      <c r="L3" s="228">
        <f t="shared" ref="L3:L8" ca="1" si="1">(G3-E3)/K3</f>
        <v>0</v>
      </c>
      <c r="M3" s="228">
        <f t="shared" ref="M3:M8" ca="1" si="2">L3^2</f>
        <v>0</v>
      </c>
    </row>
    <row r="4" spans="1:13" x14ac:dyDescent="0.2">
      <c r="A4" s="12" t="s">
        <v>142</v>
      </c>
      <c r="B4" s="6"/>
      <c r="C4" s="253" t="s">
        <v>489</v>
      </c>
      <c r="E4" s="20">
        <v>1</v>
      </c>
      <c r="F4" s="20">
        <v>2</v>
      </c>
      <c r="G4" s="20">
        <v>3</v>
      </c>
      <c r="I4" s="227">
        <f>(E4+(4*F4)+G4)/6</f>
        <v>2</v>
      </c>
      <c r="J4" s="16">
        <v>80</v>
      </c>
      <c r="K4" s="225">
        <f t="array" aca="1" ref="K4" ca="1">INDIRECT(ADDRESS(ROW(Proz)+MATCH(MIN(ABS(J4-Proz)),ABS(J4-Proz),0)-1,COLUMN(Proz)+1))</f>
        <v>2.6</v>
      </c>
      <c r="L4" s="228">
        <f t="shared" ca="1" si="1"/>
        <v>0.76923076923076916</v>
      </c>
      <c r="M4" s="228">
        <f t="shared" ca="1" si="2"/>
        <v>0.59171597633136086</v>
      </c>
    </row>
    <row r="5" spans="1:13" x14ac:dyDescent="0.2">
      <c r="A5" s="12" t="s">
        <v>143</v>
      </c>
      <c r="B5" s="6"/>
      <c r="C5" s="253" t="s">
        <v>493</v>
      </c>
      <c r="E5" s="20">
        <v>1.5</v>
      </c>
      <c r="F5" s="20">
        <v>4.5</v>
      </c>
      <c r="G5" s="20">
        <v>8</v>
      </c>
      <c r="I5" s="227">
        <f t="shared" si="0"/>
        <v>4.583333333333333</v>
      </c>
      <c r="J5" s="16">
        <v>70</v>
      </c>
      <c r="K5" s="225">
        <f t="array" aca="1" ref="K5" ca="1">INDIRECT(ADDRESS(ROW(Proz)+MATCH(MIN(ABS(J5-Proz)),ABS(J5-Proz),0)-1,COLUMN(Proz)+1))</f>
        <v>2.1</v>
      </c>
      <c r="L5" s="228">
        <f t="shared" ca="1" si="1"/>
        <v>3.0952380952380949</v>
      </c>
      <c r="M5" s="228">
        <f t="shared" ca="1" si="2"/>
        <v>9.5804988662131496</v>
      </c>
    </row>
    <row r="6" spans="1:13" x14ac:dyDescent="0.2">
      <c r="A6" s="12" t="s">
        <v>144</v>
      </c>
      <c r="B6" s="1"/>
      <c r="C6" s="253" t="s">
        <v>494</v>
      </c>
      <c r="E6" s="20">
        <v>2</v>
      </c>
      <c r="F6" s="20">
        <v>5.5</v>
      </c>
      <c r="G6" s="20">
        <v>10</v>
      </c>
      <c r="I6" s="227">
        <f t="shared" si="0"/>
        <v>5.666666666666667</v>
      </c>
      <c r="J6" s="16">
        <v>75</v>
      </c>
      <c r="K6" s="225">
        <f t="array" aca="1" ref="K6" ca="1">INDIRECT(ADDRESS(ROW(Proz)+MATCH(MIN(ABS(J6-Proz)),ABS(J6-Proz),0)-1,COLUMN(Proz)+1))</f>
        <v>2.1</v>
      </c>
      <c r="L6" s="228">
        <f t="shared" ca="1" si="1"/>
        <v>3.8095238095238093</v>
      </c>
      <c r="M6" s="228">
        <f t="shared" ca="1" si="2"/>
        <v>14.512471655328797</v>
      </c>
    </row>
    <row r="7" spans="1:13" x14ac:dyDescent="0.2">
      <c r="A7" s="12" t="s">
        <v>145</v>
      </c>
      <c r="B7" s="6"/>
      <c r="C7" s="254" t="s">
        <v>490</v>
      </c>
      <c r="E7" s="20">
        <v>1</v>
      </c>
      <c r="F7" s="20">
        <v>2</v>
      </c>
      <c r="G7" s="20">
        <v>4</v>
      </c>
      <c r="I7" s="227">
        <f t="shared" si="0"/>
        <v>2.1666666666666665</v>
      </c>
      <c r="J7" s="16">
        <v>85</v>
      </c>
      <c r="K7" s="225">
        <f t="array" aca="1" ref="K7" ca="1">INDIRECT(ADDRESS(ROW(Proz)+MATCH(MIN(ABS(J7-Proz)),ABS(J7-Proz),0)-1,COLUMN(Proz)+1))</f>
        <v>2.6</v>
      </c>
      <c r="L7" s="228">
        <f t="shared" ca="1" si="1"/>
        <v>1.1538461538461537</v>
      </c>
      <c r="M7" s="228">
        <f t="shared" ca="1" si="2"/>
        <v>1.3313609467455618</v>
      </c>
    </row>
    <row r="8" spans="1:13" x14ac:dyDescent="0.2">
      <c r="A8" s="12" t="s">
        <v>146</v>
      </c>
      <c r="B8" s="6"/>
      <c r="C8" s="254" t="s">
        <v>491</v>
      </c>
      <c r="E8" s="20">
        <v>1</v>
      </c>
      <c r="F8" s="20">
        <v>2</v>
      </c>
      <c r="G8" s="20">
        <v>3</v>
      </c>
      <c r="I8" s="227">
        <f t="shared" si="0"/>
        <v>2</v>
      </c>
      <c r="J8" s="16">
        <v>80</v>
      </c>
      <c r="K8" s="225">
        <f t="array" aca="1" ref="K8" ca="1">INDIRECT(ADDRESS(ROW(Proz)+MATCH(MIN(ABS(J8-Proz)),ABS(J8-Proz),0)-1,COLUMN(Proz)+1))</f>
        <v>2.6</v>
      </c>
      <c r="L8" s="228">
        <f t="shared" ca="1" si="1"/>
        <v>0.76923076923076916</v>
      </c>
      <c r="M8" s="228">
        <f t="shared" ca="1" si="2"/>
        <v>0.59171597633136086</v>
      </c>
    </row>
    <row r="9" spans="1:13" x14ac:dyDescent="0.2">
      <c r="A9" s="12"/>
      <c r="B9" s="6"/>
      <c r="C9"/>
      <c r="I9" s="227"/>
      <c r="K9" s="225"/>
      <c r="L9" s="228"/>
      <c r="M9" s="228"/>
    </row>
    <row r="10" spans="1:13" ht="25.5" x14ac:dyDescent="0.2">
      <c r="A10" s="10" t="s">
        <v>147</v>
      </c>
      <c r="B10" s="6" t="s">
        <v>481</v>
      </c>
      <c r="I10" s="227">
        <f>(E10+(4*F10)+G10)/6</f>
        <v>0</v>
      </c>
      <c r="K10" s="225">
        <f t="array" aca="1" ref="K10" ca="1">INDIRECT(ADDRESS(ROW(Proz)+MATCH(MIN(ABS(J10-Proz)),ABS(J10-Proz),0)-1,COLUMN(Proz)+1))</f>
        <v>0.25</v>
      </c>
      <c r="L10" s="228">
        <f ca="1">(G10-E10)/K10</f>
        <v>0</v>
      </c>
      <c r="M10" s="228">
        <f ca="1">L10^2</f>
        <v>0</v>
      </c>
    </row>
    <row r="11" spans="1:13" x14ac:dyDescent="0.2">
      <c r="A11" s="12" t="s">
        <v>148</v>
      </c>
      <c r="B11" s="6"/>
      <c r="C11" s="13" t="s">
        <v>495</v>
      </c>
      <c r="E11" s="20">
        <v>4</v>
      </c>
      <c r="F11" s="20">
        <v>7.8</v>
      </c>
      <c r="G11" s="20">
        <v>12</v>
      </c>
      <c r="I11" s="227">
        <f>(E11+(4*F11)+G11)/6</f>
        <v>7.8666666666666671</v>
      </c>
      <c r="J11" s="16">
        <v>80</v>
      </c>
      <c r="K11" s="225">
        <f t="array" aca="1" ref="K11" ca="1">INDIRECT(ADDRESS(ROW(Proz)+MATCH(MIN(ABS(J11-Proz)),ABS(J11-Proz),0)-1,COLUMN(Proz)+1))</f>
        <v>2.6</v>
      </c>
      <c r="L11" s="228">
        <f ca="1">(G11-E11)/K11</f>
        <v>3.0769230769230766</v>
      </c>
      <c r="M11" s="228">
        <f ca="1">L11^2</f>
        <v>9.4674556213017738</v>
      </c>
    </row>
    <row r="12" spans="1:13" x14ac:dyDescent="0.2">
      <c r="A12" s="12" t="s">
        <v>149</v>
      </c>
      <c r="B12" s="6"/>
      <c r="C12" s="13" t="s">
        <v>496</v>
      </c>
      <c r="E12" s="20">
        <v>1</v>
      </c>
      <c r="F12" s="20">
        <v>2.5</v>
      </c>
      <c r="G12" s="20">
        <v>3.5</v>
      </c>
      <c r="I12" s="227">
        <f>(E12+(4*F12)+G12)/6</f>
        <v>2.4166666666666665</v>
      </c>
      <c r="J12" s="16">
        <v>80</v>
      </c>
      <c r="K12" s="225">
        <f t="array" aca="1" ref="K12" ca="1">INDIRECT(ADDRESS(ROW(Proz)+MATCH(MIN(ABS(J12-Proz)),ABS(J12-Proz),0)-1,COLUMN(Proz)+1))</f>
        <v>2.6</v>
      </c>
      <c r="L12" s="228">
        <f ca="1">(G12-E12)/K12</f>
        <v>0.96153846153846145</v>
      </c>
      <c r="M12" s="228">
        <f ca="1">L12^2</f>
        <v>0.92455621301775126</v>
      </c>
    </row>
    <row r="13" spans="1:13" x14ac:dyDescent="0.2">
      <c r="A13" s="12" t="s">
        <v>150</v>
      </c>
      <c r="B13" s="6"/>
      <c r="C13" s="13"/>
      <c r="I13" s="227">
        <f>(E13+(4*F13)+G13)/6</f>
        <v>0</v>
      </c>
      <c r="J13" s="16">
        <v>99.73</v>
      </c>
      <c r="K13" s="225">
        <f t="array" aca="1" ref="K13" ca="1">INDIRECT(ADDRESS(ROW(Proz)+MATCH(MIN(ABS(J13-Proz)),ABS(J13-Proz),0)-1,COLUMN(Proz)+1))</f>
        <v>6</v>
      </c>
      <c r="L13" s="228">
        <f ca="1">(G13-E13)/K13</f>
        <v>0</v>
      </c>
      <c r="M13" s="228">
        <f ca="1">L13^2</f>
        <v>0</v>
      </c>
    </row>
    <row r="14" spans="1:13" x14ac:dyDescent="0.2">
      <c r="A14" s="12" t="s">
        <v>151</v>
      </c>
      <c r="B14" s="6"/>
      <c r="C14" s="13"/>
      <c r="I14" s="227">
        <f>(E14+(4*F14)+G14)/6</f>
        <v>0</v>
      </c>
      <c r="J14" s="16">
        <v>99.73</v>
      </c>
      <c r="K14" s="225">
        <f t="array" aca="1" ref="K14" ca="1">INDIRECT(ADDRESS(ROW(Proz)+MATCH(MIN(ABS(J14-Proz)),ABS(J14-Proz),0)-1,COLUMN(Proz)+1))</f>
        <v>6</v>
      </c>
      <c r="L14" s="228">
        <f ca="1">(G14-E14)/K14</f>
        <v>0</v>
      </c>
      <c r="M14" s="228">
        <f ca="1">L14^2</f>
        <v>0</v>
      </c>
    </row>
    <row r="15" spans="1:13" x14ac:dyDescent="0.2">
      <c r="A15" s="12" t="s">
        <v>152</v>
      </c>
      <c r="B15" s="6"/>
      <c r="C15" s="13"/>
      <c r="I15" s="227">
        <f>(E15+(4*F15)+G15)/6</f>
        <v>0</v>
      </c>
      <c r="J15" s="16">
        <v>99.73</v>
      </c>
      <c r="K15" s="225">
        <f t="array" aca="1" ref="K15" ca="1">INDIRECT(ADDRESS(ROW(Proz)+MATCH(MIN(ABS(J15-Proz)),ABS(J15-Proz),0)-1,COLUMN(Proz)+1))</f>
        <v>6</v>
      </c>
      <c r="L15" s="228">
        <f ca="1">(G15-E15)/K15</f>
        <v>0</v>
      </c>
      <c r="M15" s="228">
        <f ca="1">L15^2</f>
        <v>0</v>
      </c>
    </row>
    <row r="16" spans="1:13" x14ac:dyDescent="0.2">
      <c r="A16" s="12"/>
      <c r="B16" s="6"/>
      <c r="C16" s="13"/>
      <c r="I16" s="227">
        <f>(E16+(4*F16)+G16)/6</f>
        <v>0</v>
      </c>
      <c r="J16" s="16">
        <v>99.73</v>
      </c>
      <c r="K16" s="225">
        <f t="array" aca="1" ref="K16" ca="1">INDIRECT(ADDRESS(ROW(Proz)+MATCH(MIN(ABS(J16-Proz)),ABS(J16-Proz),0)-1,COLUMN(Proz)+1))</f>
        <v>6</v>
      </c>
      <c r="L16" s="228">
        <f ca="1">(G16-E16)/K16</f>
        <v>0</v>
      </c>
      <c r="M16" s="228">
        <f ca="1">L16^2</f>
        <v>0</v>
      </c>
    </row>
    <row r="17" spans="1:13" ht="25.5" x14ac:dyDescent="0.2">
      <c r="A17" s="10" t="s">
        <v>153</v>
      </c>
      <c r="B17" s="6" t="s">
        <v>482</v>
      </c>
      <c r="I17" s="227">
        <f>(E17+(4*F17)+G17)/6</f>
        <v>0</v>
      </c>
      <c r="J17" s="16">
        <v>99.73</v>
      </c>
      <c r="K17" s="225">
        <f t="array" aca="1" ref="K17" ca="1">INDIRECT(ADDRESS(ROW(Proz)+MATCH(MIN(ABS(J17-Proz)),ABS(J17-Proz),0)-1,COLUMN(Proz)+1))</f>
        <v>6</v>
      </c>
      <c r="L17" s="228">
        <f ca="1">(G17-E17)/K17</f>
        <v>0</v>
      </c>
      <c r="M17" s="228">
        <f ca="1">L17^2</f>
        <v>0</v>
      </c>
    </row>
    <row r="18" spans="1:13" x14ac:dyDescent="0.2">
      <c r="A18" s="10"/>
      <c r="B18" s="6"/>
      <c r="C18" s="253" t="s">
        <v>497</v>
      </c>
      <c r="E18" s="20">
        <v>10</v>
      </c>
      <c r="F18" s="20">
        <v>15</v>
      </c>
      <c r="G18" s="20">
        <v>20</v>
      </c>
      <c r="I18" s="227">
        <f t="shared" ref="I18:I20" si="3">(E18+(4*F18)+G18)/6</f>
        <v>15</v>
      </c>
      <c r="J18" s="16">
        <v>80</v>
      </c>
      <c r="K18" s="225">
        <f t="array" aca="1" ref="K18" ca="1">INDIRECT(ADDRESS(ROW(Proz)+MATCH(MIN(ABS(J18-Proz)),ABS(J18-Proz),0)-1,COLUMN(Proz)+1))</f>
        <v>2.6</v>
      </c>
      <c r="L18" s="228">
        <f t="shared" ref="L18:L20" ca="1" si="4">(G18-E18)/K18</f>
        <v>3.8461538461538458</v>
      </c>
      <c r="M18" s="228">
        <f t="shared" ref="M18:M20" ca="1" si="5">L18^2</f>
        <v>14.79289940828402</v>
      </c>
    </row>
    <row r="19" spans="1:13" x14ac:dyDescent="0.2">
      <c r="A19" s="10"/>
      <c r="B19" s="6"/>
      <c r="I19" s="227">
        <f t="shared" si="3"/>
        <v>0</v>
      </c>
      <c r="J19" s="16">
        <v>99.73</v>
      </c>
      <c r="K19" s="225">
        <f t="array" aca="1" ref="K19" ca="1">INDIRECT(ADDRESS(ROW(Proz)+MATCH(MIN(ABS(J19-Proz)),ABS(J19-Proz),0)-1,COLUMN(Proz)+1))</f>
        <v>6</v>
      </c>
      <c r="L19" s="228">
        <f t="shared" ca="1" si="4"/>
        <v>0</v>
      </c>
      <c r="M19" s="228">
        <f t="shared" ca="1" si="5"/>
        <v>0</v>
      </c>
    </row>
    <row r="20" spans="1:13" x14ac:dyDescent="0.2">
      <c r="A20" s="10"/>
      <c r="B20" s="6"/>
      <c r="I20" s="227">
        <f t="shared" si="3"/>
        <v>0</v>
      </c>
      <c r="J20" s="16">
        <v>99.73</v>
      </c>
      <c r="K20" s="225">
        <f t="array" aca="1" ref="K20" ca="1">INDIRECT(ADDRESS(ROW(Proz)+MATCH(MIN(ABS(J20-Proz)),ABS(J20-Proz),0)-1,COLUMN(Proz)+1))</f>
        <v>6</v>
      </c>
      <c r="L20" s="228">
        <f t="shared" ca="1" si="4"/>
        <v>0</v>
      </c>
      <c r="M20" s="228">
        <f t="shared" ca="1" si="5"/>
        <v>0</v>
      </c>
    </row>
    <row r="21" spans="1:13" x14ac:dyDescent="0.2">
      <c r="A21" s="12"/>
      <c r="B21" s="6"/>
      <c r="E21" s="17"/>
      <c r="I21" s="227">
        <f>(E21+(4*F21)+G21)/6</f>
        <v>0</v>
      </c>
      <c r="J21" s="16">
        <v>99.73</v>
      </c>
      <c r="K21" s="225">
        <f t="array" aca="1" ref="K21" ca="1">INDIRECT(ADDRESS(ROW(Proz)+MATCH(MIN(ABS(J21-Proz)),ABS(J21-Proz),0)-1,COLUMN(Proz)+1))</f>
        <v>6</v>
      </c>
      <c r="L21" s="228">
        <f ca="1">(G21-E21)/K21</f>
        <v>0</v>
      </c>
      <c r="M21" s="228">
        <f ca="1">L21^2</f>
        <v>0</v>
      </c>
    </row>
    <row r="22" spans="1:13" x14ac:dyDescent="0.2">
      <c r="A22" s="12"/>
      <c r="B22" s="6"/>
      <c r="E22" s="17"/>
      <c r="I22" s="227">
        <f>(E22+(4*F22)+G22)/6</f>
        <v>0</v>
      </c>
      <c r="J22" s="16">
        <v>99.73</v>
      </c>
      <c r="K22" s="225">
        <f t="array" aca="1" ref="K22" ca="1">INDIRECT(ADDRESS(ROW(Proz)+MATCH(MIN(ABS(J22-Proz)),ABS(J22-Proz),0)-1,COLUMN(Proz)+1))</f>
        <v>6</v>
      </c>
      <c r="L22" s="228">
        <f ca="1">(G22-E22)/K22</f>
        <v>0</v>
      </c>
      <c r="M22" s="228">
        <f ca="1">L22^2</f>
        <v>0</v>
      </c>
    </row>
    <row r="23" spans="1:13" ht="25.5" x14ac:dyDescent="0.2">
      <c r="A23" s="10" t="s">
        <v>154</v>
      </c>
      <c r="B23" s="6" t="s">
        <v>484</v>
      </c>
      <c r="E23" s="21"/>
      <c r="I23" s="227">
        <f t="shared" ref="I23:I26" si="6">(E23+(4*F23)+G23)/6</f>
        <v>0</v>
      </c>
      <c r="J23" s="16">
        <v>100.73</v>
      </c>
      <c r="K23" s="225">
        <f t="array" aca="1" ref="K23" ca="1">INDIRECT(ADDRESS(ROW(Proz)+MATCH(MIN(ABS(J23-Proz)),ABS(J23-Proz),0)-1,COLUMN(Proz)+1))</f>
        <v>6</v>
      </c>
      <c r="L23" s="228">
        <f t="shared" ref="L23:L26" ca="1" si="7">(G23-E23)/K23</f>
        <v>0</v>
      </c>
      <c r="M23" s="228">
        <f t="shared" ref="M23:M26" ca="1" si="8">L23^2</f>
        <v>0</v>
      </c>
    </row>
    <row r="24" spans="1:13" x14ac:dyDescent="0.2">
      <c r="A24" s="12"/>
      <c r="I24" s="227">
        <f t="shared" si="6"/>
        <v>0</v>
      </c>
      <c r="J24" s="16">
        <v>101.73</v>
      </c>
      <c r="K24" s="225">
        <f t="array" aca="1" ref="K24" ca="1">INDIRECT(ADDRESS(ROW(Proz)+MATCH(MIN(ABS(J24-Proz)),ABS(J24-Proz),0)-1,COLUMN(Proz)+1))</f>
        <v>6</v>
      </c>
      <c r="L24" s="228">
        <f t="shared" ca="1" si="7"/>
        <v>0</v>
      </c>
      <c r="M24" s="228">
        <f t="shared" ca="1" si="8"/>
        <v>0</v>
      </c>
    </row>
    <row r="25" spans="1:13" ht="31.5" customHeight="1" x14ac:dyDescent="0.2">
      <c r="A25" s="12"/>
      <c r="E25" s="21"/>
      <c r="I25" s="227">
        <f t="shared" si="6"/>
        <v>0</v>
      </c>
      <c r="J25" s="16">
        <v>102.73</v>
      </c>
      <c r="K25" s="225">
        <f t="array" aca="1" ref="K25" ca="1">INDIRECT(ADDRESS(ROW(Proz)+MATCH(MIN(ABS(J25-Proz)),ABS(J25-Proz),0)-1,COLUMN(Proz)+1))</f>
        <v>6</v>
      </c>
      <c r="L25" s="228">
        <f t="shared" ca="1" si="7"/>
        <v>0</v>
      </c>
      <c r="M25" s="228">
        <f t="shared" ca="1" si="8"/>
        <v>0</v>
      </c>
    </row>
    <row r="26" spans="1:13" ht="25.5" x14ac:dyDescent="0.2">
      <c r="A26" s="10" t="s">
        <v>155</v>
      </c>
      <c r="B26" s="6" t="s">
        <v>485</v>
      </c>
      <c r="E26" s="17"/>
      <c r="I26" s="227">
        <f>(E26+(4*F26)+G26)/6</f>
        <v>0</v>
      </c>
      <c r="J26" s="16">
        <v>99.73</v>
      </c>
      <c r="K26" s="225">
        <f t="array" aca="1" ref="K26" ca="1">INDIRECT(ADDRESS(ROW(Proz)+MATCH(MIN(ABS(J26-Proz)),ABS(J26-Proz),0)-1,COLUMN(Proz)+1))</f>
        <v>6</v>
      </c>
      <c r="L26" s="228">
        <f ca="1">(G26-E26)/K26</f>
        <v>0</v>
      </c>
      <c r="M26" s="228">
        <f ca="1">L26^2</f>
        <v>0</v>
      </c>
    </row>
    <row r="27" spans="1:13" x14ac:dyDescent="0.2">
      <c r="A27" s="10"/>
      <c r="C27" s="253" t="s">
        <v>502</v>
      </c>
      <c r="E27" s="20">
        <v>6</v>
      </c>
      <c r="F27" s="20">
        <v>8</v>
      </c>
      <c r="G27" s="20">
        <v>12</v>
      </c>
      <c r="I27" s="227">
        <f>(E27+(4*F27)+G27)/6</f>
        <v>8.3333333333333339</v>
      </c>
      <c r="J27" s="16">
        <v>75</v>
      </c>
      <c r="K27" s="225">
        <f t="array" aca="1" ref="K27" ca="1">INDIRECT(ADDRESS(ROW(Proz)+MATCH(MIN(ABS(J27-Proz)),ABS(J27-Proz),0)-1,COLUMN(Proz)+1))</f>
        <v>2.1</v>
      </c>
      <c r="L27" s="228">
        <f ca="1">(G27-E27)/K27</f>
        <v>2.8571428571428572</v>
      </c>
      <c r="M27" s="228">
        <f ca="1">L27^2</f>
        <v>8.1632653061224492</v>
      </c>
    </row>
    <row r="28" spans="1:13" x14ac:dyDescent="0.2">
      <c r="A28" s="10"/>
      <c r="B28" s="1"/>
      <c r="E28" s="1"/>
      <c r="F28" s="1"/>
      <c r="G28" s="1"/>
      <c r="I28" s="227">
        <f>(E28+(4*F28)+G28)/6</f>
        <v>0</v>
      </c>
      <c r="J28" s="16">
        <v>76</v>
      </c>
      <c r="K28" s="225">
        <f t="array" aca="1" ref="K28" ca="1">INDIRECT(ADDRESS(ROW(Proz)+MATCH(MIN(ABS(J28-Proz)),ABS(J28-Proz),0)-1,COLUMN(Proz)+1))</f>
        <v>2.6</v>
      </c>
      <c r="L28" s="228">
        <f ca="1">(G28-E28)/K28</f>
        <v>0</v>
      </c>
      <c r="M28" s="228">
        <f ca="1">L28^2</f>
        <v>0</v>
      </c>
    </row>
    <row r="29" spans="1:13" x14ac:dyDescent="0.2">
      <c r="B29" s="6"/>
      <c r="I29" s="227">
        <f>(E29+(4*F29)+G29)/6</f>
        <v>0</v>
      </c>
      <c r="J29" s="16">
        <v>99.73</v>
      </c>
      <c r="K29" s="225">
        <f t="array" aca="1" ref="K29" ca="1">INDIRECT(ADDRESS(ROW(Proz)+MATCH(MIN(ABS(J29-Proz)),ABS(J29-Proz),0)-1,COLUMN(Proz)+1))</f>
        <v>6</v>
      </c>
      <c r="L29" s="228">
        <f ca="1">(G29-E29)/K29</f>
        <v>0</v>
      </c>
      <c r="M29" s="228">
        <f ca="1">L29^2</f>
        <v>0</v>
      </c>
    </row>
    <row r="30" spans="1:13" x14ac:dyDescent="0.2">
      <c r="B30" s="6"/>
      <c r="I30" s="227">
        <f>(E30+(4*F30)+G30)/6</f>
        <v>0</v>
      </c>
      <c r="J30" s="16">
        <v>99.73</v>
      </c>
      <c r="K30" s="225">
        <f t="array" aca="1" ref="K30" ca="1">INDIRECT(ADDRESS(ROW(Proz)+MATCH(MIN(ABS(J30-Proz)),ABS(J30-Proz),0)-1,COLUMN(Proz)+1))</f>
        <v>6</v>
      </c>
      <c r="L30" s="228">
        <f ca="1">(G30-E30)/K30</f>
        <v>0</v>
      </c>
      <c r="M30" s="228">
        <f ca="1">L30^2</f>
        <v>0</v>
      </c>
    </row>
    <row r="31" spans="1:13" ht="25.5" x14ac:dyDescent="0.2">
      <c r="A31" s="10" t="s">
        <v>156</v>
      </c>
      <c r="B31" s="6" t="s">
        <v>483</v>
      </c>
      <c r="I31" s="227">
        <f>(E31+(4*F31)+G31)/6</f>
        <v>0</v>
      </c>
      <c r="J31" s="16">
        <v>99.73</v>
      </c>
      <c r="K31" s="225">
        <f t="array" aca="1" ref="K31" ca="1">INDIRECT(ADDRESS(ROW(Proz)+MATCH(MIN(ABS(J31-Proz)),ABS(J31-Proz),0)-1,COLUMN(Proz)+1))</f>
        <v>6</v>
      </c>
      <c r="L31" s="228">
        <f ca="1">(G31-E31)/K31</f>
        <v>0</v>
      </c>
      <c r="M31" s="228">
        <f ca="1">L31^2</f>
        <v>0</v>
      </c>
    </row>
    <row r="32" spans="1:13" x14ac:dyDescent="0.2">
      <c r="A32" s="10"/>
      <c r="B32" s="6"/>
      <c r="C32" s="253" t="s">
        <v>499</v>
      </c>
      <c r="E32" s="20">
        <v>2</v>
      </c>
      <c r="F32" s="20">
        <v>4</v>
      </c>
      <c r="G32" s="20">
        <v>6</v>
      </c>
      <c r="I32" s="227">
        <f t="shared" ref="I32:I33" si="9">(E32+(4*F32)+G32)/6</f>
        <v>4</v>
      </c>
      <c r="J32" s="16">
        <v>75</v>
      </c>
      <c r="K32" s="225">
        <f t="array" aca="1" ref="K32" ca="1">INDIRECT(ADDRESS(ROW(Proz)+MATCH(MIN(ABS(J32-Proz)),ABS(J32-Proz),0)-1,COLUMN(Proz)+1))</f>
        <v>2.1</v>
      </c>
      <c r="L32" s="228">
        <f t="shared" ref="L32:L33" ca="1" si="10">(G32-E32)/K32</f>
        <v>1.9047619047619047</v>
      </c>
      <c r="M32" s="228">
        <f t="shared" ref="M32:M33" ca="1" si="11">L32^2</f>
        <v>3.6281179138321993</v>
      </c>
    </row>
    <row r="33" spans="1:13" x14ac:dyDescent="0.2">
      <c r="A33" s="10"/>
      <c r="B33" s="6"/>
      <c r="C33" s="253" t="s">
        <v>500</v>
      </c>
      <c r="E33" s="20">
        <v>2</v>
      </c>
      <c r="F33" s="20">
        <v>5</v>
      </c>
      <c r="G33" s="20">
        <v>7.5</v>
      </c>
      <c r="I33" s="227">
        <f t="shared" si="9"/>
        <v>4.916666666666667</v>
      </c>
      <c r="J33" s="16">
        <v>80</v>
      </c>
      <c r="K33" s="225">
        <f t="array" aca="1" ref="K33" ca="1">INDIRECT(ADDRESS(ROW(Proz)+MATCH(MIN(ABS(J33-Proz)),ABS(J33-Proz),0)-1,COLUMN(Proz)+1))</f>
        <v>2.6</v>
      </c>
      <c r="L33" s="228">
        <f t="shared" ca="1" si="10"/>
        <v>2.1153846153846154</v>
      </c>
      <c r="M33" s="228">
        <f t="shared" ca="1" si="11"/>
        <v>4.474852071005917</v>
      </c>
    </row>
    <row r="34" spans="1:13" x14ac:dyDescent="0.2">
      <c r="B34" s="6"/>
      <c r="C34" s="253" t="s">
        <v>501</v>
      </c>
      <c r="E34" s="20">
        <v>6.5</v>
      </c>
      <c r="F34" s="20">
        <v>10</v>
      </c>
      <c r="G34" s="20">
        <v>13</v>
      </c>
      <c r="I34" s="227">
        <f>(E34+(4*F34)+G34)/6</f>
        <v>9.9166666666666661</v>
      </c>
      <c r="J34" s="16">
        <v>85</v>
      </c>
      <c r="K34" s="225">
        <f t="array" aca="1" ref="K34" ca="1">INDIRECT(ADDRESS(ROW(Proz)+MATCH(MIN(ABS(J34-Proz)),ABS(J34-Proz),0)-1,COLUMN(Proz)+1))</f>
        <v>2.6</v>
      </c>
      <c r="L34" s="228">
        <f ca="1">(G34-E34)/K34</f>
        <v>2.5</v>
      </c>
      <c r="M34" s="228">
        <f ca="1">L34^2</f>
        <v>6.25</v>
      </c>
    </row>
    <row r="35" spans="1:13" x14ac:dyDescent="0.2">
      <c r="A35" s="12"/>
      <c r="B35" s="6"/>
      <c r="I35" s="227">
        <f>(E35+(4*F35)+G35)/6</f>
        <v>0</v>
      </c>
      <c r="J35" s="16">
        <v>99.73</v>
      </c>
      <c r="K35" s="225">
        <f t="array" aca="1" ref="K35" ca="1">INDIRECT(ADDRESS(ROW(Proz)+MATCH(MIN(ABS(J35-Proz)),ABS(J35-Proz),0)-1,COLUMN(Proz)+1))</f>
        <v>6</v>
      </c>
      <c r="L35" s="228">
        <f ca="1">(G35-E35)/K35</f>
        <v>0</v>
      </c>
      <c r="M35" s="228">
        <f ca="1">L35^2</f>
        <v>0</v>
      </c>
    </row>
    <row r="36" spans="1:13" x14ac:dyDescent="0.2">
      <c r="A36" s="10" t="s">
        <v>486</v>
      </c>
      <c r="B36" s="6" t="s">
        <v>487</v>
      </c>
      <c r="I36" s="227">
        <f>(E36+(4*F36)+G36)/6</f>
        <v>0</v>
      </c>
      <c r="J36" s="16">
        <v>99.73</v>
      </c>
      <c r="K36" s="225">
        <f t="array" aca="1" ref="K36" ca="1">INDIRECT(ADDRESS(ROW(Proz)+MATCH(MIN(ABS(J36-Proz)),ABS(J36-Proz),0)-1,COLUMN(Proz)+1))</f>
        <v>6</v>
      </c>
      <c r="L36" s="228">
        <f ca="1">(G36-E36)/K36</f>
        <v>0</v>
      </c>
      <c r="M36" s="228">
        <f ca="1">L36^2</f>
        <v>0</v>
      </c>
    </row>
    <row r="37" spans="1:13" x14ac:dyDescent="0.2">
      <c r="A37" s="12"/>
      <c r="B37" s="6"/>
      <c r="C37" s="253" t="s">
        <v>503</v>
      </c>
      <c r="E37" s="20">
        <v>12</v>
      </c>
      <c r="F37" s="20">
        <v>20</v>
      </c>
      <c r="G37" s="20">
        <v>30</v>
      </c>
      <c r="I37" s="227">
        <f>(E37+(4*F37)+G37)/6</f>
        <v>20.333333333333332</v>
      </c>
      <c r="J37" s="16">
        <v>75</v>
      </c>
      <c r="K37" s="225">
        <f t="array" aca="1" ref="K37" ca="1">INDIRECT(ADDRESS(ROW(Proz)+MATCH(MIN(ABS(J37-Proz)),ABS(J37-Proz),0)-1,COLUMN(Proz)+1))</f>
        <v>2.1</v>
      </c>
      <c r="L37" s="228">
        <f ca="1">(G37-E37)/K37</f>
        <v>8.5714285714285712</v>
      </c>
      <c r="M37" s="228">
        <f ca="1">L37^2</f>
        <v>73.469387755102034</v>
      </c>
    </row>
    <row r="38" spans="1:13" x14ac:dyDescent="0.2">
      <c r="A38" s="12"/>
      <c r="B38" s="6"/>
      <c r="I38" s="227">
        <f>(E38+(4*F38)+G38)/6</f>
        <v>0</v>
      </c>
      <c r="J38" s="16">
        <v>99.73</v>
      </c>
      <c r="K38" s="225">
        <f t="array" aca="1" ref="K38" ca="1">INDIRECT(ADDRESS(ROW(Proz)+MATCH(MIN(ABS(J38-Proz)),ABS(J38-Proz),0)-1,COLUMN(Proz)+1))</f>
        <v>6</v>
      </c>
      <c r="L38" s="228">
        <f ca="1">(G38-E38)/K38</f>
        <v>0</v>
      </c>
      <c r="M38" s="228">
        <f ca="1">L38^2</f>
        <v>0</v>
      </c>
    </row>
    <row r="39" spans="1:13" x14ac:dyDescent="0.2">
      <c r="B39" s="6"/>
      <c r="I39" s="227">
        <f>(E39+(4*F39)+G39)/6</f>
        <v>0</v>
      </c>
      <c r="J39" s="16">
        <v>99.73</v>
      </c>
      <c r="K39" s="225">
        <f t="array" aca="1" ref="K39" ca="1">INDIRECT(ADDRESS(ROW(Proz)+MATCH(MIN(ABS(J39-Proz)),ABS(J39-Proz),0)-1,COLUMN(Proz)+1))</f>
        <v>6</v>
      </c>
      <c r="L39" s="228">
        <f ca="1">(G39-E39)/K39</f>
        <v>0</v>
      </c>
      <c r="M39" s="228">
        <f ca="1">L39^2</f>
        <v>0</v>
      </c>
    </row>
    <row r="40" spans="1:13" x14ac:dyDescent="0.2">
      <c r="A40" s="10" t="s">
        <v>488</v>
      </c>
      <c r="B40" s="6" t="s">
        <v>157</v>
      </c>
      <c r="I40" s="227">
        <f>(E40+(4*F40)+G40)/6</f>
        <v>0</v>
      </c>
      <c r="J40" s="16">
        <v>99.73</v>
      </c>
      <c r="K40" s="225">
        <f t="array" aca="1" ref="K40" ca="1">INDIRECT(ADDRESS(ROW(Proz)+MATCH(MIN(ABS(J40-Proz)),ABS(J40-Proz),0)-1,COLUMN(Proz)+1))</f>
        <v>6</v>
      </c>
      <c r="L40" s="228">
        <f ca="1">(G40-E40)/K40</f>
        <v>0</v>
      </c>
      <c r="M40" s="228">
        <f ca="1">L40^2</f>
        <v>0</v>
      </c>
    </row>
    <row r="41" spans="1:13" x14ac:dyDescent="0.2">
      <c r="A41" s="12"/>
      <c r="B41" s="6"/>
      <c r="C41" s="253" t="s">
        <v>498</v>
      </c>
      <c r="E41" s="20">
        <v>6</v>
      </c>
      <c r="F41" s="20">
        <v>10</v>
      </c>
      <c r="G41" s="20">
        <v>16</v>
      </c>
      <c r="I41" s="227">
        <f>(E41+(4*F41)+G41)/6</f>
        <v>10.333333333333334</v>
      </c>
      <c r="J41" s="16">
        <v>80</v>
      </c>
      <c r="K41" s="225">
        <f t="array" aca="1" ref="K41" ca="1">INDIRECT(ADDRESS(ROW(Proz)+MATCH(MIN(ABS(J41-Proz)),ABS(J41-Proz),0)-1,COLUMN(Proz)+1))</f>
        <v>2.6</v>
      </c>
      <c r="L41" s="228">
        <f ca="1">(G41-E41)/K41</f>
        <v>3.8461538461538458</v>
      </c>
      <c r="M41" s="228">
        <f ca="1">L41^2</f>
        <v>14.79289940828402</v>
      </c>
    </row>
    <row r="42" spans="1:13" x14ac:dyDescent="0.2">
      <c r="A42" s="12"/>
      <c r="B42" s="6"/>
      <c r="I42" s="227">
        <f>(E42+(4*F42)+G42)/6</f>
        <v>0</v>
      </c>
      <c r="J42" s="16">
        <v>99.73</v>
      </c>
      <c r="K42" s="225">
        <f t="array" aca="1" ref="K42" ca="1">INDIRECT(ADDRESS(ROW(Proz)+MATCH(MIN(ABS(J42-Proz)),ABS(J42-Proz),0)-1,COLUMN(Proz)+1))</f>
        <v>6</v>
      </c>
      <c r="L42" s="228">
        <f ca="1">(G42-E42)/K42</f>
        <v>0</v>
      </c>
      <c r="M42" s="228">
        <f ca="1">L42^2</f>
        <v>0</v>
      </c>
    </row>
    <row r="43" spans="1:13" x14ac:dyDescent="0.2">
      <c r="A43" s="12"/>
      <c r="B43" s="6"/>
      <c r="I43" s="227">
        <f>(E43+(4*F43)+G43)/6</f>
        <v>0</v>
      </c>
      <c r="J43" s="16">
        <v>99.73</v>
      </c>
      <c r="K43" s="225">
        <f t="array" aca="1" ref="K43" ca="1">INDIRECT(ADDRESS(ROW(Proz)+MATCH(MIN(ABS(J43-Proz)),ABS(J43-Proz),0)-1,COLUMN(Proz)+1))</f>
        <v>6</v>
      </c>
      <c r="L43" s="228">
        <f ca="1">(G43-E43)/K43</f>
        <v>0</v>
      </c>
      <c r="M43" s="228">
        <f ca="1">L43^2</f>
        <v>0</v>
      </c>
    </row>
    <row r="44" spans="1:13" x14ac:dyDescent="0.2">
      <c r="A44" s="12"/>
      <c r="B44" s="6"/>
      <c r="I44" s="227">
        <f>(E44+(4*F44)+G44)/6</f>
        <v>0</v>
      </c>
      <c r="J44" s="16">
        <v>99.73</v>
      </c>
      <c r="K44" s="225">
        <f t="array" aca="1" ref="K44" ca="1">INDIRECT(ADDRESS(ROW(Proz)+MATCH(MIN(ABS(J44-Proz)),ABS(J44-Proz),0)-1,COLUMN(Proz)+1))</f>
        <v>6</v>
      </c>
      <c r="L44" s="228">
        <f ca="1">(G44-E44)/K44</f>
        <v>0</v>
      </c>
      <c r="M44" s="228">
        <f ca="1">L44^2</f>
        <v>0</v>
      </c>
    </row>
    <row r="45" spans="1:13" x14ac:dyDescent="0.2">
      <c r="I45" s="227">
        <f>(E45+(4*F45)+G45)/6</f>
        <v>0</v>
      </c>
      <c r="J45" s="16">
        <v>99.73</v>
      </c>
      <c r="K45" s="225">
        <f t="array" aca="1" ref="K45" ca="1">INDIRECT(ADDRESS(ROW(Proz)+MATCH(MIN(ABS(J45-Proz)),ABS(J45-Proz),0)-1,COLUMN(Proz)+1))</f>
        <v>6</v>
      </c>
      <c r="L45" s="228">
        <f ca="1">(G45-E45)/K45</f>
        <v>0</v>
      </c>
      <c r="M45" s="228">
        <f ca="1">L45^2</f>
        <v>0</v>
      </c>
    </row>
    <row r="46" spans="1:13" x14ac:dyDescent="0.2">
      <c r="B46" s="6"/>
      <c r="I46" s="227">
        <f>(E46+(4*F46)+G46)/6</f>
        <v>0</v>
      </c>
      <c r="J46" s="16">
        <v>99.73</v>
      </c>
      <c r="K46" s="225">
        <f t="array" aca="1" ref="K46" ca="1">INDIRECT(ADDRESS(ROW(Proz)+MATCH(MIN(ABS(J46-Proz)),ABS(J46-Proz),0)-1,COLUMN(Proz)+1))</f>
        <v>6</v>
      </c>
      <c r="L46" s="228">
        <f ca="1">(G46-E46)/K46</f>
        <v>0</v>
      </c>
      <c r="M46" s="228">
        <f ca="1">L46^2</f>
        <v>0</v>
      </c>
    </row>
    <row r="47" spans="1:13" x14ac:dyDescent="0.2">
      <c r="B47" s="6"/>
      <c r="I47" s="227">
        <f>(E47+(4*F47)+G47)/6</f>
        <v>0</v>
      </c>
      <c r="J47" s="16">
        <v>99.73</v>
      </c>
      <c r="K47" s="225">
        <f t="array" aca="1" ref="K47" ca="1">INDIRECT(ADDRESS(ROW(Proz)+MATCH(MIN(ABS(J47-Proz)),ABS(J47-Proz),0)-1,COLUMN(Proz)+1))</f>
        <v>6</v>
      </c>
      <c r="L47" s="228">
        <f ca="1">(G47-E47)/K47</f>
        <v>0</v>
      </c>
      <c r="M47" s="228">
        <f ca="1">L47^2</f>
        <v>0</v>
      </c>
    </row>
    <row r="48" spans="1:13" x14ac:dyDescent="0.2">
      <c r="B48" s="6"/>
      <c r="I48" s="227">
        <f>(E48+(4*F48)+G48)/6</f>
        <v>0</v>
      </c>
      <c r="J48" s="16">
        <v>99.73</v>
      </c>
      <c r="K48" s="225">
        <f t="array" aca="1" ref="K48" ca="1">INDIRECT(ADDRESS(ROW(Proz)+MATCH(MIN(ABS(J48-Proz)),ABS(J48-Proz),0)-1,COLUMN(Proz)+1))</f>
        <v>6</v>
      </c>
      <c r="L48" s="228">
        <f ca="1">(G48-E48)/K48</f>
        <v>0</v>
      </c>
      <c r="M48" s="228">
        <f ca="1">L48^2</f>
        <v>0</v>
      </c>
    </row>
    <row r="49" spans="2:13" x14ac:dyDescent="0.2">
      <c r="I49" s="227">
        <f>(E49+(4*F49)+G49)/6</f>
        <v>0</v>
      </c>
      <c r="J49" s="16">
        <v>99.73</v>
      </c>
      <c r="K49" s="225">
        <f t="array" aca="1" ref="K49" ca="1">INDIRECT(ADDRESS(ROW(Proz)+MATCH(MIN(ABS(J49-Proz)),ABS(J49-Proz),0)-1,COLUMN(Proz)+1))</f>
        <v>6</v>
      </c>
      <c r="L49" s="228">
        <f ca="1">(G49-E49)/K49</f>
        <v>0</v>
      </c>
      <c r="M49" s="228">
        <f ca="1">L49^2</f>
        <v>0</v>
      </c>
    </row>
    <row r="50" spans="2:13" x14ac:dyDescent="0.2">
      <c r="B50" s="6"/>
      <c r="I50" s="227">
        <f>(E50+(4*F50)+G50)/6</f>
        <v>0</v>
      </c>
      <c r="J50" s="16">
        <v>99.73</v>
      </c>
      <c r="K50" s="225">
        <f t="array" aca="1" ref="K50" ca="1">INDIRECT(ADDRESS(ROW(Proz)+MATCH(MIN(ABS(J50-Proz)),ABS(J50-Proz),0)-1,COLUMN(Proz)+1))</f>
        <v>6</v>
      </c>
      <c r="L50" s="228">
        <f ca="1">(G50-E50)/K50</f>
        <v>0</v>
      </c>
      <c r="M50" s="228">
        <f ca="1">L50^2</f>
        <v>0</v>
      </c>
    </row>
    <row r="51" spans="2:13" x14ac:dyDescent="0.2">
      <c r="B51" s="6"/>
      <c r="I51" s="227">
        <f>(E51+(4*F51)+G51)/6</f>
        <v>0</v>
      </c>
      <c r="J51" s="16">
        <v>99.73</v>
      </c>
      <c r="K51" s="225">
        <f t="array" aca="1" ref="K51" ca="1">INDIRECT(ADDRESS(ROW(Proz)+MATCH(MIN(ABS(J51-Proz)),ABS(J51-Proz),0)-1,COLUMN(Proz)+1))</f>
        <v>6</v>
      </c>
      <c r="L51" s="228">
        <f ca="1">(G51-E51)/K51</f>
        <v>0</v>
      </c>
      <c r="M51" s="228">
        <f ca="1">L51^2</f>
        <v>0</v>
      </c>
    </row>
    <row r="52" spans="2:13" x14ac:dyDescent="0.2">
      <c r="I52" s="227">
        <f>(E52+(4*F52)+G52)/6</f>
        <v>0</v>
      </c>
      <c r="J52" s="16">
        <v>99.73</v>
      </c>
      <c r="K52" s="225">
        <f t="array" aca="1" ref="K52" ca="1">INDIRECT(ADDRESS(ROW(Proz)+MATCH(MIN(ABS(J52-Proz)),ABS(J52-Proz),0)-1,COLUMN(Proz)+1))</f>
        <v>6</v>
      </c>
      <c r="L52" s="228">
        <f ca="1">(G52-E52)/K52</f>
        <v>0</v>
      </c>
      <c r="M52" s="228">
        <f ca="1">L52^2</f>
        <v>0</v>
      </c>
    </row>
    <row r="53" spans="2:13" ht="13.5" thickBot="1" x14ac:dyDescent="0.25">
      <c r="E53" s="22"/>
      <c r="F53" s="22"/>
      <c r="G53" s="22"/>
      <c r="I53" s="227">
        <f>(E53+(4*F53)+G53)/6</f>
        <v>0</v>
      </c>
      <c r="J53" s="16">
        <v>99.73</v>
      </c>
      <c r="K53" s="225">
        <f t="array" aca="1" ref="K53" ca="1">INDIRECT(ADDRESS(ROW(Proz)+MATCH(MIN(ABS(J53-Proz)),ABS(J53-Proz),0)-1,COLUMN(Proz)+1))</f>
        <v>6</v>
      </c>
      <c r="L53" s="228">
        <f ca="1">(G53-E53)/K53</f>
        <v>0</v>
      </c>
      <c r="M53" s="228">
        <f ca="1">L53^2</f>
        <v>0</v>
      </c>
    </row>
    <row r="54" spans="2:13" ht="42.75" customHeight="1" x14ac:dyDescent="0.2">
      <c r="C54" s="249" t="s">
        <v>93</v>
      </c>
      <c r="D54" s="152" t="s">
        <v>92</v>
      </c>
      <c r="M54" s="19"/>
    </row>
    <row r="55" spans="2:13" x14ac:dyDescent="0.2">
      <c r="C55" s="250">
        <v>10</v>
      </c>
      <c r="D55" s="190">
        <v>0.25</v>
      </c>
      <c r="M55" s="19"/>
    </row>
    <row r="56" spans="2:13" x14ac:dyDescent="0.2">
      <c r="C56" s="250">
        <v>20</v>
      </c>
      <c r="D56" s="190">
        <v>0.51</v>
      </c>
      <c r="M56" s="19"/>
    </row>
    <row r="57" spans="2:13" x14ac:dyDescent="0.2">
      <c r="C57" s="250">
        <v>30</v>
      </c>
      <c r="D57" s="190">
        <v>0.77</v>
      </c>
      <c r="M57" s="19"/>
    </row>
    <row r="58" spans="2:13" x14ac:dyDescent="0.2">
      <c r="C58" s="250">
        <v>40</v>
      </c>
      <c r="D58" s="190">
        <v>1</v>
      </c>
      <c r="M58" s="19"/>
    </row>
    <row r="59" spans="2:13" x14ac:dyDescent="0.2">
      <c r="C59" s="250">
        <v>50</v>
      </c>
      <c r="D59" s="190">
        <v>1.4</v>
      </c>
      <c r="M59" s="19"/>
    </row>
    <row r="60" spans="2:13" x14ac:dyDescent="0.2">
      <c r="C60" s="250">
        <v>60</v>
      </c>
      <c r="D60" s="190">
        <v>1.7</v>
      </c>
      <c r="M60" s="19"/>
    </row>
    <row r="61" spans="2:13" x14ac:dyDescent="0.2">
      <c r="C61" s="250">
        <v>70</v>
      </c>
      <c r="D61" s="190">
        <v>2.1</v>
      </c>
      <c r="M61" s="19"/>
    </row>
    <row r="62" spans="2:13" x14ac:dyDescent="0.2">
      <c r="C62" s="250">
        <v>80</v>
      </c>
      <c r="D62" s="190">
        <v>2.6</v>
      </c>
      <c r="M62" s="19"/>
    </row>
    <row r="63" spans="2:13" x14ac:dyDescent="0.2">
      <c r="C63" s="250">
        <v>90</v>
      </c>
      <c r="D63" s="190">
        <v>3.3</v>
      </c>
      <c r="M63" s="19"/>
    </row>
    <row r="64" spans="2:13" ht="13.5" thickBot="1" x14ac:dyDescent="0.25">
      <c r="C64" s="251">
        <v>100</v>
      </c>
      <c r="D64" s="252">
        <v>6</v>
      </c>
      <c r="M64" s="19"/>
    </row>
    <row r="65" spans="13:13" x14ac:dyDescent="0.2">
      <c r="M65" s="19"/>
    </row>
    <row r="66" spans="13:13" x14ac:dyDescent="0.2">
      <c r="M66" s="19"/>
    </row>
    <row r="75" spans="13:13" ht="50.25" customHeight="1" x14ac:dyDescent="0.2"/>
    <row r="76" spans="13:13" x14ac:dyDescent="0.2">
      <c r="M76" s="19"/>
    </row>
    <row r="89" spans="13:13" x14ac:dyDescent="0.2">
      <c r="M89" s="19"/>
    </row>
    <row r="90" spans="13:13" x14ac:dyDescent="0.2">
      <c r="M90" s="19"/>
    </row>
    <row r="91" spans="13:13" x14ac:dyDescent="0.2">
      <c r="M91" s="19"/>
    </row>
    <row r="92" spans="13:13" x14ac:dyDescent="0.2">
      <c r="M92" s="19"/>
    </row>
    <row r="93" spans="13:13" x14ac:dyDescent="0.2">
      <c r="M93" s="19"/>
    </row>
    <row r="94" spans="13:13" x14ac:dyDescent="0.2">
      <c r="M94" s="19"/>
    </row>
    <row r="95" spans="13:13" x14ac:dyDescent="0.2">
      <c r="M95" s="19"/>
    </row>
    <row r="96" spans="13:13" x14ac:dyDescent="0.2">
      <c r="M96" s="19"/>
    </row>
    <row r="97" spans="13:13" x14ac:dyDescent="0.2">
      <c r="M97" s="19"/>
    </row>
    <row r="98" spans="13:13" x14ac:dyDescent="0.2">
      <c r="M98" s="19"/>
    </row>
    <row r="99" spans="13:13" x14ac:dyDescent="0.2">
      <c r="M99" s="19"/>
    </row>
    <row r="100" spans="13:13" x14ac:dyDescent="0.2">
      <c r="M100" s="19"/>
    </row>
    <row r="101" spans="13:13" x14ac:dyDescent="0.2">
      <c r="M101" s="19"/>
    </row>
    <row r="102" spans="13:13" x14ac:dyDescent="0.2">
      <c r="M102" s="19"/>
    </row>
    <row r="103" spans="13:13" x14ac:dyDescent="0.2">
      <c r="M103" s="19"/>
    </row>
    <row r="104" spans="13:13" x14ac:dyDescent="0.2">
      <c r="M104" s="19"/>
    </row>
    <row r="105" spans="13:13" x14ac:dyDescent="0.2">
      <c r="M105" s="19"/>
    </row>
    <row r="106" spans="13:13" x14ac:dyDescent="0.2">
      <c r="M106" s="19"/>
    </row>
    <row r="107" spans="13:13" x14ac:dyDescent="0.2">
      <c r="M107" s="19"/>
    </row>
    <row r="108" spans="13:13" x14ac:dyDescent="0.2">
      <c r="M108" s="19"/>
    </row>
    <row r="109" spans="13:13" x14ac:dyDescent="0.2">
      <c r="M109" s="19"/>
    </row>
    <row r="110" spans="13:13" x14ac:dyDescent="0.2">
      <c r="M110" s="19"/>
    </row>
    <row r="111" spans="13:13" x14ac:dyDescent="0.2">
      <c r="M111" s="19"/>
    </row>
    <row r="112" spans="13:13" x14ac:dyDescent="0.2">
      <c r="M112" s="19"/>
    </row>
    <row r="113" spans="13:13" x14ac:dyDescent="0.2">
      <c r="M113" s="19"/>
    </row>
    <row r="114" spans="13:13" x14ac:dyDescent="0.2">
      <c r="M114" s="19"/>
    </row>
    <row r="115" spans="13:13" x14ac:dyDescent="0.2">
      <c r="M115" s="19"/>
    </row>
    <row r="116" spans="13:13" x14ac:dyDescent="0.2">
      <c r="M116" s="19"/>
    </row>
    <row r="117" spans="13:13" x14ac:dyDescent="0.2">
      <c r="M117" s="19"/>
    </row>
    <row r="118" spans="13:13" x14ac:dyDescent="0.2">
      <c r="M118" s="19"/>
    </row>
    <row r="119" spans="13:13" x14ac:dyDescent="0.2">
      <c r="M119" s="19"/>
    </row>
    <row r="120" spans="13:13" x14ac:dyDescent="0.2">
      <c r="M120" s="19"/>
    </row>
    <row r="121" spans="13:13" x14ac:dyDescent="0.2">
      <c r="M121" s="19"/>
    </row>
    <row r="122" spans="13:13" x14ac:dyDescent="0.2">
      <c r="M122" s="19"/>
    </row>
    <row r="123" spans="13:13" x14ac:dyDescent="0.2">
      <c r="M123" s="19"/>
    </row>
    <row r="124" spans="13:13" x14ac:dyDescent="0.2">
      <c r="M124" s="19"/>
    </row>
    <row r="125" spans="13:13" x14ac:dyDescent="0.2">
      <c r="M125" s="19"/>
    </row>
    <row r="126" spans="13:13" x14ac:dyDescent="0.2">
      <c r="M126" s="19"/>
    </row>
    <row r="127" spans="13:13" x14ac:dyDescent="0.2">
      <c r="M127" s="19"/>
    </row>
    <row r="128" spans="13:13" x14ac:dyDescent="0.2">
      <c r="M128" s="19"/>
    </row>
    <row r="129" spans="13:13" x14ac:dyDescent="0.2">
      <c r="M129" s="19"/>
    </row>
    <row r="130" spans="13:13" x14ac:dyDescent="0.2">
      <c r="M130" s="19"/>
    </row>
    <row r="131" spans="13:13" x14ac:dyDescent="0.2">
      <c r="M131" s="19"/>
    </row>
    <row r="132" spans="13:13" x14ac:dyDescent="0.2">
      <c r="M132" s="19"/>
    </row>
    <row r="133" spans="13:13" x14ac:dyDescent="0.2">
      <c r="M133" s="19"/>
    </row>
    <row r="134" spans="13:13" x14ac:dyDescent="0.2">
      <c r="M134" s="19"/>
    </row>
    <row r="135" spans="13:13" x14ac:dyDescent="0.2">
      <c r="M135" s="19"/>
    </row>
    <row r="136" spans="13:13" x14ac:dyDescent="0.2">
      <c r="M136" s="19"/>
    </row>
    <row r="137" spans="13:13" x14ac:dyDescent="0.2">
      <c r="M137" s="19"/>
    </row>
    <row r="138" spans="13:13" x14ac:dyDescent="0.2">
      <c r="M138" s="19"/>
    </row>
    <row r="139" spans="13:13" x14ac:dyDescent="0.2">
      <c r="M139" s="19"/>
    </row>
    <row r="140" spans="13:13" x14ac:dyDescent="0.2">
      <c r="M140" s="19"/>
    </row>
    <row r="141" spans="13:13" x14ac:dyDescent="0.2">
      <c r="M141" s="19"/>
    </row>
    <row r="142" spans="13:13" x14ac:dyDescent="0.2">
      <c r="M142" s="19"/>
    </row>
    <row r="143" spans="13:13" x14ac:dyDescent="0.2">
      <c r="M143" s="19"/>
    </row>
    <row r="144" spans="13:13" x14ac:dyDescent="0.2">
      <c r="M144" s="19"/>
    </row>
    <row r="145" spans="13:13" x14ac:dyDescent="0.2">
      <c r="M145" s="19"/>
    </row>
    <row r="146" spans="13:13" x14ac:dyDescent="0.2">
      <c r="M146" s="19"/>
    </row>
    <row r="147" spans="13:13" x14ac:dyDescent="0.2">
      <c r="M147" s="19"/>
    </row>
    <row r="148" spans="13:13" x14ac:dyDescent="0.2">
      <c r="M148" s="19"/>
    </row>
    <row r="149" spans="13:13" x14ac:dyDescent="0.2">
      <c r="M149" s="19"/>
    </row>
    <row r="150" spans="13:13" x14ac:dyDescent="0.2">
      <c r="M150" s="19"/>
    </row>
    <row r="151" spans="13:13" x14ac:dyDescent="0.2">
      <c r="M151" s="19"/>
    </row>
    <row r="152" spans="13:13" x14ac:dyDescent="0.2">
      <c r="M152" s="19"/>
    </row>
    <row r="153" spans="13:13" x14ac:dyDescent="0.2">
      <c r="M153" s="19"/>
    </row>
    <row r="154" spans="13:13" x14ac:dyDescent="0.2">
      <c r="M154" s="19"/>
    </row>
    <row r="155" spans="13:13" x14ac:dyDescent="0.2">
      <c r="M155" s="19"/>
    </row>
    <row r="156" spans="13:13" x14ac:dyDescent="0.2">
      <c r="M156" s="19"/>
    </row>
    <row r="157" spans="13:13" x14ac:dyDescent="0.2">
      <c r="M157" s="19"/>
    </row>
    <row r="158" spans="13:13" x14ac:dyDescent="0.2">
      <c r="M158" s="19"/>
    </row>
    <row r="159" spans="13:13" x14ac:dyDescent="0.2">
      <c r="M159" s="19"/>
    </row>
    <row r="160" spans="13:13" x14ac:dyDescent="0.2">
      <c r="M160" s="19"/>
    </row>
    <row r="161" spans="13:13" x14ac:dyDescent="0.2">
      <c r="M161" s="19"/>
    </row>
    <row r="162" spans="13:13" x14ac:dyDescent="0.2">
      <c r="M162" s="19"/>
    </row>
    <row r="163" spans="13:13" x14ac:dyDescent="0.2">
      <c r="M163" s="19"/>
    </row>
    <row r="164" spans="13:13" x14ac:dyDescent="0.2">
      <c r="M164" s="19"/>
    </row>
    <row r="165" spans="13:13" x14ac:dyDescent="0.2">
      <c r="M165" s="19"/>
    </row>
    <row r="166" spans="13:13" x14ac:dyDescent="0.2">
      <c r="M166" s="19"/>
    </row>
    <row r="167" spans="13:13" x14ac:dyDescent="0.2">
      <c r="M167" s="19"/>
    </row>
    <row r="168" spans="13:13" x14ac:dyDescent="0.2">
      <c r="M168" s="19"/>
    </row>
    <row r="169" spans="13:13" x14ac:dyDescent="0.2">
      <c r="M169" s="19"/>
    </row>
    <row r="170" spans="13:13" x14ac:dyDescent="0.2">
      <c r="M170" s="19"/>
    </row>
    <row r="171" spans="13:13" x14ac:dyDescent="0.2">
      <c r="M171" s="19"/>
    </row>
    <row r="172" spans="13:13" x14ac:dyDescent="0.2">
      <c r="M172" s="19"/>
    </row>
    <row r="173" spans="13:13" x14ac:dyDescent="0.2">
      <c r="M173" s="19"/>
    </row>
    <row r="174" spans="13:13" x14ac:dyDescent="0.2">
      <c r="M174" s="19"/>
    </row>
    <row r="175" spans="13:13" x14ac:dyDescent="0.2">
      <c r="M175" s="19"/>
    </row>
    <row r="176" spans="13:13" x14ac:dyDescent="0.2">
      <c r="M176" s="19"/>
    </row>
    <row r="177" spans="13:13" x14ac:dyDescent="0.2">
      <c r="M177" s="19"/>
    </row>
    <row r="178" spans="13:13" x14ac:dyDescent="0.2">
      <c r="M178" s="19"/>
    </row>
    <row r="179" spans="13:13" x14ac:dyDescent="0.2">
      <c r="M179" s="19"/>
    </row>
    <row r="180" spans="13:13" x14ac:dyDescent="0.2">
      <c r="M180" s="19"/>
    </row>
    <row r="181" spans="13:13" x14ac:dyDescent="0.2">
      <c r="M181" s="19"/>
    </row>
    <row r="182" spans="13:13" x14ac:dyDescent="0.2">
      <c r="M182" s="19"/>
    </row>
    <row r="183" spans="13:13" x14ac:dyDescent="0.2">
      <c r="M183" s="19"/>
    </row>
    <row r="184" spans="13:13" x14ac:dyDescent="0.2">
      <c r="M184" s="19"/>
    </row>
    <row r="185" spans="13:13" x14ac:dyDescent="0.2">
      <c r="M185" s="19"/>
    </row>
    <row r="186" spans="13:13" x14ac:dyDescent="0.2">
      <c r="M186" s="19"/>
    </row>
    <row r="187" spans="13:13" x14ac:dyDescent="0.2">
      <c r="M187" s="19"/>
    </row>
    <row r="188" spans="13:13" x14ac:dyDescent="0.2">
      <c r="M188" s="19"/>
    </row>
    <row r="189" spans="13:13" x14ac:dyDescent="0.2">
      <c r="M189" s="19"/>
    </row>
    <row r="190" spans="13:13" x14ac:dyDescent="0.2">
      <c r="M190" s="19"/>
    </row>
    <row r="191" spans="13:13" x14ac:dyDescent="0.2">
      <c r="M191" s="19"/>
    </row>
    <row r="192" spans="13:13" x14ac:dyDescent="0.2">
      <c r="M192" s="19"/>
    </row>
    <row r="193" spans="13:13" x14ac:dyDescent="0.2">
      <c r="M193" s="19"/>
    </row>
    <row r="194" spans="13:13" x14ac:dyDescent="0.2">
      <c r="M194" s="19"/>
    </row>
    <row r="195" spans="13:13" x14ac:dyDescent="0.2">
      <c r="M195" s="19"/>
    </row>
    <row r="196" spans="13:13" x14ac:dyDescent="0.2">
      <c r="M196" s="19"/>
    </row>
    <row r="197" spans="13:13" x14ac:dyDescent="0.2">
      <c r="M197" s="19"/>
    </row>
    <row r="198" spans="13:13" x14ac:dyDescent="0.2">
      <c r="M198" s="19"/>
    </row>
    <row r="199" spans="13:13" x14ac:dyDescent="0.2">
      <c r="M199" s="19"/>
    </row>
    <row r="200" spans="13:13" x14ac:dyDescent="0.2">
      <c r="M200" s="19"/>
    </row>
    <row r="201" spans="13:13" x14ac:dyDescent="0.2">
      <c r="M201" s="19"/>
    </row>
    <row r="202" spans="13:13" x14ac:dyDescent="0.2">
      <c r="M202" s="19"/>
    </row>
    <row r="203" spans="13:13" x14ac:dyDescent="0.2">
      <c r="M203" s="19"/>
    </row>
    <row r="204" spans="13:13" x14ac:dyDescent="0.2">
      <c r="M204" s="19"/>
    </row>
    <row r="205" spans="13:13" x14ac:dyDescent="0.2">
      <c r="M205" s="19"/>
    </row>
    <row r="206" spans="13:13" x14ac:dyDescent="0.2">
      <c r="M206" s="19"/>
    </row>
    <row r="207" spans="13:13" x14ac:dyDescent="0.2">
      <c r="M207" s="19"/>
    </row>
    <row r="208" spans="13:13" x14ac:dyDescent="0.2">
      <c r="M208" s="19"/>
    </row>
    <row r="209" spans="13:13" x14ac:dyDescent="0.2">
      <c r="M209" s="19"/>
    </row>
    <row r="210" spans="13:13" x14ac:dyDescent="0.2">
      <c r="M210" s="19"/>
    </row>
    <row r="211" spans="13:13" x14ac:dyDescent="0.2">
      <c r="M211" s="19"/>
    </row>
    <row r="212" spans="13:13" x14ac:dyDescent="0.2">
      <c r="M212" s="19"/>
    </row>
    <row r="213" spans="13:13" x14ac:dyDescent="0.2">
      <c r="M213" s="19"/>
    </row>
    <row r="214" spans="13:13" x14ac:dyDescent="0.2">
      <c r="M214" s="19"/>
    </row>
    <row r="215" spans="13:13" x14ac:dyDescent="0.2">
      <c r="M215" s="19"/>
    </row>
    <row r="216" spans="13:13" x14ac:dyDescent="0.2">
      <c r="M216" s="19"/>
    </row>
    <row r="217" spans="13:13" x14ac:dyDescent="0.2">
      <c r="M217" s="19"/>
    </row>
    <row r="218" spans="13:13" x14ac:dyDescent="0.2">
      <c r="M218" s="19"/>
    </row>
    <row r="219" spans="13:13" x14ac:dyDescent="0.2">
      <c r="M219" s="19"/>
    </row>
    <row r="220" spans="13:13" x14ac:dyDescent="0.2">
      <c r="M220" s="19"/>
    </row>
    <row r="221" spans="13:13" x14ac:dyDescent="0.2">
      <c r="M221" s="19"/>
    </row>
    <row r="222" spans="13:13" x14ac:dyDescent="0.2">
      <c r="M222" s="19"/>
    </row>
    <row r="223" spans="13:13" x14ac:dyDescent="0.2">
      <c r="M223" s="19"/>
    </row>
    <row r="224" spans="13:13" x14ac:dyDescent="0.2">
      <c r="M224" s="19"/>
    </row>
    <row r="225" spans="13:13" x14ac:dyDescent="0.2">
      <c r="M225" s="19"/>
    </row>
    <row r="226" spans="13:13" x14ac:dyDescent="0.2">
      <c r="M226" s="19"/>
    </row>
    <row r="227" spans="13:13" x14ac:dyDescent="0.2">
      <c r="M227" s="19"/>
    </row>
    <row r="228" spans="13:13" x14ac:dyDescent="0.2">
      <c r="M228" s="19"/>
    </row>
    <row r="229" spans="13:13" x14ac:dyDescent="0.2">
      <c r="M229" s="19"/>
    </row>
    <row r="230" spans="13:13" x14ac:dyDescent="0.2">
      <c r="M230" s="19"/>
    </row>
    <row r="231" spans="13:13" x14ac:dyDescent="0.2">
      <c r="M231" s="19"/>
    </row>
    <row r="232" spans="13:13" x14ac:dyDescent="0.2">
      <c r="M232" s="19"/>
    </row>
    <row r="233" spans="13:13" x14ac:dyDescent="0.2">
      <c r="M233" s="19"/>
    </row>
    <row r="234" spans="13:13" x14ac:dyDescent="0.2">
      <c r="M234" s="19"/>
    </row>
    <row r="235" spans="13:13" x14ac:dyDescent="0.2">
      <c r="M235" s="19"/>
    </row>
    <row r="236" spans="13:13" x14ac:dyDescent="0.2">
      <c r="M236" s="19"/>
    </row>
    <row r="237" spans="13:13" x14ac:dyDescent="0.2">
      <c r="M237" s="19"/>
    </row>
    <row r="238" spans="13:13" x14ac:dyDescent="0.2">
      <c r="M238" s="19"/>
    </row>
    <row r="239" spans="13:13" x14ac:dyDescent="0.2">
      <c r="M239" s="19"/>
    </row>
    <row r="240" spans="13:13" x14ac:dyDescent="0.2">
      <c r="M240" s="19"/>
    </row>
    <row r="241" spans="13:13" x14ac:dyDescent="0.2">
      <c r="M241" s="19"/>
    </row>
    <row r="242" spans="13:13" x14ac:dyDescent="0.2">
      <c r="M242" s="19"/>
    </row>
    <row r="243" spans="13:13" x14ac:dyDescent="0.2">
      <c r="M243" s="19"/>
    </row>
    <row r="244" spans="13:13" x14ac:dyDescent="0.2">
      <c r="M244" s="19"/>
    </row>
    <row r="245" spans="13:13" x14ac:dyDescent="0.2">
      <c r="M245" s="19"/>
    </row>
    <row r="246" spans="13:13" x14ac:dyDescent="0.2">
      <c r="M246" s="19"/>
    </row>
    <row r="247" spans="13:13" x14ac:dyDescent="0.2">
      <c r="M247" s="19"/>
    </row>
    <row r="248" spans="13:13" x14ac:dyDescent="0.2">
      <c r="M248" s="19"/>
    </row>
    <row r="249" spans="13:13" x14ac:dyDescent="0.2">
      <c r="M249" s="19"/>
    </row>
    <row r="250" spans="13:13" x14ac:dyDescent="0.2">
      <c r="M250" s="19"/>
    </row>
    <row r="251" spans="13:13" x14ac:dyDescent="0.2">
      <c r="M251" s="19"/>
    </row>
    <row r="252" spans="13:13" x14ac:dyDescent="0.2">
      <c r="M252" s="19"/>
    </row>
    <row r="253" spans="13:13" x14ac:dyDescent="0.2">
      <c r="M253" s="19"/>
    </row>
    <row r="254" spans="13:13" x14ac:dyDescent="0.2">
      <c r="M254" s="19"/>
    </row>
    <row r="255" spans="13:13" x14ac:dyDescent="0.2">
      <c r="M255" s="19"/>
    </row>
    <row r="256" spans="13:13" x14ac:dyDescent="0.2">
      <c r="M256" s="19"/>
    </row>
    <row r="257" spans="13:13" x14ac:dyDescent="0.2">
      <c r="M257" s="19"/>
    </row>
    <row r="258" spans="13:13" x14ac:dyDescent="0.2">
      <c r="M258" s="19"/>
    </row>
    <row r="259" spans="13:13" x14ac:dyDescent="0.2">
      <c r="M259" s="19"/>
    </row>
    <row r="260" spans="13:13" x14ac:dyDescent="0.2">
      <c r="M260" s="19"/>
    </row>
    <row r="261" spans="13:13" x14ac:dyDescent="0.2">
      <c r="M261" s="19"/>
    </row>
    <row r="262" spans="13:13" x14ac:dyDescent="0.2">
      <c r="M262" s="19"/>
    </row>
    <row r="263" spans="13:13" x14ac:dyDescent="0.2">
      <c r="M263" s="19"/>
    </row>
    <row r="264" spans="13:13" x14ac:dyDescent="0.2">
      <c r="M264" s="19"/>
    </row>
    <row r="265" spans="13:13" x14ac:dyDescent="0.2">
      <c r="M265" s="19"/>
    </row>
    <row r="266" spans="13:13" x14ac:dyDescent="0.2">
      <c r="M266" s="19"/>
    </row>
    <row r="267" spans="13:13" x14ac:dyDescent="0.2">
      <c r="M267" s="19"/>
    </row>
    <row r="268" spans="13:13" x14ac:dyDescent="0.2">
      <c r="M268" s="19"/>
    </row>
    <row r="269" spans="13:13" x14ac:dyDescent="0.2">
      <c r="M269" s="19"/>
    </row>
    <row r="270" spans="13:13" x14ac:dyDescent="0.2">
      <c r="M270" s="19"/>
    </row>
    <row r="271" spans="13:13" x14ac:dyDescent="0.2">
      <c r="M271" s="19"/>
    </row>
    <row r="272" spans="13:13" x14ac:dyDescent="0.2">
      <c r="M272" s="19"/>
    </row>
    <row r="273" spans="13:13" x14ac:dyDescent="0.2">
      <c r="M273" s="19"/>
    </row>
    <row r="274" spans="13:13" x14ac:dyDescent="0.2">
      <c r="M274" s="19"/>
    </row>
    <row r="275" spans="13:13" x14ac:dyDescent="0.2">
      <c r="M275" s="19"/>
    </row>
    <row r="276" spans="13:13" x14ac:dyDescent="0.2">
      <c r="M276" s="19"/>
    </row>
    <row r="277" spans="13:13" x14ac:dyDescent="0.2">
      <c r="M277" s="19"/>
    </row>
    <row r="278" spans="13:13" x14ac:dyDescent="0.2">
      <c r="M278" s="19"/>
    </row>
    <row r="279" spans="13:13" x14ac:dyDescent="0.2">
      <c r="M279" s="19"/>
    </row>
    <row r="280" spans="13:13" x14ac:dyDescent="0.2">
      <c r="M280" s="19"/>
    </row>
    <row r="281" spans="13:13" x14ac:dyDescent="0.2">
      <c r="M281" s="19"/>
    </row>
    <row r="282" spans="13:13" x14ac:dyDescent="0.2">
      <c r="M282" s="19"/>
    </row>
    <row r="283" spans="13:13" x14ac:dyDescent="0.2">
      <c r="M283" s="19"/>
    </row>
    <row r="284" spans="13:13" x14ac:dyDescent="0.2">
      <c r="M284" s="19"/>
    </row>
    <row r="285" spans="13:13" x14ac:dyDescent="0.2">
      <c r="M285" s="19"/>
    </row>
    <row r="286" spans="13:13" x14ac:dyDescent="0.2">
      <c r="M286" s="19"/>
    </row>
    <row r="287" spans="13:13" x14ac:dyDescent="0.2">
      <c r="M287" s="19"/>
    </row>
    <row r="288" spans="13:13" x14ac:dyDescent="0.2">
      <c r="M288" s="19"/>
    </row>
    <row r="289" spans="13:13" x14ac:dyDescent="0.2">
      <c r="M289" s="19"/>
    </row>
    <row r="290" spans="13:13" x14ac:dyDescent="0.2">
      <c r="M290" s="19"/>
    </row>
    <row r="291" spans="13:13" x14ac:dyDescent="0.2">
      <c r="M291" s="19"/>
    </row>
    <row r="292" spans="13:13" x14ac:dyDescent="0.2">
      <c r="M292" s="19"/>
    </row>
    <row r="293" spans="13:13" x14ac:dyDescent="0.2">
      <c r="M293" s="19"/>
    </row>
    <row r="294" spans="13:13" x14ac:dyDescent="0.2">
      <c r="M294" s="19"/>
    </row>
    <row r="295" spans="13:13" x14ac:dyDescent="0.2">
      <c r="M295" s="19"/>
    </row>
    <row r="296" spans="13:13" x14ac:dyDescent="0.2">
      <c r="M296" s="19"/>
    </row>
    <row r="297" spans="13:13" x14ac:dyDescent="0.2">
      <c r="M297" s="19"/>
    </row>
    <row r="298" spans="13:13" x14ac:dyDescent="0.2">
      <c r="M298" s="19"/>
    </row>
    <row r="299" spans="13:13" x14ac:dyDescent="0.2">
      <c r="M299" s="19"/>
    </row>
    <row r="300" spans="13:13" x14ac:dyDescent="0.2">
      <c r="M300" s="19"/>
    </row>
    <row r="301" spans="13:13" x14ac:dyDescent="0.2">
      <c r="M301" s="19"/>
    </row>
    <row r="302" spans="13:13" x14ac:dyDescent="0.2">
      <c r="M302" s="19"/>
    </row>
    <row r="303" spans="13:13" x14ac:dyDescent="0.2">
      <c r="M303" s="19"/>
    </row>
    <row r="304" spans="13:13" x14ac:dyDescent="0.2">
      <c r="M304" s="19"/>
    </row>
    <row r="305" spans="13:13" x14ac:dyDescent="0.2">
      <c r="M305" s="19"/>
    </row>
    <row r="306" spans="13:13" x14ac:dyDescent="0.2">
      <c r="M306" s="19"/>
    </row>
    <row r="307" spans="13:13" x14ac:dyDescent="0.2">
      <c r="M307" s="19"/>
    </row>
    <row r="308" spans="13:13" x14ac:dyDescent="0.2">
      <c r="M308" s="19"/>
    </row>
    <row r="309" spans="13:13" x14ac:dyDescent="0.2">
      <c r="M309" s="19"/>
    </row>
    <row r="310" spans="13:13" x14ac:dyDescent="0.2">
      <c r="M310" s="19"/>
    </row>
    <row r="311" spans="13:13" x14ac:dyDescent="0.2">
      <c r="M311" s="19"/>
    </row>
    <row r="312" spans="13:13" x14ac:dyDescent="0.2">
      <c r="M312" s="19"/>
    </row>
    <row r="313" spans="13:13" x14ac:dyDescent="0.2">
      <c r="M313" s="19"/>
    </row>
    <row r="314" spans="13:13" x14ac:dyDescent="0.2">
      <c r="M314" s="19"/>
    </row>
    <row r="315" spans="13:13" x14ac:dyDescent="0.2">
      <c r="M315" s="19"/>
    </row>
    <row r="316" spans="13:13" x14ac:dyDescent="0.2">
      <c r="M316" s="19"/>
    </row>
    <row r="317" spans="13:13" x14ac:dyDescent="0.2">
      <c r="M317" s="19"/>
    </row>
    <row r="318" spans="13:13" x14ac:dyDescent="0.2">
      <c r="M318" s="19"/>
    </row>
    <row r="319" spans="13:13" x14ac:dyDescent="0.2">
      <c r="M319" s="19"/>
    </row>
    <row r="320" spans="13:13" x14ac:dyDescent="0.2">
      <c r="M320" s="19"/>
    </row>
    <row r="321" spans="13:13" x14ac:dyDescent="0.2">
      <c r="M321" s="19"/>
    </row>
    <row r="322" spans="13:13" x14ac:dyDescent="0.2">
      <c r="M322" s="19"/>
    </row>
    <row r="323" spans="13:13" x14ac:dyDescent="0.2">
      <c r="M323" s="19"/>
    </row>
    <row r="324" spans="13:13" x14ac:dyDescent="0.2">
      <c r="M324" s="19"/>
    </row>
    <row r="325" spans="13:13" x14ac:dyDescent="0.2">
      <c r="M325" s="19"/>
    </row>
    <row r="326" spans="13:13" x14ac:dyDescent="0.2">
      <c r="M326" s="19"/>
    </row>
    <row r="327" spans="13:13" x14ac:dyDescent="0.2">
      <c r="M327" s="19"/>
    </row>
    <row r="328" spans="13:13" x14ac:dyDescent="0.2">
      <c r="M328" s="19"/>
    </row>
    <row r="329" spans="13:13" x14ac:dyDescent="0.2">
      <c r="M329" s="19"/>
    </row>
    <row r="330" spans="13:13" x14ac:dyDescent="0.2">
      <c r="M330" s="19"/>
    </row>
    <row r="331" spans="13:13" x14ac:dyDescent="0.2">
      <c r="M331" s="19"/>
    </row>
    <row r="332" spans="13:13" x14ac:dyDescent="0.2">
      <c r="M332" s="19"/>
    </row>
    <row r="333" spans="13:13" x14ac:dyDescent="0.2">
      <c r="M333" s="19"/>
    </row>
    <row r="334" spans="13:13" x14ac:dyDescent="0.2">
      <c r="M334" s="19"/>
    </row>
    <row r="335" spans="13:13" x14ac:dyDescent="0.2">
      <c r="M335" s="19"/>
    </row>
    <row r="336" spans="13:13" x14ac:dyDescent="0.2">
      <c r="M336" s="19"/>
    </row>
    <row r="337" spans="13:13" x14ac:dyDescent="0.2">
      <c r="M337" s="19"/>
    </row>
  </sheetData>
  <phoneticPr fontId="0" type="noConversion"/>
  <printOptions gridLines="1"/>
  <pageMargins left="0.78740157480314965" right="0.78740157480314965" top="0.98425196850393704" bottom="0.98425196850393704" header="0.51181102362204722" footer="0.51181102362204722"/>
  <pageSetup paperSize="9" scale="52" orientation="portrait" verticalDpi="1200" r:id="rId1"/>
  <headerFooter alignWithMargins="0">
    <oddHeader>&amp;L&amp;G&amp;C&amp;A&amp;RLV: Aufwandschätzverfahren für IKT Projekte</oddHeader>
    <oddFooter>&amp;L(c) 2006 DI(FH) Sven Schweiger&amp;R&amp;P / &amp;N</oddFooter>
  </headerFooter>
  <rowBreaks count="1" manualBreakCount="1">
    <brk id="562" max="16383" man="1"/>
  </rowBreaks>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pageSetUpPr fitToPage="1"/>
  </sheetPr>
  <dimension ref="A1:M307"/>
  <sheetViews>
    <sheetView zoomScale="85" zoomScaleNormal="85" zoomScaleSheetLayoutView="100" workbookViewId="0">
      <selection activeCell="H54" sqref="H54"/>
    </sheetView>
  </sheetViews>
  <sheetFormatPr baseColWidth="10" defaultRowHeight="12.75" x14ac:dyDescent="0.2"/>
  <cols>
    <col min="1" max="1" width="7.28515625" style="11" customWidth="1"/>
    <col min="2" max="2" width="20" style="3" customWidth="1"/>
    <col min="3" max="3" width="36.140625" style="1" customWidth="1"/>
    <col min="4" max="4" width="27.85546875" style="1" customWidth="1"/>
    <col min="5" max="6" width="11.5703125" style="20" customWidth="1"/>
    <col min="7" max="7" width="12.28515625" style="20" customWidth="1"/>
    <col min="8" max="8" width="41.5703125" style="1" customWidth="1"/>
    <col min="9" max="9" width="10.85546875" style="23" customWidth="1"/>
    <col min="10" max="10" width="10.140625" style="16" customWidth="1"/>
    <col min="11" max="11" width="9.5703125" style="16" customWidth="1"/>
    <col min="12" max="12" width="11" style="19" customWidth="1"/>
    <col min="13" max="13" width="11.5703125" style="15" customWidth="1"/>
    <col min="14" max="14" width="11.42578125" style="1"/>
    <col min="15" max="15" width="40.140625" style="1" customWidth="1"/>
    <col min="16" max="16" width="22.85546875" style="1" customWidth="1"/>
    <col min="17" max="16384" width="11.42578125" style="1"/>
  </cols>
  <sheetData>
    <row r="1" spans="1:13" s="2" customFormat="1" ht="45.75" thickBot="1" x14ac:dyDescent="0.25">
      <c r="A1" s="208" t="s">
        <v>0</v>
      </c>
      <c r="B1" s="209" t="s">
        <v>1</v>
      </c>
      <c r="C1" s="209" t="s">
        <v>2</v>
      </c>
      <c r="D1" s="209" t="s">
        <v>85</v>
      </c>
      <c r="E1" s="210" t="s">
        <v>87</v>
      </c>
      <c r="F1" s="210" t="s">
        <v>95</v>
      </c>
      <c r="G1" s="210" t="s">
        <v>88</v>
      </c>
      <c r="H1" s="211" t="s">
        <v>89</v>
      </c>
      <c r="I1" s="212" t="s">
        <v>90</v>
      </c>
      <c r="J1" s="212" t="s">
        <v>96</v>
      </c>
      <c r="K1" s="212" t="s">
        <v>94</v>
      </c>
      <c r="L1" s="213" t="s">
        <v>97</v>
      </c>
      <c r="M1" s="214" t="s">
        <v>86</v>
      </c>
    </row>
    <row r="2" spans="1:13" s="2" customFormat="1" ht="15.75" thickBot="1" x14ac:dyDescent="0.25">
      <c r="A2" s="215"/>
      <c r="B2" s="216"/>
      <c r="C2" s="216"/>
      <c r="D2" s="216"/>
      <c r="E2" s="217">
        <f>SUM(E3:E9982)</f>
        <v>0</v>
      </c>
      <c r="F2" s="217">
        <f>SUM(F3:F9982)</f>
        <v>0</v>
      </c>
      <c r="G2" s="217">
        <f>SUM(G3:G9982)</f>
        <v>0</v>
      </c>
      <c r="H2" s="216"/>
      <c r="I2" s="218">
        <f>SUM(I3:I9982)</f>
        <v>0</v>
      </c>
      <c r="J2" s="218" t="s">
        <v>477</v>
      </c>
      <c r="K2" s="218"/>
      <c r="L2" s="219">
        <f ca="1">M2^(1/2)</f>
        <v>0</v>
      </c>
      <c r="M2" s="219">
        <f ca="1">SUM(M3:M9982)</f>
        <v>0</v>
      </c>
    </row>
    <row r="3" spans="1:13" ht="32.25" customHeight="1" x14ac:dyDescent="0.2">
      <c r="A3" s="10" t="s">
        <v>160</v>
      </c>
      <c r="B3" s="6" t="s">
        <v>162</v>
      </c>
      <c r="I3" s="227">
        <f t="shared" ref="I3:I44" si="0">(E3+(4*F3)+G3)/6</f>
        <v>0</v>
      </c>
      <c r="J3" s="16">
        <v>99.73</v>
      </c>
      <c r="K3" s="225">
        <f t="array" aca="1" ref="K3" ca="1">INDIRECT(ADDRESS(ROW(Proz)+MATCH(MIN(ABS(J3-Proz)),ABS(J3-Proz),0)-1,COLUMN(Proz)+1))</f>
        <v>6</v>
      </c>
      <c r="L3" s="228">
        <f t="shared" ref="L3:L44" ca="1" si="1">(G3-E3)/K3</f>
        <v>0</v>
      </c>
      <c r="M3" s="228">
        <f t="shared" ref="M3:M44" ca="1" si="2">L3^2</f>
        <v>0</v>
      </c>
    </row>
    <row r="4" spans="1:13" x14ac:dyDescent="0.2">
      <c r="A4" s="12" t="s">
        <v>161</v>
      </c>
      <c r="B4" s="6"/>
      <c r="C4" s="1" t="s">
        <v>163</v>
      </c>
      <c r="I4" s="227">
        <f t="shared" si="0"/>
        <v>0</v>
      </c>
      <c r="J4" s="16">
        <v>99.73</v>
      </c>
      <c r="K4" s="225">
        <f t="array" aca="1" ref="K4" ca="1">INDIRECT(ADDRESS(ROW(Proz)+MATCH(MIN(ABS(J4-Proz)),ABS(J4-Proz),0)-1,COLUMN(Proz)+1))</f>
        <v>6</v>
      </c>
      <c r="L4" s="228">
        <f t="shared" ca="1" si="1"/>
        <v>0</v>
      </c>
      <c r="M4" s="228">
        <f t="shared" ca="1" si="2"/>
        <v>0</v>
      </c>
    </row>
    <row r="5" spans="1:13" x14ac:dyDescent="0.2">
      <c r="A5" s="12" t="s">
        <v>171</v>
      </c>
      <c r="B5" s="6"/>
      <c r="C5" s="1" t="s">
        <v>164</v>
      </c>
      <c r="I5" s="227">
        <f t="shared" si="0"/>
        <v>0</v>
      </c>
      <c r="J5" s="16">
        <v>99.73</v>
      </c>
      <c r="K5" s="225">
        <f t="array" aca="1" ref="K5" ca="1">INDIRECT(ADDRESS(ROW(Proz)+MATCH(MIN(ABS(J5-Proz)),ABS(J5-Proz),0)-1,COLUMN(Proz)+1))</f>
        <v>6</v>
      </c>
      <c r="L5" s="228">
        <f t="shared" ca="1" si="1"/>
        <v>0</v>
      </c>
      <c r="M5" s="228">
        <f t="shared" ca="1" si="2"/>
        <v>0</v>
      </c>
    </row>
    <row r="6" spans="1:13" x14ac:dyDescent="0.2">
      <c r="A6" s="12" t="s">
        <v>172</v>
      </c>
      <c r="B6" s="1"/>
      <c r="C6" s="1" t="s">
        <v>165</v>
      </c>
      <c r="I6" s="227">
        <f t="shared" si="0"/>
        <v>0</v>
      </c>
      <c r="J6" s="16">
        <v>99.73</v>
      </c>
      <c r="K6" s="225">
        <f t="array" aca="1" ref="K6" ca="1">INDIRECT(ADDRESS(ROW(Proz)+MATCH(MIN(ABS(J6-Proz)),ABS(J6-Proz),0)-1,COLUMN(Proz)+1))</f>
        <v>6</v>
      </c>
      <c r="L6" s="228">
        <f t="shared" ca="1" si="1"/>
        <v>0</v>
      </c>
      <c r="M6" s="228">
        <f t="shared" ca="1" si="2"/>
        <v>0</v>
      </c>
    </row>
    <row r="7" spans="1:13" x14ac:dyDescent="0.2">
      <c r="A7" s="12" t="s">
        <v>173</v>
      </c>
      <c r="B7" s="6"/>
      <c r="C7" s="1" t="s">
        <v>166</v>
      </c>
      <c r="I7" s="227">
        <f t="shared" si="0"/>
        <v>0</v>
      </c>
      <c r="J7" s="16">
        <v>99.73</v>
      </c>
      <c r="K7" s="225">
        <f t="array" aca="1" ref="K7" ca="1">INDIRECT(ADDRESS(ROW(Proz)+MATCH(MIN(ABS(J7-Proz)),ABS(J7-Proz),0)-1,COLUMN(Proz)+1))</f>
        <v>6</v>
      </c>
      <c r="L7" s="228">
        <f t="shared" ca="1" si="1"/>
        <v>0</v>
      </c>
      <c r="M7" s="228">
        <f t="shared" ca="1" si="2"/>
        <v>0</v>
      </c>
    </row>
    <row r="8" spans="1:13" x14ac:dyDescent="0.2">
      <c r="A8" s="12" t="s">
        <v>174</v>
      </c>
      <c r="B8" s="6"/>
      <c r="C8" s="1" t="s">
        <v>167</v>
      </c>
      <c r="I8" s="227">
        <f t="shared" si="0"/>
        <v>0</v>
      </c>
      <c r="J8" s="16">
        <v>99.73</v>
      </c>
      <c r="K8" s="225">
        <f t="array" aca="1" ref="K8" ca="1">INDIRECT(ADDRESS(ROW(Proz)+MATCH(MIN(ABS(J8-Proz)),ABS(J8-Proz),0)-1,COLUMN(Proz)+1))</f>
        <v>6</v>
      </c>
      <c r="L8" s="228">
        <f t="shared" ca="1" si="1"/>
        <v>0</v>
      </c>
      <c r="M8" s="228">
        <f t="shared" ca="1" si="2"/>
        <v>0</v>
      </c>
    </row>
    <row r="9" spans="1:13" x14ac:dyDescent="0.2">
      <c r="A9" s="12" t="s">
        <v>175</v>
      </c>
      <c r="B9" s="6"/>
      <c r="C9" s="1" t="s">
        <v>168</v>
      </c>
      <c r="I9" s="227">
        <f t="shared" si="0"/>
        <v>0</v>
      </c>
      <c r="J9" s="16">
        <v>99.73</v>
      </c>
      <c r="K9" s="225">
        <f t="array" aca="1" ref="K9" ca="1">INDIRECT(ADDRESS(ROW(Proz)+MATCH(MIN(ABS(J9-Proz)),ABS(J9-Proz),0)-1,COLUMN(Proz)+1))</f>
        <v>6</v>
      </c>
      <c r="L9" s="228">
        <f t="shared" ca="1" si="1"/>
        <v>0</v>
      </c>
      <c r="M9" s="228">
        <f t="shared" ca="1" si="2"/>
        <v>0</v>
      </c>
    </row>
    <row r="10" spans="1:13" x14ac:dyDescent="0.2">
      <c r="A10" s="12"/>
      <c r="B10" s="6"/>
      <c r="I10" s="227">
        <f t="shared" si="0"/>
        <v>0</v>
      </c>
      <c r="J10" s="16">
        <v>99.73</v>
      </c>
      <c r="K10" s="225">
        <f t="array" aca="1" ref="K10" ca="1">INDIRECT(ADDRESS(ROW(Proz)+MATCH(MIN(ABS(J10-Proz)),ABS(J10-Proz),0)-1,COLUMN(Proz)+1))</f>
        <v>6</v>
      </c>
      <c r="L10" s="228">
        <f t="shared" ca="1" si="1"/>
        <v>0</v>
      </c>
      <c r="M10" s="228">
        <f t="shared" ca="1" si="2"/>
        <v>0</v>
      </c>
    </row>
    <row r="11" spans="1:13" ht="31.5" customHeight="1" x14ac:dyDescent="0.2">
      <c r="A11" s="10" t="s">
        <v>169</v>
      </c>
      <c r="B11" s="6" t="s">
        <v>170</v>
      </c>
      <c r="I11" s="227">
        <f t="shared" si="0"/>
        <v>0</v>
      </c>
      <c r="J11" s="16">
        <v>99.73</v>
      </c>
      <c r="K11" s="225">
        <f t="array" aca="1" ref="K11" ca="1">INDIRECT(ADDRESS(ROW(Proz)+MATCH(MIN(ABS(J11-Proz)),ABS(J11-Proz),0)-1,COLUMN(Proz)+1))</f>
        <v>6</v>
      </c>
      <c r="L11" s="228">
        <f t="shared" ca="1" si="1"/>
        <v>0</v>
      </c>
      <c r="M11" s="228">
        <f t="shared" ca="1" si="2"/>
        <v>0</v>
      </c>
    </row>
    <row r="12" spans="1:13" x14ac:dyDescent="0.2">
      <c r="A12" s="12" t="s">
        <v>176</v>
      </c>
      <c r="B12" s="6"/>
      <c r="C12" s="1" t="s">
        <v>65</v>
      </c>
      <c r="I12" s="227">
        <f t="shared" si="0"/>
        <v>0</v>
      </c>
      <c r="J12" s="16">
        <v>99.73</v>
      </c>
      <c r="K12" s="225">
        <f t="array" aca="1" ref="K12" ca="1">INDIRECT(ADDRESS(ROW(Proz)+MATCH(MIN(ABS(J12-Proz)),ABS(J12-Proz),0)-1,COLUMN(Proz)+1))</f>
        <v>6</v>
      </c>
      <c r="L12" s="228">
        <f t="shared" ca="1" si="1"/>
        <v>0</v>
      </c>
      <c r="M12" s="228">
        <f t="shared" ca="1" si="2"/>
        <v>0</v>
      </c>
    </row>
    <row r="13" spans="1:13" x14ac:dyDescent="0.2">
      <c r="A13" s="12"/>
      <c r="B13" s="6"/>
      <c r="C13" s="1" t="s">
        <v>167</v>
      </c>
      <c r="I13" s="227">
        <f t="shared" si="0"/>
        <v>0</v>
      </c>
      <c r="J13" s="16">
        <v>99.73</v>
      </c>
      <c r="K13" s="225">
        <f t="array" aca="1" ref="K13" ca="1">INDIRECT(ADDRESS(ROW(Proz)+MATCH(MIN(ABS(J13-Proz)),ABS(J13-Proz),0)-1,COLUMN(Proz)+1))</f>
        <v>6</v>
      </c>
      <c r="L13" s="228">
        <f t="shared" ca="1" si="1"/>
        <v>0</v>
      </c>
      <c r="M13" s="228">
        <f t="shared" ca="1" si="2"/>
        <v>0</v>
      </c>
    </row>
    <row r="14" spans="1:13" x14ac:dyDescent="0.2">
      <c r="A14" s="12"/>
      <c r="B14" s="6"/>
      <c r="C14" s="1" t="s">
        <v>177</v>
      </c>
      <c r="I14" s="227">
        <f t="shared" si="0"/>
        <v>0</v>
      </c>
      <c r="J14" s="16">
        <v>99.73</v>
      </c>
      <c r="K14" s="225">
        <f t="array" aca="1" ref="K14" ca="1">INDIRECT(ADDRESS(ROW(Proz)+MATCH(MIN(ABS(J14-Proz)),ABS(J14-Proz),0)-1,COLUMN(Proz)+1))</f>
        <v>6</v>
      </c>
      <c r="L14" s="228">
        <f t="shared" ca="1" si="1"/>
        <v>0</v>
      </c>
      <c r="M14" s="228">
        <f t="shared" ca="1" si="2"/>
        <v>0</v>
      </c>
    </row>
    <row r="15" spans="1:13" ht="34.5" customHeight="1" x14ac:dyDescent="0.2">
      <c r="A15" s="12"/>
      <c r="B15" s="6"/>
      <c r="C15" s="1" t="s">
        <v>178</v>
      </c>
      <c r="I15" s="227">
        <f t="shared" si="0"/>
        <v>0</v>
      </c>
      <c r="J15" s="16">
        <v>99.73</v>
      </c>
      <c r="K15" s="225">
        <f t="array" aca="1" ref="K15" ca="1">INDIRECT(ADDRESS(ROW(Proz)+MATCH(MIN(ABS(J15-Proz)),ABS(J15-Proz),0)-1,COLUMN(Proz)+1))</f>
        <v>6</v>
      </c>
      <c r="L15" s="228">
        <f t="shared" ca="1" si="1"/>
        <v>0</v>
      </c>
      <c r="M15" s="228">
        <f t="shared" ca="1" si="2"/>
        <v>0</v>
      </c>
    </row>
    <row r="16" spans="1:13" x14ac:dyDescent="0.2">
      <c r="B16" s="6"/>
      <c r="I16" s="227">
        <f t="shared" si="0"/>
        <v>0</v>
      </c>
      <c r="J16" s="16">
        <v>99.73</v>
      </c>
      <c r="K16" s="225">
        <f t="array" aca="1" ref="K16" ca="1">INDIRECT(ADDRESS(ROW(Proz)+MATCH(MIN(ABS(J16-Proz)),ABS(J16-Proz),0)-1,COLUMN(Proz)+1))</f>
        <v>6</v>
      </c>
      <c r="L16" s="228">
        <f t="shared" ca="1" si="1"/>
        <v>0</v>
      </c>
      <c r="M16" s="228">
        <f t="shared" ca="1" si="2"/>
        <v>0</v>
      </c>
    </row>
    <row r="17" spans="1:13" ht="25.5" x14ac:dyDescent="0.2">
      <c r="A17" s="10" t="s">
        <v>179</v>
      </c>
      <c r="B17" s="6" t="s">
        <v>180</v>
      </c>
      <c r="I17" s="227">
        <f t="shared" si="0"/>
        <v>0</v>
      </c>
      <c r="J17" s="16">
        <v>99.73</v>
      </c>
      <c r="K17" s="225">
        <f t="array" aca="1" ref="K17" ca="1">INDIRECT(ADDRESS(ROW(Proz)+MATCH(MIN(ABS(J17-Proz)),ABS(J17-Proz),0)-1,COLUMN(Proz)+1))</f>
        <v>6</v>
      </c>
      <c r="L17" s="228">
        <f t="shared" ca="1" si="1"/>
        <v>0</v>
      </c>
      <c r="M17" s="228">
        <f t="shared" ca="1" si="2"/>
        <v>0</v>
      </c>
    </row>
    <row r="18" spans="1:13" x14ac:dyDescent="0.2">
      <c r="A18" s="12" t="s">
        <v>184</v>
      </c>
      <c r="B18" s="6"/>
      <c r="C18" s="1" t="s">
        <v>167</v>
      </c>
      <c r="E18" s="17"/>
      <c r="I18" s="227">
        <f t="shared" si="0"/>
        <v>0</v>
      </c>
      <c r="J18" s="16">
        <v>99.73</v>
      </c>
      <c r="K18" s="225">
        <f t="array" aca="1" ref="K18" ca="1">INDIRECT(ADDRESS(ROW(Proz)+MATCH(MIN(ABS(J18-Proz)),ABS(J18-Proz),0)-1,COLUMN(Proz)+1))</f>
        <v>6</v>
      </c>
      <c r="L18" s="228">
        <f t="shared" ca="1" si="1"/>
        <v>0</v>
      </c>
      <c r="M18" s="228">
        <f t="shared" ca="1" si="2"/>
        <v>0</v>
      </c>
    </row>
    <row r="19" spans="1:13" x14ac:dyDescent="0.2">
      <c r="A19" s="12" t="s">
        <v>185</v>
      </c>
      <c r="B19" s="6"/>
      <c r="C19" s="1" t="s">
        <v>181</v>
      </c>
      <c r="E19" s="17"/>
      <c r="I19" s="227">
        <f t="shared" si="0"/>
        <v>0</v>
      </c>
      <c r="J19" s="16">
        <v>99.73</v>
      </c>
      <c r="K19" s="225">
        <f t="array" aca="1" ref="K19" ca="1">INDIRECT(ADDRESS(ROW(Proz)+MATCH(MIN(ABS(J19-Proz)),ABS(J19-Proz),0)-1,COLUMN(Proz)+1))</f>
        <v>6</v>
      </c>
      <c r="L19" s="228">
        <f t="shared" ca="1" si="1"/>
        <v>0</v>
      </c>
      <c r="M19" s="228">
        <f t="shared" ca="1" si="2"/>
        <v>0</v>
      </c>
    </row>
    <row r="20" spans="1:13" x14ac:dyDescent="0.2">
      <c r="A20" s="12" t="s">
        <v>186</v>
      </c>
      <c r="B20" s="6"/>
      <c r="C20" s="1" t="s">
        <v>182</v>
      </c>
      <c r="I20" s="227">
        <f t="shared" si="0"/>
        <v>0</v>
      </c>
      <c r="J20" s="16">
        <v>99.73</v>
      </c>
      <c r="K20" s="225">
        <f t="array" aca="1" ref="K20" ca="1">INDIRECT(ADDRESS(ROW(Proz)+MATCH(MIN(ABS(J20-Proz)),ABS(J20-Proz),0)-1,COLUMN(Proz)+1))</f>
        <v>6</v>
      </c>
      <c r="L20" s="228">
        <f t="shared" ca="1" si="1"/>
        <v>0</v>
      </c>
      <c r="M20" s="228">
        <f t="shared" ca="1" si="2"/>
        <v>0</v>
      </c>
    </row>
    <row r="21" spans="1:13" ht="15" x14ac:dyDescent="0.2">
      <c r="A21" s="12" t="s">
        <v>187</v>
      </c>
      <c r="B21" s="6"/>
      <c r="C21" s="1" t="s">
        <v>14</v>
      </c>
      <c r="E21" s="21"/>
      <c r="I21" s="227">
        <f t="shared" si="0"/>
        <v>0</v>
      </c>
      <c r="J21" s="16">
        <v>99.73</v>
      </c>
      <c r="K21" s="225">
        <f t="array" aca="1" ref="K21" ca="1">INDIRECT(ADDRESS(ROW(Proz)+MATCH(MIN(ABS(J21-Proz)),ABS(J21-Proz),0)-1,COLUMN(Proz)+1))</f>
        <v>6</v>
      </c>
      <c r="L21" s="228">
        <f t="shared" ca="1" si="1"/>
        <v>0</v>
      </c>
      <c r="M21" s="228">
        <f t="shared" ca="1" si="2"/>
        <v>0</v>
      </c>
    </row>
    <row r="22" spans="1:13" ht="15" x14ac:dyDescent="0.2">
      <c r="A22" s="12" t="s">
        <v>188</v>
      </c>
      <c r="B22" s="6"/>
      <c r="C22" s="1" t="s">
        <v>183</v>
      </c>
      <c r="E22" s="21"/>
      <c r="I22" s="227">
        <f t="shared" si="0"/>
        <v>0</v>
      </c>
      <c r="J22" s="16">
        <v>99.73</v>
      </c>
      <c r="K22" s="225">
        <f t="array" aca="1" ref="K22" ca="1">INDIRECT(ADDRESS(ROW(Proz)+MATCH(MIN(ABS(J22-Proz)),ABS(J22-Proz),0)-1,COLUMN(Proz)+1))</f>
        <v>6</v>
      </c>
      <c r="L22" s="228">
        <f t="shared" ca="1" si="1"/>
        <v>0</v>
      </c>
      <c r="M22" s="228">
        <f t="shared" ca="1" si="2"/>
        <v>0</v>
      </c>
    </row>
    <row r="23" spans="1:13" x14ac:dyDescent="0.2">
      <c r="B23" s="6"/>
      <c r="I23" s="227">
        <f t="shared" si="0"/>
        <v>0</v>
      </c>
      <c r="J23" s="16">
        <v>99.73</v>
      </c>
      <c r="K23" s="225">
        <f t="array" aca="1" ref="K23" ca="1">INDIRECT(ADDRESS(ROW(Proz)+MATCH(MIN(ABS(J23-Proz)),ABS(J23-Proz),0)-1,COLUMN(Proz)+1))</f>
        <v>6</v>
      </c>
      <c r="L23" s="228">
        <f t="shared" ca="1" si="1"/>
        <v>0</v>
      </c>
      <c r="M23" s="228">
        <f t="shared" ca="1" si="2"/>
        <v>0</v>
      </c>
    </row>
    <row r="24" spans="1:13" ht="42.75" customHeight="1" x14ac:dyDescent="0.2">
      <c r="A24" s="10" t="s">
        <v>189</v>
      </c>
      <c r="B24" s="6" t="s">
        <v>190</v>
      </c>
      <c r="C24" s="1" t="s">
        <v>191</v>
      </c>
      <c r="I24" s="227">
        <f t="shared" si="0"/>
        <v>0</v>
      </c>
      <c r="J24" s="16">
        <v>99.73</v>
      </c>
      <c r="K24" s="225">
        <f t="array" aca="1" ref="K24" ca="1">INDIRECT(ADDRESS(ROW(Proz)+MATCH(MIN(ABS(J24-Proz)),ABS(J24-Proz),0)-1,COLUMN(Proz)+1))</f>
        <v>6</v>
      </c>
      <c r="L24" s="228">
        <f t="shared" ca="1" si="1"/>
        <v>0</v>
      </c>
      <c r="M24" s="228">
        <f t="shared" ca="1" si="2"/>
        <v>0</v>
      </c>
    </row>
    <row r="25" spans="1:13" x14ac:dyDescent="0.2">
      <c r="A25" s="12" t="s">
        <v>196</v>
      </c>
      <c r="B25" s="6"/>
      <c r="C25" s="1" t="s">
        <v>192</v>
      </c>
      <c r="I25" s="227">
        <f t="shared" si="0"/>
        <v>0</v>
      </c>
      <c r="J25" s="16">
        <v>99.73</v>
      </c>
      <c r="K25" s="225">
        <f t="array" aca="1" ref="K25" ca="1">INDIRECT(ADDRESS(ROW(Proz)+MATCH(MIN(ABS(J25-Proz)),ABS(J25-Proz),0)-1,COLUMN(Proz)+1))</f>
        <v>6</v>
      </c>
      <c r="L25" s="228">
        <f t="shared" ca="1" si="1"/>
        <v>0</v>
      </c>
      <c r="M25" s="228">
        <f t="shared" ca="1" si="2"/>
        <v>0</v>
      </c>
    </row>
    <row r="26" spans="1:13" x14ac:dyDescent="0.2">
      <c r="A26" s="12" t="s">
        <v>197</v>
      </c>
      <c r="B26" s="6"/>
      <c r="C26" s="1" t="s">
        <v>193</v>
      </c>
      <c r="I26" s="227">
        <f t="shared" si="0"/>
        <v>0</v>
      </c>
      <c r="J26" s="16">
        <v>99.73</v>
      </c>
      <c r="K26" s="225">
        <f t="array" aca="1" ref="K26" ca="1">INDIRECT(ADDRESS(ROW(Proz)+MATCH(MIN(ABS(J26-Proz)),ABS(J26-Proz),0)-1,COLUMN(Proz)+1))</f>
        <v>6</v>
      </c>
      <c r="L26" s="228">
        <f t="shared" ca="1" si="1"/>
        <v>0</v>
      </c>
      <c r="M26" s="228">
        <f t="shared" ca="1" si="2"/>
        <v>0</v>
      </c>
    </row>
    <row r="27" spans="1:13" x14ac:dyDescent="0.2">
      <c r="A27" s="12" t="s">
        <v>198</v>
      </c>
      <c r="B27" s="6"/>
      <c r="C27" s="1" t="s">
        <v>194</v>
      </c>
      <c r="I27" s="227">
        <f t="shared" si="0"/>
        <v>0</v>
      </c>
      <c r="J27" s="16">
        <v>99.73</v>
      </c>
      <c r="K27" s="225">
        <f t="array" aca="1" ref="K27" ca="1">INDIRECT(ADDRESS(ROW(Proz)+MATCH(MIN(ABS(J27-Proz)),ABS(J27-Proz),0)-1,COLUMN(Proz)+1))</f>
        <v>6</v>
      </c>
      <c r="L27" s="228">
        <f t="shared" ca="1" si="1"/>
        <v>0</v>
      </c>
      <c r="M27" s="228">
        <f t="shared" ca="1" si="2"/>
        <v>0</v>
      </c>
    </row>
    <row r="28" spans="1:13" x14ac:dyDescent="0.2">
      <c r="A28" s="12" t="s">
        <v>199</v>
      </c>
      <c r="B28" s="6"/>
      <c r="C28" s="1" t="s">
        <v>195</v>
      </c>
      <c r="I28" s="227">
        <f t="shared" si="0"/>
        <v>0</v>
      </c>
      <c r="J28" s="16">
        <v>99.73</v>
      </c>
      <c r="K28" s="225">
        <f t="array" aca="1" ref="K28" ca="1">INDIRECT(ADDRESS(ROW(Proz)+MATCH(MIN(ABS(J28-Proz)),ABS(J28-Proz),0)-1,COLUMN(Proz)+1))</f>
        <v>6</v>
      </c>
      <c r="L28" s="228">
        <f t="shared" ca="1" si="1"/>
        <v>0</v>
      </c>
      <c r="M28" s="228">
        <f t="shared" ca="1" si="2"/>
        <v>0</v>
      </c>
    </row>
    <row r="29" spans="1:13" x14ac:dyDescent="0.2">
      <c r="A29" s="12" t="s">
        <v>200</v>
      </c>
      <c r="B29" s="6"/>
      <c r="C29" s="1" t="s">
        <v>177</v>
      </c>
      <c r="I29" s="227">
        <f t="shared" si="0"/>
        <v>0</v>
      </c>
      <c r="J29" s="16">
        <v>99.73</v>
      </c>
      <c r="K29" s="225">
        <f t="array" aca="1" ref="K29" ca="1">INDIRECT(ADDRESS(ROW(Proz)+MATCH(MIN(ABS(J29-Proz)),ABS(J29-Proz),0)-1,COLUMN(Proz)+1))</f>
        <v>6</v>
      </c>
      <c r="L29" s="228">
        <f t="shared" ca="1" si="1"/>
        <v>0</v>
      </c>
      <c r="M29" s="228">
        <f t="shared" ca="1" si="2"/>
        <v>0</v>
      </c>
    </row>
    <row r="30" spans="1:13" x14ac:dyDescent="0.2">
      <c r="B30" s="6"/>
      <c r="I30" s="227">
        <f t="shared" si="0"/>
        <v>0</v>
      </c>
      <c r="J30" s="16">
        <v>99.73</v>
      </c>
      <c r="K30" s="225">
        <f t="array" aca="1" ref="K30" ca="1">INDIRECT(ADDRESS(ROW(Proz)+MATCH(MIN(ABS(J30-Proz)),ABS(J30-Proz),0)-1,COLUMN(Proz)+1))</f>
        <v>6</v>
      </c>
      <c r="L30" s="228">
        <f t="shared" ca="1" si="1"/>
        <v>0</v>
      </c>
      <c r="M30" s="228">
        <f t="shared" ca="1" si="2"/>
        <v>0</v>
      </c>
    </row>
    <row r="31" spans="1:13" x14ac:dyDescent="0.2">
      <c r="A31" s="10"/>
      <c r="B31" s="6"/>
      <c r="I31" s="227">
        <f t="shared" si="0"/>
        <v>0</v>
      </c>
      <c r="J31" s="16">
        <v>99.73</v>
      </c>
      <c r="K31" s="225">
        <f t="array" aca="1" ref="K31" ca="1">INDIRECT(ADDRESS(ROW(Proz)+MATCH(MIN(ABS(J31-Proz)),ABS(J31-Proz),0)-1,COLUMN(Proz)+1))</f>
        <v>6</v>
      </c>
      <c r="L31" s="228">
        <f t="shared" ca="1" si="1"/>
        <v>0</v>
      </c>
      <c r="M31" s="228">
        <f t="shared" ca="1" si="2"/>
        <v>0</v>
      </c>
    </row>
    <row r="32" spans="1:13" x14ac:dyDescent="0.2">
      <c r="A32" s="12"/>
      <c r="B32" s="6"/>
      <c r="I32" s="227">
        <f t="shared" si="0"/>
        <v>0</v>
      </c>
      <c r="J32" s="16">
        <v>99.73</v>
      </c>
      <c r="K32" s="225">
        <f t="array" aca="1" ref="K32" ca="1">INDIRECT(ADDRESS(ROW(Proz)+MATCH(MIN(ABS(J32-Proz)),ABS(J32-Proz),0)-1,COLUMN(Proz)+1))</f>
        <v>6</v>
      </c>
      <c r="L32" s="228">
        <f t="shared" ca="1" si="1"/>
        <v>0</v>
      </c>
      <c r="M32" s="228">
        <f t="shared" ca="1" si="2"/>
        <v>0</v>
      </c>
    </row>
    <row r="33" spans="1:13" x14ac:dyDescent="0.2">
      <c r="A33" s="12"/>
      <c r="B33" s="6"/>
      <c r="I33" s="227">
        <f t="shared" si="0"/>
        <v>0</v>
      </c>
      <c r="J33" s="16">
        <v>99.73</v>
      </c>
      <c r="K33" s="225">
        <f t="array" aca="1" ref="K33" ca="1">INDIRECT(ADDRESS(ROW(Proz)+MATCH(MIN(ABS(J33-Proz)),ABS(J33-Proz),0)-1,COLUMN(Proz)+1))</f>
        <v>6</v>
      </c>
      <c r="L33" s="228">
        <f t="shared" ca="1" si="1"/>
        <v>0</v>
      </c>
      <c r="M33" s="228">
        <f t="shared" ca="1" si="2"/>
        <v>0</v>
      </c>
    </row>
    <row r="34" spans="1:13" x14ac:dyDescent="0.2">
      <c r="A34" s="12"/>
      <c r="B34" s="6"/>
      <c r="I34" s="227">
        <f t="shared" si="0"/>
        <v>0</v>
      </c>
      <c r="J34" s="16">
        <v>99.73</v>
      </c>
      <c r="K34" s="225">
        <f t="array" aca="1" ref="K34" ca="1">INDIRECT(ADDRESS(ROW(Proz)+MATCH(MIN(ABS(J34-Proz)),ABS(J34-Proz),0)-1,COLUMN(Proz)+1))</f>
        <v>6</v>
      </c>
      <c r="L34" s="228">
        <f t="shared" ca="1" si="1"/>
        <v>0</v>
      </c>
      <c r="M34" s="228">
        <f t="shared" ca="1" si="2"/>
        <v>0</v>
      </c>
    </row>
    <row r="35" spans="1:13" x14ac:dyDescent="0.2">
      <c r="A35" s="12"/>
      <c r="B35" s="6"/>
      <c r="I35" s="227">
        <f t="shared" si="0"/>
        <v>0</v>
      </c>
      <c r="J35" s="16">
        <v>99.73</v>
      </c>
      <c r="K35" s="225">
        <f t="array" aca="1" ref="K35" ca="1">INDIRECT(ADDRESS(ROW(Proz)+MATCH(MIN(ABS(J35-Proz)),ABS(J35-Proz),0)-1,COLUMN(Proz)+1))</f>
        <v>6</v>
      </c>
      <c r="L35" s="228">
        <f t="shared" ca="1" si="1"/>
        <v>0</v>
      </c>
      <c r="M35" s="228">
        <f t="shared" ca="1" si="2"/>
        <v>0</v>
      </c>
    </row>
    <row r="36" spans="1:13" x14ac:dyDescent="0.2">
      <c r="I36" s="227">
        <f t="shared" si="0"/>
        <v>0</v>
      </c>
      <c r="J36" s="16">
        <v>99.73</v>
      </c>
      <c r="K36" s="225">
        <f t="array" aca="1" ref="K36" ca="1">INDIRECT(ADDRESS(ROW(Proz)+MATCH(MIN(ABS(J36-Proz)),ABS(J36-Proz),0)-1,COLUMN(Proz)+1))</f>
        <v>6</v>
      </c>
      <c r="L36" s="228">
        <f t="shared" ca="1" si="1"/>
        <v>0</v>
      </c>
      <c r="M36" s="228">
        <f t="shared" ca="1" si="2"/>
        <v>0</v>
      </c>
    </row>
    <row r="37" spans="1:13" x14ac:dyDescent="0.2">
      <c r="B37" s="6"/>
      <c r="I37" s="227">
        <f t="shared" si="0"/>
        <v>0</v>
      </c>
      <c r="J37" s="16">
        <v>99.73</v>
      </c>
      <c r="K37" s="225">
        <f t="array" aca="1" ref="K37" ca="1">INDIRECT(ADDRESS(ROW(Proz)+MATCH(MIN(ABS(J37-Proz)),ABS(J37-Proz),0)-1,COLUMN(Proz)+1))</f>
        <v>6</v>
      </c>
      <c r="L37" s="228">
        <f t="shared" ca="1" si="1"/>
        <v>0</v>
      </c>
      <c r="M37" s="228">
        <f t="shared" ca="1" si="2"/>
        <v>0</v>
      </c>
    </row>
    <row r="38" spans="1:13" x14ac:dyDescent="0.2">
      <c r="B38" s="6"/>
      <c r="I38" s="227">
        <f t="shared" si="0"/>
        <v>0</v>
      </c>
      <c r="J38" s="16">
        <v>99.73</v>
      </c>
      <c r="K38" s="225">
        <f t="array" aca="1" ref="K38" ca="1">INDIRECT(ADDRESS(ROW(Proz)+MATCH(MIN(ABS(J38-Proz)),ABS(J38-Proz),0)-1,COLUMN(Proz)+1))</f>
        <v>6</v>
      </c>
      <c r="L38" s="228">
        <f t="shared" ca="1" si="1"/>
        <v>0</v>
      </c>
      <c r="M38" s="228">
        <f t="shared" ca="1" si="2"/>
        <v>0</v>
      </c>
    </row>
    <row r="39" spans="1:13" x14ac:dyDescent="0.2">
      <c r="B39" s="6"/>
      <c r="I39" s="227">
        <f t="shared" si="0"/>
        <v>0</v>
      </c>
      <c r="J39" s="16">
        <v>99.73</v>
      </c>
      <c r="K39" s="225">
        <f t="array" aca="1" ref="K39" ca="1">INDIRECT(ADDRESS(ROW(Proz)+MATCH(MIN(ABS(J39-Proz)),ABS(J39-Proz),0)-1,COLUMN(Proz)+1))</f>
        <v>6</v>
      </c>
      <c r="L39" s="228">
        <f t="shared" ca="1" si="1"/>
        <v>0</v>
      </c>
      <c r="M39" s="228">
        <f t="shared" ca="1" si="2"/>
        <v>0</v>
      </c>
    </row>
    <row r="40" spans="1:13" x14ac:dyDescent="0.2">
      <c r="I40" s="227">
        <f t="shared" si="0"/>
        <v>0</v>
      </c>
      <c r="J40" s="16">
        <v>99.73</v>
      </c>
      <c r="K40" s="225">
        <f t="array" aca="1" ref="K40" ca="1">INDIRECT(ADDRESS(ROW(Proz)+MATCH(MIN(ABS(J40-Proz)),ABS(J40-Proz),0)-1,COLUMN(Proz)+1))</f>
        <v>6</v>
      </c>
      <c r="L40" s="228">
        <f t="shared" ca="1" si="1"/>
        <v>0</v>
      </c>
      <c r="M40" s="228">
        <f t="shared" ca="1" si="2"/>
        <v>0</v>
      </c>
    </row>
    <row r="41" spans="1:13" x14ac:dyDescent="0.2">
      <c r="B41" s="6"/>
      <c r="I41" s="227">
        <f t="shared" si="0"/>
        <v>0</v>
      </c>
      <c r="J41" s="16">
        <v>99.73</v>
      </c>
      <c r="K41" s="225">
        <f t="array" aca="1" ref="K41" ca="1">INDIRECT(ADDRESS(ROW(Proz)+MATCH(MIN(ABS(J41-Proz)),ABS(J41-Proz),0)-1,COLUMN(Proz)+1))</f>
        <v>6</v>
      </c>
      <c r="L41" s="228">
        <f t="shared" ca="1" si="1"/>
        <v>0</v>
      </c>
      <c r="M41" s="228">
        <f t="shared" ca="1" si="2"/>
        <v>0</v>
      </c>
    </row>
    <row r="42" spans="1:13" x14ac:dyDescent="0.2">
      <c r="B42" s="6"/>
      <c r="I42" s="227">
        <f t="shared" si="0"/>
        <v>0</v>
      </c>
      <c r="J42" s="16">
        <v>99.73</v>
      </c>
      <c r="K42" s="225">
        <f t="array" aca="1" ref="K42" ca="1">INDIRECT(ADDRESS(ROW(Proz)+MATCH(MIN(ABS(J42-Proz)),ABS(J42-Proz),0)-1,COLUMN(Proz)+1))</f>
        <v>6</v>
      </c>
      <c r="L42" s="228">
        <f t="shared" ca="1" si="1"/>
        <v>0</v>
      </c>
      <c r="M42" s="228">
        <f t="shared" ca="1" si="2"/>
        <v>0</v>
      </c>
    </row>
    <row r="43" spans="1:13" x14ac:dyDescent="0.2">
      <c r="I43" s="227">
        <f t="shared" si="0"/>
        <v>0</v>
      </c>
      <c r="J43" s="16">
        <v>99.73</v>
      </c>
      <c r="K43" s="225">
        <f t="array" aca="1" ref="K43" ca="1">INDIRECT(ADDRESS(ROW(Proz)+MATCH(MIN(ABS(J43-Proz)),ABS(J43-Proz),0)-1,COLUMN(Proz)+1))</f>
        <v>6</v>
      </c>
      <c r="L43" s="228">
        <f t="shared" ca="1" si="1"/>
        <v>0</v>
      </c>
      <c r="M43" s="228">
        <f t="shared" ca="1" si="2"/>
        <v>0</v>
      </c>
    </row>
    <row r="44" spans="1:13" ht="13.5" thickBot="1" x14ac:dyDescent="0.25">
      <c r="E44" s="22"/>
      <c r="F44" s="22"/>
      <c r="G44" s="22"/>
      <c r="I44" s="227">
        <f t="shared" si="0"/>
        <v>0</v>
      </c>
      <c r="J44" s="16">
        <v>99.73</v>
      </c>
      <c r="K44" s="225">
        <f t="array" aca="1" ref="K44" ca="1">INDIRECT(ADDRESS(ROW(Proz)+MATCH(MIN(ABS(J44-Proz)),ABS(J44-Proz),0)-1,COLUMN(Proz)+1))</f>
        <v>6</v>
      </c>
      <c r="L44" s="228">
        <f t="shared" ca="1" si="1"/>
        <v>0</v>
      </c>
      <c r="M44" s="228">
        <f t="shared" ca="1" si="2"/>
        <v>0</v>
      </c>
    </row>
    <row r="45" spans="1:13" ht="38.25" x14ac:dyDescent="0.2">
      <c r="C45" s="249" t="s">
        <v>93</v>
      </c>
      <c r="D45" s="152" t="s">
        <v>92</v>
      </c>
      <c r="M45" s="19"/>
    </row>
    <row r="46" spans="1:13" x14ac:dyDescent="0.2">
      <c r="C46" s="250">
        <v>10</v>
      </c>
      <c r="D46" s="190">
        <v>0.25</v>
      </c>
      <c r="M46" s="19"/>
    </row>
    <row r="47" spans="1:13" x14ac:dyDescent="0.2">
      <c r="C47" s="250">
        <v>20</v>
      </c>
      <c r="D47" s="190">
        <v>0.51</v>
      </c>
      <c r="M47" s="19"/>
    </row>
    <row r="48" spans="1:13" x14ac:dyDescent="0.2">
      <c r="C48" s="250">
        <v>30</v>
      </c>
      <c r="D48" s="190">
        <v>0.77</v>
      </c>
      <c r="M48" s="19"/>
    </row>
    <row r="49" spans="3:13" x14ac:dyDescent="0.2">
      <c r="C49" s="250">
        <v>40</v>
      </c>
      <c r="D49" s="190">
        <v>1</v>
      </c>
      <c r="M49" s="19"/>
    </row>
    <row r="50" spans="3:13" x14ac:dyDescent="0.2">
      <c r="C50" s="250">
        <v>50</v>
      </c>
      <c r="D50" s="190">
        <v>1.4</v>
      </c>
      <c r="M50" s="19"/>
    </row>
    <row r="51" spans="3:13" x14ac:dyDescent="0.2">
      <c r="C51" s="250">
        <v>60</v>
      </c>
      <c r="D51" s="190">
        <v>1.7</v>
      </c>
      <c r="M51" s="19"/>
    </row>
    <row r="52" spans="3:13" x14ac:dyDescent="0.2">
      <c r="C52" s="250">
        <v>70</v>
      </c>
      <c r="D52" s="190">
        <v>2.1</v>
      </c>
      <c r="M52" s="19"/>
    </row>
    <row r="53" spans="3:13" x14ac:dyDescent="0.2">
      <c r="C53" s="250">
        <v>80</v>
      </c>
      <c r="D53" s="190">
        <v>2.6</v>
      </c>
      <c r="M53" s="19"/>
    </row>
    <row r="54" spans="3:13" x14ac:dyDescent="0.2">
      <c r="C54" s="250">
        <v>90</v>
      </c>
      <c r="D54" s="190">
        <v>3.3</v>
      </c>
      <c r="M54" s="19"/>
    </row>
    <row r="55" spans="3:13" ht="13.5" thickBot="1" x14ac:dyDescent="0.25">
      <c r="C55" s="251">
        <v>100</v>
      </c>
      <c r="D55" s="252">
        <v>6</v>
      </c>
      <c r="M55" s="19"/>
    </row>
    <row r="56" spans="3:13" x14ac:dyDescent="0.2">
      <c r="M56" s="19"/>
    </row>
    <row r="57" spans="3:13" x14ac:dyDescent="0.2">
      <c r="M57" s="19"/>
    </row>
    <row r="58" spans="3:13" x14ac:dyDescent="0.2">
      <c r="M58" s="19"/>
    </row>
    <row r="59" spans="3:13" x14ac:dyDescent="0.2">
      <c r="M59" s="19"/>
    </row>
    <row r="60" spans="3:13" x14ac:dyDescent="0.2">
      <c r="M60" s="19"/>
    </row>
    <row r="61" spans="3:13" x14ac:dyDescent="0.2">
      <c r="M61" s="19"/>
    </row>
    <row r="62" spans="3:13" x14ac:dyDescent="0.2">
      <c r="M62" s="19"/>
    </row>
    <row r="63" spans="3:13" x14ac:dyDescent="0.2">
      <c r="M63" s="19"/>
    </row>
    <row r="64" spans="3:13" x14ac:dyDescent="0.2">
      <c r="M64" s="19"/>
    </row>
    <row r="65" spans="13:13" x14ac:dyDescent="0.2">
      <c r="M65" s="19"/>
    </row>
    <row r="66" spans="13:13" x14ac:dyDescent="0.2">
      <c r="M66" s="19"/>
    </row>
    <row r="67" spans="13:13" x14ac:dyDescent="0.2">
      <c r="M67" s="19"/>
    </row>
    <row r="68" spans="13:13" x14ac:dyDescent="0.2">
      <c r="M68" s="19"/>
    </row>
    <row r="69" spans="13:13" x14ac:dyDescent="0.2">
      <c r="M69" s="19"/>
    </row>
    <row r="70" spans="13:13" x14ac:dyDescent="0.2">
      <c r="M70" s="19"/>
    </row>
    <row r="71" spans="13:13" x14ac:dyDescent="0.2">
      <c r="M71" s="19"/>
    </row>
    <row r="72" spans="13:13" x14ac:dyDescent="0.2">
      <c r="M72" s="19"/>
    </row>
    <row r="73" spans="13:13" x14ac:dyDescent="0.2">
      <c r="M73" s="19"/>
    </row>
    <row r="74" spans="13:13" x14ac:dyDescent="0.2">
      <c r="M74" s="19"/>
    </row>
    <row r="75" spans="13:13" x14ac:dyDescent="0.2">
      <c r="M75" s="19"/>
    </row>
    <row r="76" spans="13:13" x14ac:dyDescent="0.2">
      <c r="M76" s="19"/>
    </row>
    <row r="77" spans="13:13" x14ac:dyDescent="0.2">
      <c r="M77" s="19"/>
    </row>
    <row r="78" spans="13:13" x14ac:dyDescent="0.2">
      <c r="M78" s="19"/>
    </row>
    <row r="79" spans="13:13" x14ac:dyDescent="0.2">
      <c r="M79" s="19"/>
    </row>
    <row r="80" spans="13:13" x14ac:dyDescent="0.2">
      <c r="M80" s="19"/>
    </row>
    <row r="81" spans="13:13" x14ac:dyDescent="0.2">
      <c r="M81" s="19"/>
    </row>
    <row r="82" spans="13:13" x14ac:dyDescent="0.2">
      <c r="M82" s="19"/>
    </row>
    <row r="83" spans="13:13" x14ac:dyDescent="0.2">
      <c r="M83" s="19"/>
    </row>
    <row r="84" spans="13:13" x14ac:dyDescent="0.2">
      <c r="M84" s="19"/>
    </row>
    <row r="85" spans="13:13" x14ac:dyDescent="0.2">
      <c r="M85" s="19"/>
    </row>
    <row r="86" spans="13:13" x14ac:dyDescent="0.2">
      <c r="M86" s="19"/>
    </row>
    <row r="87" spans="13:13" x14ac:dyDescent="0.2">
      <c r="M87" s="19"/>
    </row>
    <row r="88" spans="13:13" x14ac:dyDescent="0.2">
      <c r="M88" s="19"/>
    </row>
    <row r="89" spans="13:13" x14ac:dyDescent="0.2">
      <c r="M89" s="19"/>
    </row>
    <row r="90" spans="13:13" x14ac:dyDescent="0.2">
      <c r="M90" s="19"/>
    </row>
    <row r="91" spans="13:13" x14ac:dyDescent="0.2">
      <c r="M91" s="19"/>
    </row>
    <row r="92" spans="13:13" x14ac:dyDescent="0.2">
      <c r="M92" s="19"/>
    </row>
    <row r="93" spans="13:13" x14ac:dyDescent="0.2">
      <c r="M93" s="19"/>
    </row>
    <row r="94" spans="13:13" x14ac:dyDescent="0.2">
      <c r="M94" s="19"/>
    </row>
    <row r="95" spans="13:13" x14ac:dyDescent="0.2">
      <c r="M95" s="19"/>
    </row>
    <row r="96" spans="13:13" x14ac:dyDescent="0.2">
      <c r="M96" s="19"/>
    </row>
    <row r="97" spans="13:13" x14ac:dyDescent="0.2">
      <c r="M97" s="19"/>
    </row>
    <row r="98" spans="13:13" x14ac:dyDescent="0.2">
      <c r="M98" s="19"/>
    </row>
    <row r="99" spans="13:13" x14ac:dyDescent="0.2">
      <c r="M99" s="19"/>
    </row>
    <row r="100" spans="13:13" x14ac:dyDescent="0.2">
      <c r="M100" s="19"/>
    </row>
    <row r="101" spans="13:13" x14ac:dyDescent="0.2">
      <c r="M101" s="19"/>
    </row>
    <row r="102" spans="13:13" x14ac:dyDescent="0.2">
      <c r="M102" s="19"/>
    </row>
    <row r="103" spans="13:13" x14ac:dyDescent="0.2">
      <c r="M103" s="19"/>
    </row>
    <row r="104" spans="13:13" x14ac:dyDescent="0.2">
      <c r="M104" s="19"/>
    </row>
    <row r="105" spans="13:13" x14ac:dyDescent="0.2">
      <c r="M105" s="19"/>
    </row>
    <row r="106" spans="13:13" x14ac:dyDescent="0.2">
      <c r="M106" s="19"/>
    </row>
    <row r="107" spans="13:13" x14ac:dyDescent="0.2">
      <c r="M107" s="19"/>
    </row>
    <row r="108" spans="13:13" x14ac:dyDescent="0.2">
      <c r="M108" s="19"/>
    </row>
    <row r="109" spans="13:13" x14ac:dyDescent="0.2">
      <c r="M109" s="19"/>
    </row>
    <row r="110" spans="13:13" x14ac:dyDescent="0.2">
      <c r="M110" s="19"/>
    </row>
    <row r="111" spans="13:13" x14ac:dyDescent="0.2">
      <c r="M111" s="19"/>
    </row>
    <row r="112" spans="13:13" x14ac:dyDescent="0.2">
      <c r="M112" s="19"/>
    </row>
    <row r="113" spans="13:13" x14ac:dyDescent="0.2">
      <c r="M113" s="19"/>
    </row>
    <row r="114" spans="13:13" x14ac:dyDescent="0.2">
      <c r="M114" s="19"/>
    </row>
    <row r="115" spans="13:13" x14ac:dyDescent="0.2">
      <c r="M115" s="19"/>
    </row>
    <row r="116" spans="13:13" x14ac:dyDescent="0.2">
      <c r="M116" s="19"/>
    </row>
    <row r="117" spans="13:13" x14ac:dyDescent="0.2">
      <c r="M117" s="19"/>
    </row>
    <row r="118" spans="13:13" x14ac:dyDescent="0.2">
      <c r="M118" s="19"/>
    </row>
    <row r="119" spans="13:13" x14ac:dyDescent="0.2">
      <c r="M119" s="19"/>
    </row>
    <row r="120" spans="13:13" x14ac:dyDescent="0.2">
      <c r="M120" s="19"/>
    </row>
    <row r="121" spans="13:13" x14ac:dyDescent="0.2">
      <c r="M121" s="19"/>
    </row>
    <row r="122" spans="13:13" x14ac:dyDescent="0.2">
      <c r="M122" s="19"/>
    </row>
    <row r="123" spans="13:13" x14ac:dyDescent="0.2">
      <c r="M123" s="19"/>
    </row>
    <row r="124" spans="13:13" x14ac:dyDescent="0.2">
      <c r="M124" s="19"/>
    </row>
    <row r="125" spans="13:13" x14ac:dyDescent="0.2">
      <c r="M125" s="19"/>
    </row>
    <row r="126" spans="13:13" x14ac:dyDescent="0.2">
      <c r="M126" s="19"/>
    </row>
    <row r="127" spans="13:13" x14ac:dyDescent="0.2">
      <c r="M127" s="19"/>
    </row>
    <row r="128" spans="13:13" x14ac:dyDescent="0.2">
      <c r="M128" s="19"/>
    </row>
    <row r="129" spans="13:13" x14ac:dyDescent="0.2">
      <c r="M129" s="19"/>
    </row>
    <row r="130" spans="13:13" x14ac:dyDescent="0.2">
      <c r="M130" s="19"/>
    </row>
    <row r="131" spans="13:13" x14ac:dyDescent="0.2">
      <c r="M131" s="19"/>
    </row>
    <row r="132" spans="13:13" x14ac:dyDescent="0.2">
      <c r="M132" s="19"/>
    </row>
    <row r="133" spans="13:13" x14ac:dyDescent="0.2">
      <c r="M133" s="19"/>
    </row>
    <row r="134" spans="13:13" x14ac:dyDescent="0.2">
      <c r="M134" s="19"/>
    </row>
    <row r="135" spans="13:13" x14ac:dyDescent="0.2">
      <c r="M135" s="19"/>
    </row>
    <row r="136" spans="13:13" x14ac:dyDescent="0.2">
      <c r="M136" s="19"/>
    </row>
    <row r="137" spans="13:13" x14ac:dyDescent="0.2">
      <c r="M137" s="19"/>
    </row>
    <row r="138" spans="13:13" x14ac:dyDescent="0.2">
      <c r="M138" s="19"/>
    </row>
    <row r="139" spans="13:13" x14ac:dyDescent="0.2">
      <c r="M139" s="19"/>
    </row>
    <row r="140" spans="13:13" x14ac:dyDescent="0.2">
      <c r="M140" s="19"/>
    </row>
    <row r="141" spans="13:13" x14ac:dyDescent="0.2">
      <c r="M141" s="19"/>
    </row>
    <row r="142" spans="13:13" x14ac:dyDescent="0.2">
      <c r="M142" s="19"/>
    </row>
    <row r="143" spans="13:13" x14ac:dyDescent="0.2">
      <c r="M143" s="19"/>
    </row>
    <row r="144" spans="13:13" x14ac:dyDescent="0.2">
      <c r="M144" s="19"/>
    </row>
    <row r="145" spans="13:13" x14ac:dyDescent="0.2">
      <c r="M145" s="19"/>
    </row>
    <row r="146" spans="13:13" x14ac:dyDescent="0.2">
      <c r="M146" s="19"/>
    </row>
    <row r="147" spans="13:13" x14ac:dyDescent="0.2">
      <c r="M147" s="19"/>
    </row>
    <row r="148" spans="13:13" x14ac:dyDescent="0.2">
      <c r="M148" s="19"/>
    </row>
    <row r="149" spans="13:13" x14ac:dyDescent="0.2">
      <c r="M149" s="19"/>
    </row>
    <row r="150" spans="13:13" x14ac:dyDescent="0.2">
      <c r="M150" s="19"/>
    </row>
    <row r="151" spans="13:13" x14ac:dyDescent="0.2">
      <c r="M151" s="19"/>
    </row>
    <row r="152" spans="13:13" x14ac:dyDescent="0.2">
      <c r="M152" s="19"/>
    </row>
    <row r="153" spans="13:13" x14ac:dyDescent="0.2">
      <c r="M153" s="19"/>
    </row>
    <row r="154" spans="13:13" x14ac:dyDescent="0.2">
      <c r="M154" s="19"/>
    </row>
    <row r="155" spans="13:13" x14ac:dyDescent="0.2">
      <c r="M155" s="19"/>
    </row>
    <row r="156" spans="13:13" x14ac:dyDescent="0.2">
      <c r="M156" s="19"/>
    </row>
    <row r="157" spans="13:13" x14ac:dyDescent="0.2">
      <c r="M157" s="19"/>
    </row>
    <row r="158" spans="13:13" x14ac:dyDescent="0.2">
      <c r="M158" s="19"/>
    </row>
    <row r="159" spans="13:13" x14ac:dyDescent="0.2">
      <c r="M159" s="19"/>
    </row>
    <row r="160" spans="13:13" x14ac:dyDescent="0.2">
      <c r="M160" s="19"/>
    </row>
    <row r="161" spans="13:13" x14ac:dyDescent="0.2">
      <c r="M161" s="19"/>
    </row>
    <row r="162" spans="13:13" x14ac:dyDescent="0.2">
      <c r="M162" s="19"/>
    </row>
    <row r="163" spans="13:13" x14ac:dyDescent="0.2">
      <c r="M163" s="19"/>
    </row>
    <row r="164" spans="13:13" x14ac:dyDescent="0.2">
      <c r="M164" s="19"/>
    </row>
    <row r="165" spans="13:13" x14ac:dyDescent="0.2">
      <c r="M165" s="19"/>
    </row>
    <row r="166" spans="13:13" x14ac:dyDescent="0.2">
      <c r="M166" s="19"/>
    </row>
    <row r="167" spans="13:13" x14ac:dyDescent="0.2">
      <c r="M167" s="19"/>
    </row>
    <row r="168" spans="13:13" x14ac:dyDescent="0.2">
      <c r="M168" s="19"/>
    </row>
    <row r="169" spans="13:13" x14ac:dyDescent="0.2">
      <c r="M169" s="19"/>
    </row>
    <row r="170" spans="13:13" x14ac:dyDescent="0.2">
      <c r="M170" s="19"/>
    </row>
    <row r="171" spans="13:13" x14ac:dyDescent="0.2">
      <c r="M171" s="19"/>
    </row>
    <row r="172" spans="13:13" x14ac:dyDescent="0.2">
      <c r="M172" s="19"/>
    </row>
    <row r="173" spans="13:13" x14ac:dyDescent="0.2">
      <c r="M173" s="19"/>
    </row>
    <row r="174" spans="13:13" x14ac:dyDescent="0.2">
      <c r="M174" s="19"/>
    </row>
    <row r="175" spans="13:13" x14ac:dyDescent="0.2">
      <c r="M175" s="19"/>
    </row>
    <row r="176" spans="13:13" x14ac:dyDescent="0.2">
      <c r="M176" s="19"/>
    </row>
    <row r="177" spans="13:13" x14ac:dyDescent="0.2">
      <c r="M177" s="19"/>
    </row>
    <row r="178" spans="13:13" x14ac:dyDescent="0.2">
      <c r="M178" s="19"/>
    </row>
    <row r="179" spans="13:13" x14ac:dyDescent="0.2">
      <c r="M179" s="19"/>
    </row>
    <row r="180" spans="13:13" x14ac:dyDescent="0.2">
      <c r="M180" s="19"/>
    </row>
    <row r="181" spans="13:13" x14ac:dyDescent="0.2">
      <c r="M181" s="19"/>
    </row>
    <row r="182" spans="13:13" x14ac:dyDescent="0.2">
      <c r="M182" s="19"/>
    </row>
    <row r="183" spans="13:13" x14ac:dyDescent="0.2">
      <c r="M183" s="19"/>
    </row>
    <row r="184" spans="13:13" x14ac:dyDescent="0.2">
      <c r="M184" s="19"/>
    </row>
    <row r="185" spans="13:13" x14ac:dyDescent="0.2">
      <c r="M185" s="19"/>
    </row>
    <row r="186" spans="13:13" x14ac:dyDescent="0.2">
      <c r="M186" s="19"/>
    </row>
    <row r="187" spans="13:13" x14ac:dyDescent="0.2">
      <c r="M187" s="19"/>
    </row>
    <row r="188" spans="13:13" x14ac:dyDescent="0.2">
      <c r="M188" s="19"/>
    </row>
    <row r="189" spans="13:13" x14ac:dyDescent="0.2">
      <c r="M189" s="19"/>
    </row>
    <row r="190" spans="13:13" x14ac:dyDescent="0.2">
      <c r="M190" s="19"/>
    </row>
    <row r="191" spans="13:13" x14ac:dyDescent="0.2">
      <c r="M191" s="19"/>
    </row>
    <row r="192" spans="13:13" x14ac:dyDescent="0.2">
      <c r="M192" s="19"/>
    </row>
    <row r="193" spans="13:13" x14ac:dyDescent="0.2">
      <c r="M193" s="19"/>
    </row>
    <row r="194" spans="13:13" x14ac:dyDescent="0.2">
      <c r="M194" s="19"/>
    </row>
    <row r="195" spans="13:13" x14ac:dyDescent="0.2">
      <c r="M195" s="19"/>
    </row>
    <row r="196" spans="13:13" x14ac:dyDescent="0.2">
      <c r="M196" s="19"/>
    </row>
    <row r="197" spans="13:13" x14ac:dyDescent="0.2">
      <c r="M197" s="19"/>
    </row>
    <row r="198" spans="13:13" x14ac:dyDescent="0.2">
      <c r="M198" s="19"/>
    </row>
    <row r="199" spans="13:13" x14ac:dyDescent="0.2">
      <c r="M199" s="19"/>
    </row>
    <row r="200" spans="13:13" x14ac:dyDescent="0.2">
      <c r="M200" s="19"/>
    </row>
    <row r="201" spans="13:13" x14ac:dyDescent="0.2">
      <c r="M201" s="19"/>
    </row>
    <row r="202" spans="13:13" x14ac:dyDescent="0.2">
      <c r="M202" s="19"/>
    </row>
    <row r="203" spans="13:13" x14ac:dyDescent="0.2">
      <c r="M203" s="19"/>
    </row>
    <row r="204" spans="13:13" x14ac:dyDescent="0.2">
      <c r="M204" s="19"/>
    </row>
    <row r="205" spans="13:13" x14ac:dyDescent="0.2">
      <c r="M205" s="19"/>
    </row>
    <row r="206" spans="13:13" x14ac:dyDescent="0.2">
      <c r="M206" s="19"/>
    </row>
    <row r="207" spans="13:13" x14ac:dyDescent="0.2">
      <c r="M207" s="19"/>
    </row>
    <row r="208" spans="13:13" x14ac:dyDescent="0.2">
      <c r="M208" s="19"/>
    </row>
    <row r="209" spans="13:13" x14ac:dyDescent="0.2">
      <c r="M209" s="19"/>
    </row>
    <row r="210" spans="13:13" x14ac:dyDescent="0.2">
      <c r="M210" s="19"/>
    </row>
    <row r="211" spans="13:13" x14ac:dyDescent="0.2">
      <c r="M211" s="19"/>
    </row>
    <row r="212" spans="13:13" x14ac:dyDescent="0.2">
      <c r="M212" s="19"/>
    </row>
    <row r="213" spans="13:13" x14ac:dyDescent="0.2">
      <c r="M213" s="19"/>
    </row>
    <row r="214" spans="13:13" x14ac:dyDescent="0.2">
      <c r="M214" s="19"/>
    </row>
    <row r="215" spans="13:13" x14ac:dyDescent="0.2">
      <c r="M215" s="19"/>
    </row>
    <row r="216" spans="13:13" x14ac:dyDescent="0.2">
      <c r="M216" s="19"/>
    </row>
    <row r="217" spans="13:13" x14ac:dyDescent="0.2">
      <c r="M217" s="19"/>
    </row>
    <row r="218" spans="13:13" x14ac:dyDescent="0.2">
      <c r="M218" s="19"/>
    </row>
    <row r="219" spans="13:13" x14ac:dyDescent="0.2">
      <c r="M219" s="19"/>
    </row>
    <row r="220" spans="13:13" x14ac:dyDescent="0.2">
      <c r="M220" s="19"/>
    </row>
    <row r="221" spans="13:13" x14ac:dyDescent="0.2">
      <c r="M221" s="19"/>
    </row>
    <row r="222" spans="13:13" x14ac:dyDescent="0.2">
      <c r="M222" s="19"/>
    </row>
    <row r="223" spans="13:13" x14ac:dyDescent="0.2">
      <c r="M223" s="19"/>
    </row>
    <row r="224" spans="13:13" x14ac:dyDescent="0.2">
      <c r="M224" s="19"/>
    </row>
    <row r="225" spans="13:13" x14ac:dyDescent="0.2">
      <c r="M225" s="19"/>
    </row>
    <row r="226" spans="13:13" x14ac:dyDescent="0.2">
      <c r="M226" s="19"/>
    </row>
    <row r="227" spans="13:13" x14ac:dyDescent="0.2">
      <c r="M227" s="19"/>
    </row>
    <row r="228" spans="13:13" x14ac:dyDescent="0.2">
      <c r="M228" s="19"/>
    </row>
    <row r="229" spans="13:13" x14ac:dyDescent="0.2">
      <c r="M229" s="19"/>
    </row>
    <row r="230" spans="13:13" x14ac:dyDescent="0.2">
      <c r="M230" s="19"/>
    </row>
    <row r="231" spans="13:13" x14ac:dyDescent="0.2">
      <c r="M231" s="19"/>
    </row>
    <row r="232" spans="13:13" x14ac:dyDescent="0.2">
      <c r="M232" s="19"/>
    </row>
    <row r="233" spans="13:13" x14ac:dyDescent="0.2">
      <c r="M233" s="19"/>
    </row>
    <row r="234" spans="13:13" x14ac:dyDescent="0.2">
      <c r="M234" s="19"/>
    </row>
    <row r="235" spans="13:13" x14ac:dyDescent="0.2">
      <c r="M235" s="19"/>
    </row>
    <row r="236" spans="13:13" x14ac:dyDescent="0.2">
      <c r="M236" s="19"/>
    </row>
    <row r="237" spans="13:13" x14ac:dyDescent="0.2">
      <c r="M237" s="19"/>
    </row>
    <row r="238" spans="13:13" x14ac:dyDescent="0.2">
      <c r="M238" s="19"/>
    </row>
    <row r="239" spans="13:13" x14ac:dyDescent="0.2">
      <c r="M239" s="19"/>
    </row>
    <row r="240" spans="13:13" x14ac:dyDescent="0.2">
      <c r="M240" s="19"/>
    </row>
    <row r="241" spans="13:13" x14ac:dyDescent="0.2">
      <c r="M241" s="19"/>
    </row>
    <row r="242" spans="13:13" x14ac:dyDescent="0.2">
      <c r="M242" s="19"/>
    </row>
    <row r="243" spans="13:13" x14ac:dyDescent="0.2">
      <c r="M243" s="19"/>
    </row>
    <row r="244" spans="13:13" x14ac:dyDescent="0.2">
      <c r="M244" s="19"/>
    </row>
    <row r="245" spans="13:13" x14ac:dyDescent="0.2">
      <c r="M245" s="19"/>
    </row>
    <row r="246" spans="13:13" x14ac:dyDescent="0.2">
      <c r="M246" s="19"/>
    </row>
    <row r="247" spans="13:13" x14ac:dyDescent="0.2">
      <c r="M247" s="19"/>
    </row>
    <row r="248" spans="13:13" x14ac:dyDescent="0.2">
      <c r="M248" s="19"/>
    </row>
    <row r="249" spans="13:13" x14ac:dyDescent="0.2">
      <c r="M249" s="19"/>
    </row>
    <row r="250" spans="13:13" x14ac:dyDescent="0.2">
      <c r="M250" s="19"/>
    </row>
    <row r="251" spans="13:13" x14ac:dyDescent="0.2">
      <c r="M251" s="19"/>
    </row>
    <row r="252" spans="13:13" x14ac:dyDescent="0.2">
      <c r="M252" s="19"/>
    </row>
    <row r="253" spans="13:13" x14ac:dyDescent="0.2">
      <c r="M253" s="19"/>
    </row>
    <row r="254" spans="13:13" x14ac:dyDescent="0.2">
      <c r="M254" s="19"/>
    </row>
    <row r="255" spans="13:13" x14ac:dyDescent="0.2">
      <c r="M255" s="19"/>
    </row>
    <row r="256" spans="13:13" x14ac:dyDescent="0.2">
      <c r="M256" s="19"/>
    </row>
    <row r="257" spans="13:13" x14ac:dyDescent="0.2">
      <c r="M257" s="19"/>
    </row>
    <row r="258" spans="13:13" x14ac:dyDescent="0.2">
      <c r="M258" s="19"/>
    </row>
    <row r="259" spans="13:13" x14ac:dyDescent="0.2">
      <c r="M259" s="19"/>
    </row>
    <row r="260" spans="13:13" x14ac:dyDescent="0.2">
      <c r="M260" s="19"/>
    </row>
    <row r="261" spans="13:13" x14ac:dyDescent="0.2">
      <c r="M261" s="19"/>
    </row>
    <row r="262" spans="13:13" x14ac:dyDescent="0.2">
      <c r="M262" s="19"/>
    </row>
    <row r="263" spans="13:13" x14ac:dyDescent="0.2">
      <c r="M263" s="19"/>
    </row>
    <row r="264" spans="13:13" x14ac:dyDescent="0.2">
      <c r="M264" s="19"/>
    </row>
    <row r="265" spans="13:13" x14ac:dyDescent="0.2">
      <c r="M265" s="19"/>
    </row>
    <row r="266" spans="13:13" x14ac:dyDescent="0.2">
      <c r="M266" s="19"/>
    </row>
    <row r="267" spans="13:13" x14ac:dyDescent="0.2">
      <c r="M267" s="19"/>
    </row>
    <row r="268" spans="13:13" x14ac:dyDescent="0.2">
      <c r="M268" s="19"/>
    </row>
    <row r="269" spans="13:13" x14ac:dyDescent="0.2">
      <c r="M269" s="19"/>
    </row>
    <row r="270" spans="13:13" x14ac:dyDescent="0.2">
      <c r="M270" s="19"/>
    </row>
    <row r="271" spans="13:13" x14ac:dyDescent="0.2">
      <c r="M271" s="19"/>
    </row>
    <row r="272" spans="13:13" x14ac:dyDescent="0.2">
      <c r="M272" s="19"/>
    </row>
    <row r="273" spans="13:13" x14ac:dyDescent="0.2">
      <c r="M273" s="19"/>
    </row>
    <row r="274" spans="13:13" x14ac:dyDescent="0.2">
      <c r="M274" s="19"/>
    </row>
    <row r="275" spans="13:13" x14ac:dyDescent="0.2">
      <c r="M275" s="19"/>
    </row>
    <row r="276" spans="13:13" x14ac:dyDescent="0.2">
      <c r="M276" s="19"/>
    </row>
    <row r="277" spans="13:13" x14ac:dyDescent="0.2">
      <c r="M277" s="19"/>
    </row>
    <row r="278" spans="13:13" x14ac:dyDescent="0.2">
      <c r="M278" s="19"/>
    </row>
    <row r="279" spans="13:13" x14ac:dyDescent="0.2">
      <c r="M279" s="19"/>
    </row>
    <row r="280" spans="13:13" x14ac:dyDescent="0.2">
      <c r="M280" s="19"/>
    </row>
    <row r="281" spans="13:13" x14ac:dyDescent="0.2">
      <c r="M281" s="19"/>
    </row>
    <row r="282" spans="13:13" x14ac:dyDescent="0.2">
      <c r="M282" s="19"/>
    </row>
    <row r="283" spans="13:13" x14ac:dyDescent="0.2">
      <c r="M283" s="19"/>
    </row>
    <row r="284" spans="13:13" x14ac:dyDescent="0.2">
      <c r="M284" s="19"/>
    </row>
    <row r="285" spans="13:13" x14ac:dyDescent="0.2">
      <c r="M285" s="19"/>
    </row>
    <row r="286" spans="13:13" x14ac:dyDescent="0.2">
      <c r="M286" s="19"/>
    </row>
    <row r="287" spans="13:13" x14ac:dyDescent="0.2">
      <c r="M287" s="19"/>
    </row>
    <row r="288" spans="13:13" x14ac:dyDescent="0.2">
      <c r="M288" s="19"/>
    </row>
    <row r="289" spans="13:13" x14ac:dyDescent="0.2">
      <c r="M289" s="19"/>
    </row>
    <row r="290" spans="13:13" x14ac:dyDescent="0.2">
      <c r="M290" s="19"/>
    </row>
    <row r="291" spans="13:13" x14ac:dyDescent="0.2">
      <c r="M291" s="19"/>
    </row>
    <row r="292" spans="13:13" x14ac:dyDescent="0.2">
      <c r="M292" s="19"/>
    </row>
    <row r="293" spans="13:13" x14ac:dyDescent="0.2">
      <c r="M293" s="19"/>
    </row>
    <row r="294" spans="13:13" x14ac:dyDescent="0.2">
      <c r="M294" s="19"/>
    </row>
    <row r="295" spans="13:13" x14ac:dyDescent="0.2">
      <c r="M295" s="19"/>
    </row>
    <row r="296" spans="13:13" x14ac:dyDescent="0.2">
      <c r="M296" s="19"/>
    </row>
    <row r="297" spans="13:13" x14ac:dyDescent="0.2">
      <c r="M297" s="19"/>
    </row>
    <row r="298" spans="13:13" x14ac:dyDescent="0.2">
      <c r="M298" s="19"/>
    </row>
    <row r="299" spans="13:13" x14ac:dyDescent="0.2">
      <c r="M299" s="19"/>
    </row>
    <row r="300" spans="13:13" x14ac:dyDescent="0.2">
      <c r="M300" s="19"/>
    </row>
    <row r="301" spans="13:13" x14ac:dyDescent="0.2">
      <c r="M301" s="19"/>
    </row>
    <row r="302" spans="13:13" x14ac:dyDescent="0.2">
      <c r="M302" s="19"/>
    </row>
    <row r="303" spans="13:13" x14ac:dyDescent="0.2">
      <c r="M303" s="19"/>
    </row>
    <row r="304" spans="13:13" x14ac:dyDescent="0.2">
      <c r="M304" s="19"/>
    </row>
    <row r="305" spans="13:13" x14ac:dyDescent="0.2">
      <c r="M305" s="19"/>
    </row>
    <row r="306" spans="13:13" x14ac:dyDescent="0.2">
      <c r="M306" s="19"/>
    </row>
    <row r="307" spans="13:13" x14ac:dyDescent="0.2">
      <c r="M307" s="19"/>
    </row>
  </sheetData>
  <phoneticPr fontId="0" type="noConversion"/>
  <printOptions gridLines="1"/>
  <pageMargins left="0.78740157480314965" right="0.78740157480314965" top="0.98425196850393704" bottom="0.98425196850393704" header="0.51181102362204722" footer="0.51181102362204722"/>
  <pageSetup paperSize="9" scale="51" orientation="portrait" verticalDpi="1200" r:id="rId1"/>
  <headerFooter alignWithMargins="0">
    <oddHeader>&amp;L&amp;G&amp;C&amp;A&amp;RLV: Aufwandschätzverfahren für IKT Projekte</oddHeader>
    <oddFooter>&amp;L(c) 2006 DI(FH) Sven Schweiger&amp;R&amp;P / &amp;N</oddFooter>
  </headerFooter>
  <rowBreaks count="1" manualBreakCount="1">
    <brk id="532" max="16383" man="1"/>
  </rowBreaks>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109"/>
  <sheetViews>
    <sheetView topLeftCell="A22" zoomScale="85" zoomScaleNormal="95" zoomScaleSheetLayoutView="70" workbookViewId="0">
      <selection activeCell="B1" sqref="B1:I1"/>
    </sheetView>
  </sheetViews>
  <sheetFormatPr baseColWidth="10" defaultColWidth="8" defaultRowHeight="12.75" x14ac:dyDescent="0.2"/>
  <cols>
    <col min="1" max="1" width="7.5703125" style="44" customWidth="1"/>
    <col min="2" max="2" width="98.42578125" style="45" customWidth="1"/>
    <col min="3" max="3" width="18.85546875" style="49" customWidth="1"/>
    <col min="4" max="4" width="3.42578125" style="45" hidden="1" customWidth="1"/>
    <col min="5" max="5" width="13.5703125" style="46" customWidth="1"/>
    <col min="6" max="6" width="6" style="48" hidden="1" customWidth="1"/>
    <col min="7" max="7" width="7.7109375" style="48" hidden="1" customWidth="1"/>
    <col min="8" max="8" width="9.5703125" style="48" hidden="1" customWidth="1"/>
    <col min="9" max="9" width="16.140625" style="45" customWidth="1"/>
    <col min="10" max="16384" width="8" style="45"/>
  </cols>
  <sheetData>
    <row r="1" spans="1:9" s="43" customFormat="1" ht="57.75" customHeight="1" x14ac:dyDescent="0.2">
      <c r="A1" s="229" t="s">
        <v>272</v>
      </c>
      <c r="B1" s="230" t="s">
        <v>273</v>
      </c>
      <c r="C1" s="230" t="s">
        <v>274</v>
      </c>
      <c r="D1" s="230" t="s">
        <v>275</v>
      </c>
      <c r="E1" s="230" t="s">
        <v>276</v>
      </c>
      <c r="F1" s="230" t="s">
        <v>277</v>
      </c>
      <c r="G1" s="230" t="s">
        <v>278</v>
      </c>
      <c r="H1" s="230" t="s">
        <v>279</v>
      </c>
      <c r="I1" s="242" t="s">
        <v>280</v>
      </c>
    </row>
    <row r="2" spans="1:9" x14ac:dyDescent="0.2">
      <c r="A2" s="231"/>
      <c r="B2" s="232" t="s">
        <v>281</v>
      </c>
      <c r="C2" s="57"/>
      <c r="D2" s="58"/>
      <c r="E2" s="59"/>
      <c r="F2" s="60">
        <f>SUM(F3:F11)*100/SUM(D3,D10:D11)</f>
        <v>100</v>
      </c>
      <c r="G2" s="61">
        <f>SUM(G3:G107) / COUNT(G3:G107)</f>
        <v>0</v>
      </c>
      <c r="H2" s="61">
        <f>SUM(H3:H107) / COUNT(H3:H107)</f>
        <v>0</v>
      </c>
      <c r="I2" s="70"/>
    </row>
    <row r="3" spans="1:9" x14ac:dyDescent="0.2">
      <c r="A3" s="231">
        <v>1</v>
      </c>
      <c r="B3" s="233" t="s">
        <v>282</v>
      </c>
      <c r="C3" s="62">
        <v>1</v>
      </c>
      <c r="D3" s="58">
        <f t="shared" ref="D3:D13" si="0">IF(C3&gt;1,0,E3)</f>
        <v>12</v>
      </c>
      <c r="E3" s="59">
        <v>12</v>
      </c>
      <c r="F3" s="63">
        <f>IF(C3&gt;2,"",(C3*D3))</f>
        <v>12</v>
      </c>
      <c r="G3" s="63">
        <f>IF(C3=2,1,0)</f>
        <v>0</v>
      </c>
      <c r="H3" s="63">
        <f>IF(C3=3,1,0)</f>
        <v>0</v>
      </c>
      <c r="I3" s="70"/>
    </row>
    <row r="4" spans="1:9" x14ac:dyDescent="0.2">
      <c r="A4" s="231">
        <v>2</v>
      </c>
      <c r="B4" s="233" t="s">
        <v>283</v>
      </c>
      <c r="C4" s="64"/>
      <c r="D4" s="58">
        <f t="shared" si="0"/>
        <v>0</v>
      </c>
      <c r="E4" s="59"/>
      <c r="F4" s="63"/>
      <c r="G4" s="63"/>
      <c r="H4" s="63"/>
      <c r="I4" s="71"/>
    </row>
    <row r="5" spans="1:9" x14ac:dyDescent="0.2">
      <c r="A5" s="234" t="s">
        <v>46</v>
      </c>
      <c r="B5" s="233" t="s">
        <v>284</v>
      </c>
      <c r="C5" s="65">
        <v>0</v>
      </c>
      <c r="D5" s="58">
        <f t="shared" si="0"/>
        <v>2</v>
      </c>
      <c r="E5" s="59">
        <v>2</v>
      </c>
      <c r="F5" s="63">
        <f t="shared" ref="F5:F11" si="1">IF(C5&gt;2,"",(C5*D5))</f>
        <v>0</v>
      </c>
      <c r="G5" s="63">
        <f t="shared" ref="G5:G11" si="2">IF(C5=2,1,0)</f>
        <v>0</v>
      </c>
      <c r="H5" s="63">
        <f t="shared" ref="H5:H11" si="3">IF(C5=3,1,0)</f>
        <v>0</v>
      </c>
      <c r="I5" s="71"/>
    </row>
    <row r="6" spans="1:9" x14ac:dyDescent="0.2">
      <c r="A6" s="234" t="s">
        <v>47</v>
      </c>
      <c r="B6" s="233" t="s">
        <v>285</v>
      </c>
      <c r="C6" s="65">
        <v>0</v>
      </c>
      <c r="D6" s="58">
        <f t="shared" si="0"/>
        <v>2</v>
      </c>
      <c r="E6" s="59">
        <v>2</v>
      </c>
      <c r="F6" s="63">
        <f t="shared" si="1"/>
        <v>0</v>
      </c>
      <c r="G6" s="63">
        <f t="shared" si="2"/>
        <v>0</v>
      </c>
      <c r="H6" s="63">
        <f t="shared" si="3"/>
        <v>0</v>
      </c>
      <c r="I6" s="71"/>
    </row>
    <row r="7" spans="1:9" x14ac:dyDescent="0.2">
      <c r="A7" s="234" t="s">
        <v>48</v>
      </c>
      <c r="B7" s="233" t="s">
        <v>286</v>
      </c>
      <c r="C7" s="65">
        <v>0</v>
      </c>
      <c r="D7" s="58">
        <f t="shared" si="0"/>
        <v>2</v>
      </c>
      <c r="E7" s="59">
        <v>2</v>
      </c>
      <c r="F7" s="63">
        <f t="shared" si="1"/>
        <v>0</v>
      </c>
      <c r="G7" s="63">
        <f t="shared" si="2"/>
        <v>0</v>
      </c>
      <c r="H7" s="63">
        <f t="shared" si="3"/>
        <v>0</v>
      </c>
      <c r="I7" s="71"/>
    </row>
    <row r="8" spans="1:9" x14ac:dyDescent="0.2">
      <c r="A8" s="234" t="s">
        <v>49</v>
      </c>
      <c r="B8" s="233" t="s">
        <v>287</v>
      </c>
      <c r="C8" s="65">
        <v>0</v>
      </c>
      <c r="D8" s="58">
        <f t="shared" si="0"/>
        <v>2</v>
      </c>
      <c r="E8" s="59">
        <v>2</v>
      </c>
      <c r="F8" s="63">
        <f t="shared" si="1"/>
        <v>0</v>
      </c>
      <c r="G8" s="63">
        <f t="shared" si="2"/>
        <v>0</v>
      </c>
      <c r="H8" s="63">
        <f t="shared" si="3"/>
        <v>0</v>
      </c>
      <c r="I8" s="70"/>
    </row>
    <row r="9" spans="1:9" x14ac:dyDescent="0.2">
      <c r="A9" s="234" t="s">
        <v>50</v>
      </c>
      <c r="B9" s="233" t="s">
        <v>288</v>
      </c>
      <c r="C9" s="65">
        <f>IF(C3=2,2,IF(C3=3,3,0))</f>
        <v>0</v>
      </c>
      <c r="D9" s="58">
        <f t="shared" si="0"/>
        <v>2</v>
      </c>
      <c r="E9" s="59">
        <v>2</v>
      </c>
      <c r="F9" s="63">
        <f t="shared" si="1"/>
        <v>0</v>
      </c>
      <c r="G9" s="63">
        <f t="shared" si="2"/>
        <v>0</v>
      </c>
      <c r="H9" s="63">
        <f t="shared" si="3"/>
        <v>0</v>
      </c>
      <c r="I9" s="71"/>
    </row>
    <row r="10" spans="1:9" x14ac:dyDescent="0.2">
      <c r="A10" s="231">
        <v>3</v>
      </c>
      <c r="B10" s="233" t="s">
        <v>289</v>
      </c>
      <c r="C10" s="62">
        <v>1</v>
      </c>
      <c r="D10" s="58">
        <f t="shared" si="0"/>
        <v>3</v>
      </c>
      <c r="E10" s="59">
        <v>3</v>
      </c>
      <c r="F10" s="63">
        <f t="shared" si="1"/>
        <v>3</v>
      </c>
      <c r="G10" s="63">
        <f t="shared" si="2"/>
        <v>0</v>
      </c>
      <c r="H10" s="63">
        <f t="shared" si="3"/>
        <v>0</v>
      </c>
      <c r="I10" s="71"/>
    </row>
    <row r="11" spans="1:9" x14ac:dyDescent="0.2">
      <c r="A11" s="231">
        <v>4</v>
      </c>
      <c r="B11" s="233" t="s">
        <v>290</v>
      </c>
      <c r="C11" s="62">
        <v>1</v>
      </c>
      <c r="D11" s="58">
        <f t="shared" si="0"/>
        <v>5</v>
      </c>
      <c r="E11" s="59">
        <v>5</v>
      </c>
      <c r="F11" s="63">
        <f t="shared" si="1"/>
        <v>5</v>
      </c>
      <c r="G11" s="63">
        <f t="shared" si="2"/>
        <v>0</v>
      </c>
      <c r="H11" s="63">
        <f t="shared" si="3"/>
        <v>0</v>
      </c>
      <c r="I11" s="71"/>
    </row>
    <row r="12" spans="1:9" x14ac:dyDescent="0.2">
      <c r="A12" s="231"/>
      <c r="B12" s="235"/>
      <c r="C12" s="64"/>
      <c r="D12" s="58">
        <f t="shared" si="0"/>
        <v>0</v>
      </c>
      <c r="E12" s="59"/>
      <c r="F12" s="63"/>
      <c r="G12" s="63"/>
      <c r="H12" s="63"/>
      <c r="I12" s="71"/>
    </row>
    <row r="13" spans="1:9" x14ac:dyDescent="0.2">
      <c r="A13" s="231"/>
      <c r="B13" s="232" t="s">
        <v>291</v>
      </c>
      <c r="C13" s="64"/>
      <c r="D13" s="58">
        <f t="shared" si="0"/>
        <v>0</v>
      </c>
      <c r="E13" s="59"/>
      <c r="F13" s="60">
        <f>SUM(F14:F25)*100/SUM(D14:D22,D25:D25)</f>
        <v>68.421052631578945</v>
      </c>
      <c r="G13" s="61"/>
      <c r="H13" s="61"/>
      <c r="I13" s="71"/>
    </row>
    <row r="14" spans="1:9" x14ac:dyDescent="0.2">
      <c r="A14" s="234" t="s">
        <v>292</v>
      </c>
      <c r="B14" s="233" t="s">
        <v>293</v>
      </c>
      <c r="C14" s="62">
        <v>1</v>
      </c>
      <c r="D14" s="58"/>
      <c r="E14" s="59">
        <v>10</v>
      </c>
      <c r="F14" s="63">
        <f>IF(C14&gt;2,"",(C14*D14))</f>
        <v>0</v>
      </c>
      <c r="G14" s="63">
        <f>IF(C14=2,1,0)</f>
        <v>0</v>
      </c>
      <c r="H14" s="63">
        <f t="shared" ref="H14:H25" si="4">IF(C14=3,1,0)</f>
        <v>0</v>
      </c>
      <c r="I14" s="71"/>
    </row>
    <row r="15" spans="1:9" x14ac:dyDescent="0.2">
      <c r="A15" s="234" t="s">
        <v>294</v>
      </c>
      <c r="B15" s="233" t="s">
        <v>295</v>
      </c>
      <c r="C15" s="62">
        <v>1</v>
      </c>
      <c r="D15" s="58"/>
      <c r="E15" s="59">
        <v>3</v>
      </c>
      <c r="F15" s="63">
        <f>IF(C15&gt;2,"",(C15*D15))</f>
        <v>0</v>
      </c>
      <c r="G15" s="63">
        <f>IF(C15=2,1,0)</f>
        <v>0</v>
      </c>
      <c r="H15" s="63">
        <f t="shared" si="4"/>
        <v>0</v>
      </c>
      <c r="I15" s="71"/>
    </row>
    <row r="16" spans="1:9" x14ac:dyDescent="0.2">
      <c r="A16" s="234" t="s">
        <v>296</v>
      </c>
      <c r="B16" s="233" t="s">
        <v>297</v>
      </c>
      <c r="C16" s="62">
        <v>1</v>
      </c>
      <c r="D16" s="58">
        <f t="shared" ref="D16:D47" si="5">IF(C16&gt;1,0,E16)</f>
        <v>4</v>
      </c>
      <c r="E16" s="59">
        <v>4</v>
      </c>
      <c r="F16" s="63">
        <f>IF(C16&gt;2,"",(C16*D16))</f>
        <v>4</v>
      </c>
      <c r="G16" s="63">
        <f>IF(C16=2,1,0)</f>
        <v>0</v>
      </c>
      <c r="H16" s="63">
        <f t="shared" si="4"/>
        <v>0</v>
      </c>
      <c r="I16" s="71"/>
    </row>
    <row r="17" spans="1:9" x14ac:dyDescent="0.2">
      <c r="A17" s="234"/>
      <c r="B17" s="233" t="s">
        <v>298</v>
      </c>
      <c r="C17" s="64"/>
      <c r="D17" s="58">
        <f t="shared" si="5"/>
        <v>0</v>
      </c>
      <c r="E17" s="59"/>
      <c r="F17" s="63"/>
      <c r="G17" s="63"/>
      <c r="H17" s="63">
        <f t="shared" si="4"/>
        <v>0</v>
      </c>
      <c r="I17" s="71"/>
    </row>
    <row r="18" spans="1:9" x14ac:dyDescent="0.2">
      <c r="A18" s="234" t="s">
        <v>299</v>
      </c>
      <c r="B18" s="233" t="s">
        <v>300</v>
      </c>
      <c r="C18" s="65">
        <v>0</v>
      </c>
      <c r="D18" s="58">
        <f t="shared" si="5"/>
        <v>1</v>
      </c>
      <c r="E18" s="59">
        <v>1</v>
      </c>
      <c r="F18" s="63">
        <f>IF(C18&gt;2,"",(C18*D18))</f>
        <v>0</v>
      </c>
      <c r="G18" s="63">
        <f t="shared" ref="G18:G25" si="6">IF(C18=2,1,0)</f>
        <v>0</v>
      </c>
      <c r="H18" s="63">
        <f t="shared" si="4"/>
        <v>0</v>
      </c>
      <c r="I18" s="71"/>
    </row>
    <row r="19" spans="1:9" x14ac:dyDescent="0.2">
      <c r="A19" s="234" t="s">
        <v>301</v>
      </c>
      <c r="B19" s="233" t="s">
        <v>302</v>
      </c>
      <c r="C19" s="65">
        <f>IF(C16=2,2,IF(C16=3,3,0))</f>
        <v>0</v>
      </c>
      <c r="D19" s="58">
        <f t="shared" si="5"/>
        <v>1</v>
      </c>
      <c r="E19" s="59">
        <v>1</v>
      </c>
      <c r="F19" s="63">
        <f>IF(C19&gt;2,"",(C19*D19))</f>
        <v>0</v>
      </c>
      <c r="G19" s="63">
        <f t="shared" si="6"/>
        <v>0</v>
      </c>
      <c r="H19" s="63">
        <f t="shared" si="4"/>
        <v>0</v>
      </c>
      <c r="I19" s="71"/>
    </row>
    <row r="20" spans="1:9" x14ac:dyDescent="0.2">
      <c r="A20" s="234" t="s">
        <v>303</v>
      </c>
      <c r="B20" s="233" t="s">
        <v>304</v>
      </c>
      <c r="C20" s="62">
        <v>0</v>
      </c>
      <c r="D20" s="58">
        <f t="shared" si="5"/>
        <v>1</v>
      </c>
      <c r="E20" s="59">
        <v>1</v>
      </c>
      <c r="F20" s="63">
        <f>IF(C20&gt;2,"",(C20*D20))</f>
        <v>0</v>
      </c>
      <c r="G20" s="63">
        <f t="shared" si="6"/>
        <v>0</v>
      </c>
      <c r="H20" s="63">
        <f t="shared" si="4"/>
        <v>0</v>
      </c>
      <c r="I20" s="70"/>
    </row>
    <row r="21" spans="1:9" x14ac:dyDescent="0.2">
      <c r="A21" s="234" t="s">
        <v>305</v>
      </c>
      <c r="B21" s="233" t="s">
        <v>306</v>
      </c>
      <c r="C21" s="62">
        <v>1</v>
      </c>
      <c r="D21" s="58">
        <f t="shared" si="5"/>
        <v>4</v>
      </c>
      <c r="E21" s="59">
        <v>4</v>
      </c>
      <c r="F21" s="63">
        <f>IF(C21&gt;2,"",(C21*D21))</f>
        <v>4</v>
      </c>
      <c r="G21" s="63">
        <f t="shared" si="6"/>
        <v>0</v>
      </c>
      <c r="H21" s="63">
        <f t="shared" si="4"/>
        <v>0</v>
      </c>
      <c r="I21" s="70"/>
    </row>
    <row r="22" spans="1:9" x14ac:dyDescent="0.2">
      <c r="A22" s="234" t="s">
        <v>307</v>
      </c>
      <c r="B22" s="233" t="s">
        <v>308</v>
      </c>
      <c r="C22" s="62">
        <v>1</v>
      </c>
      <c r="D22" s="58">
        <f t="shared" si="5"/>
        <v>5</v>
      </c>
      <c r="E22" s="59">
        <v>5</v>
      </c>
      <c r="F22" s="63">
        <f>IF(C22&gt;2,"",(C22*D22))</f>
        <v>5</v>
      </c>
      <c r="G22" s="63">
        <f t="shared" si="6"/>
        <v>0</v>
      </c>
      <c r="H22" s="63">
        <f t="shared" si="4"/>
        <v>0</v>
      </c>
      <c r="I22" s="71"/>
    </row>
    <row r="23" spans="1:9" x14ac:dyDescent="0.2">
      <c r="A23" s="234"/>
      <c r="B23" s="233" t="s">
        <v>309</v>
      </c>
      <c r="C23" s="64"/>
      <c r="D23" s="58">
        <f t="shared" si="5"/>
        <v>0</v>
      </c>
      <c r="E23" s="59"/>
      <c r="F23" s="63"/>
      <c r="G23" s="63">
        <f t="shared" si="6"/>
        <v>0</v>
      </c>
      <c r="H23" s="63">
        <f t="shared" si="4"/>
        <v>0</v>
      </c>
      <c r="I23" s="71"/>
    </row>
    <row r="24" spans="1:9" x14ac:dyDescent="0.2">
      <c r="A24" s="234" t="s">
        <v>310</v>
      </c>
      <c r="B24" s="233" t="s">
        <v>311</v>
      </c>
      <c r="C24" s="65">
        <f>IF(C22=2,2,IF(C22=3,3,0))</f>
        <v>0</v>
      </c>
      <c r="D24" s="58">
        <f t="shared" si="5"/>
        <v>1</v>
      </c>
      <c r="E24" s="59">
        <v>1</v>
      </c>
      <c r="F24" s="63">
        <f>IF(C24&gt;2,"",(C24*D24))</f>
        <v>0</v>
      </c>
      <c r="G24" s="63">
        <f t="shared" si="6"/>
        <v>0</v>
      </c>
      <c r="H24" s="63">
        <f t="shared" si="4"/>
        <v>0</v>
      </c>
      <c r="I24" s="71"/>
    </row>
    <row r="25" spans="1:9" x14ac:dyDescent="0.2">
      <c r="A25" s="234" t="s">
        <v>312</v>
      </c>
      <c r="B25" s="233" t="s">
        <v>313</v>
      </c>
      <c r="C25" s="62">
        <v>0</v>
      </c>
      <c r="D25" s="58">
        <f t="shared" si="5"/>
        <v>3</v>
      </c>
      <c r="E25" s="59">
        <v>3</v>
      </c>
      <c r="F25" s="63">
        <f>IF(C25&gt;2,"",(C25*D25))</f>
        <v>0</v>
      </c>
      <c r="G25" s="63">
        <f t="shared" si="6"/>
        <v>0</v>
      </c>
      <c r="H25" s="63">
        <f t="shared" si="4"/>
        <v>0</v>
      </c>
      <c r="I25" s="71"/>
    </row>
    <row r="26" spans="1:9" x14ac:dyDescent="0.2">
      <c r="A26" s="234"/>
      <c r="B26" s="233"/>
      <c r="C26" s="64"/>
      <c r="D26" s="58">
        <f t="shared" si="5"/>
        <v>0</v>
      </c>
      <c r="E26" s="59"/>
      <c r="F26" s="63"/>
      <c r="G26" s="63"/>
      <c r="H26" s="63"/>
      <c r="I26" s="70"/>
    </row>
    <row r="27" spans="1:9" x14ac:dyDescent="0.2">
      <c r="A27" s="234"/>
      <c r="B27" s="232" t="s">
        <v>314</v>
      </c>
      <c r="C27" s="64"/>
      <c r="D27" s="58">
        <f t="shared" si="5"/>
        <v>0</v>
      </c>
      <c r="E27" s="59"/>
      <c r="F27" s="66">
        <f>SUM(F28:F40)*100/SUM(D28:D37)</f>
        <v>40.74074074074074</v>
      </c>
      <c r="G27" s="61"/>
      <c r="H27" s="61"/>
      <c r="I27" s="70"/>
    </row>
    <row r="28" spans="1:9" x14ac:dyDescent="0.2">
      <c r="A28" s="234" t="s">
        <v>315</v>
      </c>
      <c r="B28" s="233" t="s">
        <v>316</v>
      </c>
      <c r="C28" s="62">
        <v>0</v>
      </c>
      <c r="D28" s="58">
        <f t="shared" si="5"/>
        <v>3</v>
      </c>
      <c r="E28" s="59">
        <v>3</v>
      </c>
      <c r="F28" s="63">
        <f t="shared" ref="F28:F37" si="7">IF(C28&gt;2,"",(C28*D28))</f>
        <v>0</v>
      </c>
      <c r="G28" s="63">
        <f t="shared" ref="G28:G37" si="8">IF(C28=2,1,0)</f>
        <v>0</v>
      </c>
      <c r="H28" s="63">
        <f t="shared" ref="H28:H37" si="9">IF(C28=3,1,0)</f>
        <v>0</v>
      </c>
      <c r="I28" s="70"/>
    </row>
    <row r="29" spans="1:9" x14ac:dyDescent="0.2">
      <c r="A29" s="234" t="s">
        <v>317</v>
      </c>
      <c r="B29" s="233" t="s">
        <v>318</v>
      </c>
      <c r="C29" s="62">
        <v>1</v>
      </c>
      <c r="D29" s="58">
        <f t="shared" si="5"/>
        <v>1</v>
      </c>
      <c r="E29" s="59">
        <v>1</v>
      </c>
      <c r="F29" s="63">
        <f t="shared" si="7"/>
        <v>1</v>
      </c>
      <c r="G29" s="63">
        <f t="shared" si="8"/>
        <v>0</v>
      </c>
      <c r="H29" s="63">
        <f t="shared" si="9"/>
        <v>0</v>
      </c>
      <c r="I29" s="70"/>
    </row>
    <row r="30" spans="1:9" x14ac:dyDescent="0.2">
      <c r="A30" s="234" t="s">
        <v>319</v>
      </c>
      <c r="B30" s="233" t="s">
        <v>320</v>
      </c>
      <c r="C30" s="62">
        <v>1</v>
      </c>
      <c r="D30" s="58">
        <f t="shared" si="5"/>
        <v>1</v>
      </c>
      <c r="E30" s="59">
        <v>1</v>
      </c>
      <c r="F30" s="63">
        <f t="shared" si="7"/>
        <v>1</v>
      </c>
      <c r="G30" s="63">
        <f t="shared" si="8"/>
        <v>0</v>
      </c>
      <c r="H30" s="63">
        <f t="shared" si="9"/>
        <v>0</v>
      </c>
      <c r="I30" s="70"/>
    </row>
    <row r="31" spans="1:9" x14ac:dyDescent="0.2">
      <c r="A31" s="234" t="s">
        <v>321</v>
      </c>
      <c r="B31" s="233" t="s">
        <v>322</v>
      </c>
      <c r="C31" s="62">
        <v>0</v>
      </c>
      <c r="D31" s="58">
        <f t="shared" si="5"/>
        <v>10</v>
      </c>
      <c r="E31" s="59">
        <v>10</v>
      </c>
      <c r="F31" s="63">
        <f t="shared" si="7"/>
        <v>0</v>
      </c>
      <c r="G31" s="63">
        <f t="shared" si="8"/>
        <v>0</v>
      </c>
      <c r="H31" s="63">
        <f t="shared" si="9"/>
        <v>0</v>
      </c>
      <c r="I31" s="70"/>
    </row>
    <row r="32" spans="1:9" x14ac:dyDescent="0.2">
      <c r="A32" s="234" t="s">
        <v>323</v>
      </c>
      <c r="B32" s="233" t="s">
        <v>324</v>
      </c>
      <c r="C32" s="62">
        <v>1</v>
      </c>
      <c r="D32" s="58">
        <f t="shared" si="5"/>
        <v>1</v>
      </c>
      <c r="E32" s="59">
        <v>1</v>
      </c>
      <c r="F32" s="63">
        <f t="shared" si="7"/>
        <v>1</v>
      </c>
      <c r="G32" s="63">
        <f t="shared" si="8"/>
        <v>0</v>
      </c>
      <c r="H32" s="63">
        <f t="shared" si="9"/>
        <v>0</v>
      </c>
      <c r="I32" s="70"/>
    </row>
    <row r="33" spans="1:9" x14ac:dyDescent="0.2">
      <c r="A33" s="234" t="s">
        <v>325</v>
      </c>
      <c r="B33" s="233" t="s">
        <v>326</v>
      </c>
      <c r="C33" s="62">
        <v>1</v>
      </c>
      <c r="D33" s="58">
        <f t="shared" si="5"/>
        <v>5</v>
      </c>
      <c r="E33" s="59">
        <v>5</v>
      </c>
      <c r="F33" s="63">
        <f t="shared" si="7"/>
        <v>5</v>
      </c>
      <c r="G33" s="63">
        <f t="shared" si="8"/>
        <v>0</v>
      </c>
      <c r="H33" s="63">
        <f t="shared" si="9"/>
        <v>0</v>
      </c>
      <c r="I33" s="70"/>
    </row>
    <row r="34" spans="1:9" x14ac:dyDescent="0.2">
      <c r="A34" s="234" t="s">
        <v>327</v>
      </c>
      <c r="B34" s="233" t="s">
        <v>328</v>
      </c>
      <c r="C34" s="62">
        <v>1</v>
      </c>
      <c r="D34" s="58">
        <f t="shared" si="5"/>
        <v>1</v>
      </c>
      <c r="E34" s="59">
        <v>1</v>
      </c>
      <c r="F34" s="63">
        <f t="shared" si="7"/>
        <v>1</v>
      </c>
      <c r="G34" s="63">
        <f t="shared" si="8"/>
        <v>0</v>
      </c>
      <c r="H34" s="63">
        <f t="shared" si="9"/>
        <v>0</v>
      </c>
      <c r="I34" s="70"/>
    </row>
    <row r="35" spans="1:9" x14ac:dyDescent="0.2">
      <c r="A35" s="234" t="s">
        <v>329</v>
      </c>
      <c r="B35" s="233" t="s">
        <v>330</v>
      </c>
      <c r="C35" s="62">
        <v>1</v>
      </c>
      <c r="D35" s="58">
        <f t="shared" si="5"/>
        <v>2</v>
      </c>
      <c r="E35" s="59">
        <v>2</v>
      </c>
      <c r="F35" s="63">
        <f t="shared" si="7"/>
        <v>2</v>
      </c>
      <c r="G35" s="63">
        <f t="shared" si="8"/>
        <v>0</v>
      </c>
      <c r="H35" s="63">
        <f t="shared" si="9"/>
        <v>0</v>
      </c>
      <c r="I35" s="70"/>
    </row>
    <row r="36" spans="1:9" x14ac:dyDescent="0.2">
      <c r="A36" s="234" t="s">
        <v>331</v>
      </c>
      <c r="B36" s="233" t="s">
        <v>332</v>
      </c>
      <c r="C36" s="62">
        <v>0</v>
      </c>
      <c r="D36" s="58">
        <f t="shared" si="5"/>
        <v>1</v>
      </c>
      <c r="E36" s="59">
        <v>1</v>
      </c>
      <c r="F36" s="63">
        <f t="shared" si="7"/>
        <v>0</v>
      </c>
      <c r="G36" s="63">
        <f t="shared" si="8"/>
        <v>0</v>
      </c>
      <c r="H36" s="63">
        <f t="shared" si="9"/>
        <v>0</v>
      </c>
      <c r="I36" s="70"/>
    </row>
    <row r="37" spans="1:9" x14ac:dyDescent="0.2">
      <c r="A37" s="234" t="s">
        <v>333</v>
      </c>
      <c r="B37" s="233" t="s">
        <v>334</v>
      </c>
      <c r="C37" s="62">
        <v>0</v>
      </c>
      <c r="D37" s="58">
        <f t="shared" si="5"/>
        <v>2</v>
      </c>
      <c r="E37" s="59">
        <v>2</v>
      </c>
      <c r="F37" s="63">
        <f t="shared" si="7"/>
        <v>0</v>
      </c>
      <c r="G37" s="63">
        <f t="shared" si="8"/>
        <v>0</v>
      </c>
      <c r="H37" s="63">
        <f t="shared" si="9"/>
        <v>0</v>
      </c>
      <c r="I37" s="70"/>
    </row>
    <row r="38" spans="1:9" x14ac:dyDescent="0.2">
      <c r="A38" s="234"/>
      <c r="B38" s="233" t="s">
        <v>309</v>
      </c>
      <c r="C38" s="64"/>
      <c r="D38" s="58">
        <f t="shared" si="5"/>
        <v>0</v>
      </c>
      <c r="E38" s="59"/>
      <c r="F38" s="63"/>
      <c r="G38" s="63"/>
      <c r="H38" s="63"/>
      <c r="I38" s="70"/>
    </row>
    <row r="39" spans="1:9" x14ac:dyDescent="0.2">
      <c r="A39" s="234" t="s">
        <v>335</v>
      </c>
      <c r="B39" s="233" t="s">
        <v>336</v>
      </c>
      <c r="C39" s="65">
        <f>IF(C37=2,2,IF(C37=3,3,0))</f>
        <v>0</v>
      </c>
      <c r="D39" s="58">
        <f t="shared" si="5"/>
        <v>1</v>
      </c>
      <c r="E39" s="59">
        <v>1</v>
      </c>
      <c r="F39" s="63">
        <f>IF(C39&gt;2,"",(C39*D39))</f>
        <v>0</v>
      </c>
      <c r="G39" s="63">
        <f>IF(C39=2,1,0)</f>
        <v>0</v>
      </c>
      <c r="H39" s="63">
        <f>IF(C39=3,1,0)</f>
        <v>0</v>
      </c>
      <c r="I39" s="70"/>
    </row>
    <row r="40" spans="1:9" x14ac:dyDescent="0.2">
      <c r="A40" s="234" t="s">
        <v>337</v>
      </c>
      <c r="B40" s="233" t="s">
        <v>338</v>
      </c>
      <c r="C40" s="65">
        <f>IF(C37=2,2,IF(C37=3,3,0))</f>
        <v>0</v>
      </c>
      <c r="D40" s="58">
        <f t="shared" si="5"/>
        <v>1</v>
      </c>
      <c r="E40" s="59">
        <v>1</v>
      </c>
      <c r="F40" s="63">
        <f>IF(C40&gt;2,"",(C40*D40))</f>
        <v>0</v>
      </c>
      <c r="G40" s="63">
        <f>IF(C40=2,1,0)</f>
        <v>0</v>
      </c>
      <c r="H40" s="63">
        <f>IF(C40=3,1,0)</f>
        <v>0</v>
      </c>
      <c r="I40" s="70"/>
    </row>
    <row r="41" spans="1:9" x14ac:dyDescent="0.2">
      <c r="A41" s="231"/>
      <c r="B41" s="235"/>
      <c r="C41" s="64"/>
      <c r="D41" s="58">
        <f t="shared" si="5"/>
        <v>0</v>
      </c>
      <c r="E41" s="59"/>
      <c r="F41" s="63"/>
      <c r="G41" s="63"/>
      <c r="H41" s="63"/>
      <c r="I41" s="71"/>
    </row>
    <row r="42" spans="1:9" x14ac:dyDescent="0.2">
      <c r="A42" s="231"/>
      <c r="B42" s="232" t="s">
        <v>339</v>
      </c>
      <c r="C42" s="64"/>
      <c r="D42" s="58">
        <f t="shared" si="5"/>
        <v>0</v>
      </c>
      <c r="E42" s="59"/>
      <c r="F42" s="60">
        <f>SUM(F43:F53)*100/SUM(D43:D53)</f>
        <v>56.81818181818182</v>
      </c>
      <c r="G42" s="61"/>
      <c r="H42" s="61"/>
      <c r="I42" s="71"/>
    </row>
    <row r="43" spans="1:9" x14ac:dyDescent="0.2">
      <c r="A43" s="234" t="s">
        <v>340</v>
      </c>
      <c r="B43" s="233" t="s">
        <v>341</v>
      </c>
      <c r="C43" s="62">
        <v>0</v>
      </c>
      <c r="D43" s="58">
        <f t="shared" si="5"/>
        <v>8</v>
      </c>
      <c r="E43" s="59">
        <v>8</v>
      </c>
      <c r="F43" s="63">
        <f t="shared" ref="F43:F53" si="10">IF(C43&gt;2,"",(C43*D43))</f>
        <v>0</v>
      </c>
      <c r="G43" s="63">
        <f t="shared" ref="G43:G53" si="11">IF(C43=2,1,0)</f>
        <v>0</v>
      </c>
      <c r="H43" s="63">
        <f t="shared" ref="H43:H53" si="12">IF(C43=3,1,0)</f>
        <v>0</v>
      </c>
      <c r="I43" s="71"/>
    </row>
    <row r="44" spans="1:9" x14ac:dyDescent="0.2">
      <c r="A44" s="234" t="s">
        <v>342</v>
      </c>
      <c r="B44" s="233" t="s">
        <v>343</v>
      </c>
      <c r="C44" s="62">
        <v>1</v>
      </c>
      <c r="D44" s="58">
        <f t="shared" si="5"/>
        <v>8</v>
      </c>
      <c r="E44" s="59">
        <v>8</v>
      </c>
      <c r="F44" s="63">
        <f t="shared" si="10"/>
        <v>8</v>
      </c>
      <c r="G44" s="63">
        <f t="shared" si="11"/>
        <v>0</v>
      </c>
      <c r="H44" s="63">
        <f t="shared" si="12"/>
        <v>0</v>
      </c>
      <c r="I44" s="71"/>
    </row>
    <row r="45" spans="1:9" x14ac:dyDescent="0.2">
      <c r="A45" s="234" t="s">
        <v>344</v>
      </c>
      <c r="B45" s="233" t="s">
        <v>345</v>
      </c>
      <c r="C45" s="62">
        <v>0</v>
      </c>
      <c r="D45" s="58">
        <f t="shared" si="5"/>
        <v>5</v>
      </c>
      <c r="E45" s="59">
        <v>5</v>
      </c>
      <c r="F45" s="63">
        <f t="shared" si="10"/>
        <v>0</v>
      </c>
      <c r="G45" s="63">
        <f t="shared" si="11"/>
        <v>0</v>
      </c>
      <c r="H45" s="63">
        <f t="shared" si="12"/>
        <v>0</v>
      </c>
      <c r="I45" s="71"/>
    </row>
    <row r="46" spans="1:9" x14ac:dyDescent="0.2">
      <c r="A46" s="234" t="s">
        <v>346</v>
      </c>
      <c r="B46" s="233" t="s">
        <v>347</v>
      </c>
      <c r="C46" s="62">
        <v>1</v>
      </c>
      <c r="D46" s="58">
        <f t="shared" si="5"/>
        <v>8</v>
      </c>
      <c r="E46" s="59">
        <v>8</v>
      </c>
      <c r="F46" s="63">
        <f t="shared" si="10"/>
        <v>8</v>
      </c>
      <c r="G46" s="63">
        <f t="shared" si="11"/>
        <v>0</v>
      </c>
      <c r="H46" s="63">
        <f t="shared" si="12"/>
        <v>0</v>
      </c>
      <c r="I46" s="71"/>
    </row>
    <row r="47" spans="1:9" x14ac:dyDescent="0.2">
      <c r="A47" s="234" t="s">
        <v>348</v>
      </c>
      <c r="B47" s="233" t="s">
        <v>349</v>
      </c>
      <c r="C47" s="62">
        <v>1</v>
      </c>
      <c r="D47" s="58">
        <f t="shared" si="5"/>
        <v>2</v>
      </c>
      <c r="E47" s="59">
        <v>2</v>
      </c>
      <c r="F47" s="63">
        <f t="shared" si="10"/>
        <v>2</v>
      </c>
      <c r="G47" s="63">
        <f t="shared" si="11"/>
        <v>0</v>
      </c>
      <c r="H47" s="63">
        <f t="shared" si="12"/>
        <v>0</v>
      </c>
      <c r="I47" s="71"/>
    </row>
    <row r="48" spans="1:9" x14ac:dyDescent="0.2">
      <c r="A48" s="234" t="s">
        <v>350</v>
      </c>
      <c r="B48" s="233" t="s">
        <v>351</v>
      </c>
      <c r="C48" s="62">
        <v>1</v>
      </c>
      <c r="D48" s="58">
        <f t="shared" ref="D48:D79" si="13">IF(C48&gt;1,0,E48)</f>
        <v>3</v>
      </c>
      <c r="E48" s="59">
        <v>3</v>
      </c>
      <c r="F48" s="63">
        <f t="shared" si="10"/>
        <v>3</v>
      </c>
      <c r="G48" s="63">
        <f t="shared" si="11"/>
        <v>0</v>
      </c>
      <c r="H48" s="63">
        <f t="shared" si="12"/>
        <v>0</v>
      </c>
      <c r="I48" s="71"/>
    </row>
    <row r="49" spans="1:9" x14ac:dyDescent="0.2">
      <c r="A49" s="234" t="s">
        <v>352</v>
      </c>
      <c r="B49" s="233" t="s">
        <v>353</v>
      </c>
      <c r="C49" s="62">
        <v>1</v>
      </c>
      <c r="D49" s="58">
        <f t="shared" si="13"/>
        <v>3</v>
      </c>
      <c r="E49" s="59">
        <v>3</v>
      </c>
      <c r="F49" s="63">
        <f t="shared" si="10"/>
        <v>3</v>
      </c>
      <c r="G49" s="63">
        <f t="shared" si="11"/>
        <v>0</v>
      </c>
      <c r="H49" s="63">
        <f t="shared" si="12"/>
        <v>0</v>
      </c>
      <c r="I49" s="71"/>
    </row>
    <row r="50" spans="1:9" x14ac:dyDescent="0.2">
      <c r="A50" s="234" t="s">
        <v>354</v>
      </c>
      <c r="B50" s="233" t="s">
        <v>355</v>
      </c>
      <c r="C50" s="62">
        <v>0</v>
      </c>
      <c r="D50" s="58">
        <f t="shared" si="13"/>
        <v>2</v>
      </c>
      <c r="E50" s="59">
        <v>2</v>
      </c>
      <c r="F50" s="63">
        <f t="shared" si="10"/>
        <v>0</v>
      </c>
      <c r="G50" s="63">
        <f t="shared" si="11"/>
        <v>0</v>
      </c>
      <c r="H50" s="63">
        <f t="shared" si="12"/>
        <v>0</v>
      </c>
      <c r="I50" s="71"/>
    </row>
    <row r="51" spans="1:9" x14ac:dyDescent="0.2">
      <c r="A51" s="234" t="s">
        <v>356</v>
      </c>
      <c r="B51" s="233" t="s">
        <v>357</v>
      </c>
      <c r="C51" s="62">
        <v>0</v>
      </c>
      <c r="D51" s="58">
        <f t="shared" si="13"/>
        <v>3</v>
      </c>
      <c r="E51" s="59">
        <v>3</v>
      </c>
      <c r="F51" s="63">
        <f t="shared" si="10"/>
        <v>0</v>
      </c>
      <c r="G51" s="63">
        <f t="shared" si="11"/>
        <v>0</v>
      </c>
      <c r="H51" s="63">
        <f t="shared" si="12"/>
        <v>0</v>
      </c>
      <c r="I51" s="71"/>
    </row>
    <row r="52" spans="1:9" x14ac:dyDescent="0.2">
      <c r="A52" s="234" t="s">
        <v>358</v>
      </c>
      <c r="B52" s="233" t="s">
        <v>359</v>
      </c>
      <c r="C52" s="62">
        <v>1</v>
      </c>
      <c r="D52" s="58">
        <f t="shared" si="13"/>
        <v>1</v>
      </c>
      <c r="E52" s="59">
        <v>1</v>
      </c>
      <c r="F52" s="63">
        <f t="shared" si="10"/>
        <v>1</v>
      </c>
      <c r="G52" s="63">
        <f t="shared" si="11"/>
        <v>0</v>
      </c>
      <c r="H52" s="63">
        <f t="shared" si="12"/>
        <v>0</v>
      </c>
      <c r="I52" s="71"/>
    </row>
    <row r="53" spans="1:9" x14ac:dyDescent="0.2">
      <c r="A53" s="234" t="s">
        <v>360</v>
      </c>
      <c r="B53" s="233" t="s">
        <v>361</v>
      </c>
      <c r="C53" s="62">
        <v>0</v>
      </c>
      <c r="D53" s="58">
        <f t="shared" si="13"/>
        <v>1</v>
      </c>
      <c r="E53" s="59">
        <v>1</v>
      </c>
      <c r="F53" s="63">
        <f t="shared" si="10"/>
        <v>0</v>
      </c>
      <c r="G53" s="63">
        <f t="shared" si="11"/>
        <v>0</v>
      </c>
      <c r="H53" s="63">
        <f t="shared" si="12"/>
        <v>0</v>
      </c>
      <c r="I53" s="71"/>
    </row>
    <row r="54" spans="1:9" x14ac:dyDescent="0.2">
      <c r="A54" s="231"/>
      <c r="B54" s="235"/>
      <c r="C54" s="67"/>
      <c r="D54" s="58">
        <f t="shared" si="13"/>
        <v>0</v>
      </c>
      <c r="E54" s="59"/>
      <c r="F54" s="63"/>
      <c r="G54" s="63"/>
      <c r="H54" s="63"/>
      <c r="I54" s="71"/>
    </row>
    <row r="55" spans="1:9" x14ac:dyDescent="0.2">
      <c r="A55" s="231"/>
      <c r="B55" s="232" t="s">
        <v>362</v>
      </c>
      <c r="C55" s="67"/>
      <c r="D55" s="58">
        <f t="shared" si="13"/>
        <v>0</v>
      </c>
      <c r="E55" s="59"/>
      <c r="F55" s="68">
        <f>SUM(F56:F70)*100/SUM(D56:D70)</f>
        <v>58.064516129032256</v>
      </c>
      <c r="G55" s="61"/>
      <c r="H55" s="61"/>
      <c r="I55" s="71"/>
    </row>
    <row r="56" spans="1:9" x14ac:dyDescent="0.2">
      <c r="A56" s="234" t="s">
        <v>363</v>
      </c>
      <c r="B56" s="233" t="s">
        <v>364</v>
      </c>
      <c r="C56" s="62">
        <v>1</v>
      </c>
      <c r="D56" s="58">
        <f t="shared" si="13"/>
        <v>10</v>
      </c>
      <c r="E56" s="59">
        <v>10</v>
      </c>
      <c r="F56" s="63">
        <f>IF(C56&gt;2,"",(C56*D56))</f>
        <v>10</v>
      </c>
      <c r="G56" s="63">
        <f>IF(C56=2,1,0)</f>
        <v>0</v>
      </c>
      <c r="H56" s="63">
        <f>IF(C56=3,1,0)</f>
        <v>0</v>
      </c>
      <c r="I56" s="70"/>
    </row>
    <row r="57" spans="1:9" x14ac:dyDescent="0.2">
      <c r="A57" s="231"/>
      <c r="B57" s="233" t="s">
        <v>298</v>
      </c>
      <c r="C57" s="67"/>
      <c r="D57" s="58">
        <f t="shared" si="13"/>
        <v>0</v>
      </c>
      <c r="E57" s="59"/>
      <c r="F57" s="63"/>
      <c r="G57" s="63"/>
      <c r="H57" s="63"/>
      <c r="I57" s="70"/>
    </row>
    <row r="58" spans="1:9" x14ac:dyDescent="0.2">
      <c r="A58" s="234" t="s">
        <v>365</v>
      </c>
      <c r="B58" s="233" t="s">
        <v>366</v>
      </c>
      <c r="C58" s="65">
        <v>0</v>
      </c>
      <c r="D58" s="58">
        <f t="shared" si="13"/>
        <v>2</v>
      </c>
      <c r="E58" s="59">
        <v>2</v>
      </c>
      <c r="F58" s="63">
        <f t="shared" ref="F58:F70" si="14">IF(C58&gt;2,"",(C58*D58))</f>
        <v>0</v>
      </c>
      <c r="G58" s="63">
        <f t="shared" ref="G58:G70" si="15">IF(C58=2,1,0)</f>
        <v>0</v>
      </c>
      <c r="H58" s="63">
        <f t="shared" ref="H58:H70" si="16">IF(C58=3,1,0)</f>
        <v>0</v>
      </c>
      <c r="I58" s="71"/>
    </row>
    <row r="59" spans="1:9" x14ac:dyDescent="0.2">
      <c r="A59" s="234" t="s">
        <v>367</v>
      </c>
      <c r="B59" s="233" t="s">
        <v>368</v>
      </c>
      <c r="C59" s="65">
        <v>0</v>
      </c>
      <c r="D59" s="58">
        <f t="shared" si="13"/>
        <v>1</v>
      </c>
      <c r="E59" s="59">
        <v>1</v>
      </c>
      <c r="F59" s="63">
        <f t="shared" si="14"/>
        <v>0</v>
      </c>
      <c r="G59" s="63">
        <f t="shared" si="15"/>
        <v>0</v>
      </c>
      <c r="H59" s="63">
        <f t="shared" si="16"/>
        <v>0</v>
      </c>
      <c r="I59" s="71"/>
    </row>
    <row r="60" spans="1:9" x14ac:dyDescent="0.2">
      <c r="A60" s="234" t="s">
        <v>369</v>
      </c>
      <c r="B60" s="233" t="s">
        <v>370</v>
      </c>
      <c r="C60" s="65">
        <v>0</v>
      </c>
      <c r="D60" s="58">
        <f t="shared" si="13"/>
        <v>1</v>
      </c>
      <c r="E60" s="59">
        <v>1</v>
      </c>
      <c r="F60" s="63">
        <f t="shared" si="14"/>
        <v>0</v>
      </c>
      <c r="G60" s="63">
        <f t="shared" si="15"/>
        <v>0</v>
      </c>
      <c r="H60" s="63">
        <f t="shared" si="16"/>
        <v>0</v>
      </c>
      <c r="I60" s="71"/>
    </row>
    <row r="61" spans="1:9" x14ac:dyDescent="0.2">
      <c r="A61" s="234" t="s">
        <v>371</v>
      </c>
      <c r="B61" s="233" t="s">
        <v>372</v>
      </c>
      <c r="C61" s="65">
        <v>1</v>
      </c>
      <c r="D61" s="58">
        <f t="shared" si="13"/>
        <v>1</v>
      </c>
      <c r="E61" s="59">
        <v>1</v>
      </c>
      <c r="F61" s="63">
        <f t="shared" si="14"/>
        <v>1</v>
      </c>
      <c r="G61" s="63">
        <f t="shared" si="15"/>
        <v>0</v>
      </c>
      <c r="H61" s="63">
        <f t="shared" si="16"/>
        <v>0</v>
      </c>
      <c r="I61" s="70"/>
    </row>
    <row r="62" spans="1:9" x14ac:dyDescent="0.2">
      <c r="A62" s="234" t="s">
        <v>373</v>
      </c>
      <c r="B62" s="233" t="s">
        <v>374</v>
      </c>
      <c r="C62" s="65">
        <v>0</v>
      </c>
      <c r="D62" s="58">
        <f t="shared" si="13"/>
        <v>1</v>
      </c>
      <c r="E62" s="59">
        <v>1</v>
      </c>
      <c r="F62" s="63">
        <f t="shared" si="14"/>
        <v>0</v>
      </c>
      <c r="G62" s="63">
        <f t="shared" si="15"/>
        <v>0</v>
      </c>
      <c r="H62" s="63">
        <f t="shared" si="16"/>
        <v>0</v>
      </c>
      <c r="I62" s="71"/>
    </row>
    <row r="63" spans="1:9" x14ac:dyDescent="0.2">
      <c r="A63" s="234" t="s">
        <v>375</v>
      </c>
      <c r="B63" s="233" t="s">
        <v>376</v>
      </c>
      <c r="C63" s="65">
        <v>1</v>
      </c>
      <c r="D63" s="58">
        <f t="shared" si="13"/>
        <v>1</v>
      </c>
      <c r="E63" s="59">
        <v>1</v>
      </c>
      <c r="F63" s="63">
        <f t="shared" si="14"/>
        <v>1</v>
      </c>
      <c r="G63" s="63">
        <f t="shared" si="15"/>
        <v>0</v>
      </c>
      <c r="H63" s="63">
        <f t="shared" si="16"/>
        <v>0</v>
      </c>
      <c r="I63" s="71"/>
    </row>
    <row r="64" spans="1:9" x14ac:dyDescent="0.2">
      <c r="A64" s="234" t="s">
        <v>377</v>
      </c>
      <c r="B64" s="233" t="s">
        <v>378</v>
      </c>
      <c r="C64" s="65">
        <v>0</v>
      </c>
      <c r="D64" s="58">
        <f t="shared" si="13"/>
        <v>2</v>
      </c>
      <c r="E64" s="59">
        <v>2</v>
      </c>
      <c r="F64" s="63">
        <f t="shared" si="14"/>
        <v>0</v>
      </c>
      <c r="G64" s="63">
        <f t="shared" si="15"/>
        <v>0</v>
      </c>
      <c r="H64" s="63">
        <f t="shared" si="16"/>
        <v>0</v>
      </c>
      <c r="I64" s="71"/>
    </row>
    <row r="65" spans="1:9" x14ac:dyDescent="0.2">
      <c r="A65" s="234" t="s">
        <v>379</v>
      </c>
      <c r="B65" s="233" t="s">
        <v>380</v>
      </c>
      <c r="C65" s="65">
        <v>1</v>
      </c>
      <c r="D65" s="58">
        <f t="shared" si="13"/>
        <v>2</v>
      </c>
      <c r="E65" s="59">
        <v>2</v>
      </c>
      <c r="F65" s="63">
        <f t="shared" si="14"/>
        <v>2</v>
      </c>
      <c r="G65" s="63">
        <f t="shared" si="15"/>
        <v>0</v>
      </c>
      <c r="H65" s="63">
        <f t="shared" si="16"/>
        <v>0</v>
      </c>
      <c r="I65" s="70"/>
    </row>
    <row r="66" spans="1:9" x14ac:dyDescent="0.2">
      <c r="A66" s="234" t="s">
        <v>381</v>
      </c>
      <c r="B66" s="233" t="s">
        <v>382</v>
      </c>
      <c r="C66" s="65">
        <v>0</v>
      </c>
      <c r="D66" s="58">
        <f t="shared" si="13"/>
        <v>2</v>
      </c>
      <c r="E66" s="59">
        <v>2</v>
      </c>
      <c r="F66" s="63">
        <f t="shared" si="14"/>
        <v>0</v>
      </c>
      <c r="G66" s="63">
        <f t="shared" si="15"/>
        <v>0</v>
      </c>
      <c r="H66" s="63">
        <f t="shared" si="16"/>
        <v>0</v>
      </c>
      <c r="I66" s="71"/>
    </row>
    <row r="67" spans="1:9" x14ac:dyDescent="0.2">
      <c r="A67" s="234" t="s">
        <v>383</v>
      </c>
      <c r="B67" s="233" t="s">
        <v>384</v>
      </c>
      <c r="C67" s="65">
        <v>0</v>
      </c>
      <c r="D67" s="58">
        <f t="shared" si="13"/>
        <v>2</v>
      </c>
      <c r="E67" s="59">
        <v>2</v>
      </c>
      <c r="F67" s="63">
        <f t="shared" si="14"/>
        <v>0</v>
      </c>
      <c r="G67" s="63">
        <f t="shared" si="15"/>
        <v>0</v>
      </c>
      <c r="H67" s="63">
        <f t="shared" si="16"/>
        <v>0</v>
      </c>
      <c r="I67" s="70"/>
    </row>
    <row r="68" spans="1:9" x14ac:dyDescent="0.2">
      <c r="A68" s="234" t="s">
        <v>385</v>
      </c>
      <c r="B68" s="233" t="s">
        <v>386</v>
      </c>
      <c r="C68" s="62">
        <v>1</v>
      </c>
      <c r="D68" s="58">
        <f t="shared" si="13"/>
        <v>2</v>
      </c>
      <c r="E68" s="59">
        <v>2</v>
      </c>
      <c r="F68" s="63">
        <f t="shared" si="14"/>
        <v>2</v>
      </c>
      <c r="G68" s="63">
        <f t="shared" si="15"/>
        <v>0</v>
      </c>
      <c r="H68" s="63">
        <f t="shared" si="16"/>
        <v>0</v>
      </c>
      <c r="I68" s="70"/>
    </row>
    <row r="69" spans="1:9" x14ac:dyDescent="0.2">
      <c r="A69" s="234" t="s">
        <v>387</v>
      </c>
      <c r="B69" s="233" t="s">
        <v>388</v>
      </c>
      <c r="C69" s="62">
        <v>0</v>
      </c>
      <c r="D69" s="58">
        <f t="shared" si="13"/>
        <v>2</v>
      </c>
      <c r="E69" s="59">
        <v>2</v>
      </c>
      <c r="F69" s="63">
        <f t="shared" si="14"/>
        <v>0</v>
      </c>
      <c r="G69" s="63">
        <f t="shared" si="15"/>
        <v>0</v>
      </c>
      <c r="H69" s="63">
        <f t="shared" si="16"/>
        <v>0</v>
      </c>
      <c r="I69" s="70"/>
    </row>
    <row r="70" spans="1:9" ht="14.25" x14ac:dyDescent="0.2">
      <c r="A70" s="234" t="s">
        <v>389</v>
      </c>
      <c r="B70" s="233" t="s">
        <v>455</v>
      </c>
      <c r="C70" s="62">
        <v>1</v>
      </c>
      <c r="D70" s="58">
        <f t="shared" si="13"/>
        <v>2</v>
      </c>
      <c r="E70" s="59">
        <v>2</v>
      </c>
      <c r="F70" s="63">
        <f t="shared" si="14"/>
        <v>2</v>
      </c>
      <c r="G70" s="63">
        <f t="shared" si="15"/>
        <v>0</v>
      </c>
      <c r="H70" s="63">
        <f t="shared" si="16"/>
        <v>0</v>
      </c>
      <c r="I70" s="70"/>
    </row>
    <row r="71" spans="1:9" x14ac:dyDescent="0.2">
      <c r="A71" s="231"/>
      <c r="B71" s="235"/>
      <c r="C71" s="69"/>
      <c r="D71" s="58">
        <f t="shared" si="13"/>
        <v>0</v>
      </c>
      <c r="E71" s="59"/>
      <c r="F71" s="63"/>
      <c r="G71" s="63"/>
      <c r="H71" s="63"/>
      <c r="I71" s="71"/>
    </row>
    <row r="72" spans="1:9" x14ac:dyDescent="0.2">
      <c r="A72" s="231"/>
      <c r="B72" s="232" t="s">
        <v>390</v>
      </c>
      <c r="C72" s="67"/>
      <c r="D72" s="58">
        <f t="shared" si="13"/>
        <v>0</v>
      </c>
      <c r="E72" s="59"/>
      <c r="F72" s="60">
        <f>SUM(F73:F83)*100/SUM(D73:D83)</f>
        <v>56.666666666666664</v>
      </c>
      <c r="G72" s="61"/>
      <c r="H72" s="61"/>
      <c r="I72" s="71"/>
    </row>
    <row r="73" spans="1:9" x14ac:dyDescent="0.2">
      <c r="A73" s="234" t="s">
        <v>391</v>
      </c>
      <c r="B73" s="233" t="s">
        <v>392</v>
      </c>
      <c r="C73" s="62">
        <v>0</v>
      </c>
      <c r="D73" s="58">
        <f t="shared" si="13"/>
        <v>6</v>
      </c>
      <c r="E73" s="59">
        <v>6</v>
      </c>
      <c r="F73" s="63">
        <f t="shared" ref="F73:F83" si="17">IF(C73&gt;2,"",(C73*D73))</f>
        <v>0</v>
      </c>
      <c r="G73" s="63">
        <f t="shared" ref="G73:G83" si="18">IF(C73=2,1,0)</f>
        <v>0</v>
      </c>
      <c r="H73" s="63">
        <f t="shared" ref="H73:H83" si="19">IF(C73=3,1,0)</f>
        <v>0</v>
      </c>
      <c r="I73" s="71"/>
    </row>
    <row r="74" spans="1:9" x14ac:dyDescent="0.2">
      <c r="A74" s="234" t="s">
        <v>393</v>
      </c>
      <c r="B74" s="233" t="s">
        <v>394</v>
      </c>
      <c r="C74" s="62">
        <v>1</v>
      </c>
      <c r="D74" s="58">
        <f t="shared" si="13"/>
        <v>8</v>
      </c>
      <c r="E74" s="59">
        <v>8</v>
      </c>
      <c r="F74" s="63">
        <f t="shared" si="17"/>
        <v>8</v>
      </c>
      <c r="G74" s="63">
        <f t="shared" si="18"/>
        <v>0</v>
      </c>
      <c r="H74" s="63">
        <f t="shared" si="19"/>
        <v>0</v>
      </c>
      <c r="I74" s="71"/>
    </row>
    <row r="75" spans="1:9" x14ac:dyDescent="0.2">
      <c r="A75" s="234" t="s">
        <v>395</v>
      </c>
      <c r="B75" s="233" t="s">
        <v>396</v>
      </c>
      <c r="C75" s="62">
        <v>0</v>
      </c>
      <c r="D75" s="58">
        <f t="shared" si="13"/>
        <v>4</v>
      </c>
      <c r="E75" s="59">
        <v>4</v>
      </c>
      <c r="F75" s="63">
        <f t="shared" si="17"/>
        <v>0</v>
      </c>
      <c r="G75" s="63">
        <f t="shared" si="18"/>
        <v>0</v>
      </c>
      <c r="H75" s="63">
        <f t="shared" si="19"/>
        <v>0</v>
      </c>
      <c r="I75" s="70"/>
    </row>
    <row r="76" spans="1:9" x14ac:dyDescent="0.2">
      <c r="A76" s="234" t="s">
        <v>397</v>
      </c>
      <c r="B76" s="233" t="s">
        <v>398</v>
      </c>
      <c r="C76" s="62">
        <v>1</v>
      </c>
      <c r="D76" s="58">
        <f t="shared" si="13"/>
        <v>2</v>
      </c>
      <c r="E76" s="59">
        <v>2</v>
      </c>
      <c r="F76" s="63">
        <f t="shared" si="17"/>
        <v>2</v>
      </c>
      <c r="G76" s="63">
        <f t="shared" si="18"/>
        <v>0</v>
      </c>
      <c r="H76" s="63">
        <f t="shared" si="19"/>
        <v>0</v>
      </c>
      <c r="I76" s="70"/>
    </row>
    <row r="77" spans="1:9" x14ac:dyDescent="0.2">
      <c r="A77" s="234" t="s">
        <v>399</v>
      </c>
      <c r="B77" s="233" t="s">
        <v>400</v>
      </c>
      <c r="C77" s="62">
        <v>0</v>
      </c>
      <c r="D77" s="58">
        <f t="shared" si="13"/>
        <v>2</v>
      </c>
      <c r="E77" s="59">
        <v>2</v>
      </c>
      <c r="F77" s="63">
        <f t="shared" si="17"/>
        <v>0</v>
      </c>
      <c r="G77" s="63">
        <f t="shared" si="18"/>
        <v>0</v>
      </c>
      <c r="H77" s="63">
        <f t="shared" si="19"/>
        <v>0</v>
      </c>
      <c r="I77" s="70"/>
    </row>
    <row r="78" spans="1:9" x14ac:dyDescent="0.2">
      <c r="A78" s="234" t="s">
        <v>401</v>
      </c>
      <c r="B78" s="233" t="s">
        <v>402</v>
      </c>
      <c r="C78" s="62">
        <v>1</v>
      </c>
      <c r="D78" s="58">
        <f t="shared" si="13"/>
        <v>1</v>
      </c>
      <c r="E78" s="59">
        <v>1</v>
      </c>
      <c r="F78" s="63">
        <f t="shared" si="17"/>
        <v>1</v>
      </c>
      <c r="G78" s="63">
        <f t="shared" si="18"/>
        <v>0</v>
      </c>
      <c r="H78" s="63">
        <f t="shared" si="19"/>
        <v>0</v>
      </c>
      <c r="I78" s="71"/>
    </row>
    <row r="79" spans="1:9" x14ac:dyDescent="0.2">
      <c r="A79" s="234" t="s">
        <v>403</v>
      </c>
      <c r="B79" s="233" t="s">
        <v>404</v>
      </c>
      <c r="C79" s="62">
        <v>1</v>
      </c>
      <c r="D79" s="58">
        <f t="shared" si="13"/>
        <v>2</v>
      </c>
      <c r="E79" s="59">
        <v>2</v>
      </c>
      <c r="F79" s="63">
        <f t="shared" si="17"/>
        <v>2</v>
      </c>
      <c r="G79" s="63">
        <f t="shared" si="18"/>
        <v>0</v>
      </c>
      <c r="H79" s="63">
        <f t="shared" si="19"/>
        <v>0</v>
      </c>
      <c r="I79" s="71"/>
    </row>
    <row r="80" spans="1:9" x14ac:dyDescent="0.2">
      <c r="A80" s="234" t="s">
        <v>405</v>
      </c>
      <c r="B80" s="233" t="s">
        <v>406</v>
      </c>
      <c r="C80" s="62">
        <v>1</v>
      </c>
      <c r="D80" s="58">
        <f t="shared" ref="D80:D107" si="20">IF(C80&gt;1,0,E80)</f>
        <v>1</v>
      </c>
      <c r="E80" s="59">
        <v>1</v>
      </c>
      <c r="F80" s="63">
        <f t="shared" si="17"/>
        <v>1</v>
      </c>
      <c r="G80" s="63">
        <f t="shared" si="18"/>
        <v>0</v>
      </c>
      <c r="H80" s="63">
        <f t="shared" si="19"/>
        <v>0</v>
      </c>
      <c r="I80" s="71"/>
    </row>
    <row r="81" spans="1:9" x14ac:dyDescent="0.2">
      <c r="A81" s="234" t="s">
        <v>407</v>
      </c>
      <c r="B81" s="233" t="s">
        <v>408</v>
      </c>
      <c r="C81" s="62">
        <v>1</v>
      </c>
      <c r="D81" s="58">
        <f t="shared" si="20"/>
        <v>1</v>
      </c>
      <c r="E81" s="59">
        <v>1</v>
      </c>
      <c r="F81" s="63">
        <f t="shared" si="17"/>
        <v>1</v>
      </c>
      <c r="G81" s="63">
        <f t="shared" si="18"/>
        <v>0</v>
      </c>
      <c r="H81" s="63">
        <f t="shared" si="19"/>
        <v>0</v>
      </c>
      <c r="I81" s="71"/>
    </row>
    <row r="82" spans="1:9" x14ac:dyDescent="0.2">
      <c r="A82" s="234" t="s">
        <v>409</v>
      </c>
      <c r="B82" s="233" t="s">
        <v>410</v>
      </c>
      <c r="C82" s="62">
        <v>1</v>
      </c>
      <c r="D82" s="58">
        <f t="shared" si="20"/>
        <v>2</v>
      </c>
      <c r="E82" s="59">
        <v>2</v>
      </c>
      <c r="F82" s="63">
        <f t="shared" si="17"/>
        <v>2</v>
      </c>
      <c r="G82" s="63">
        <f t="shared" si="18"/>
        <v>0</v>
      </c>
      <c r="H82" s="63">
        <f t="shared" si="19"/>
        <v>0</v>
      </c>
      <c r="I82" s="71"/>
    </row>
    <row r="83" spans="1:9" ht="13.5" thickBot="1" x14ac:dyDescent="0.25">
      <c r="A83" s="236" t="s">
        <v>411</v>
      </c>
      <c r="B83" s="237" t="s">
        <v>412</v>
      </c>
      <c r="C83" s="72">
        <v>0</v>
      </c>
      <c r="D83" s="73">
        <f t="shared" si="20"/>
        <v>1</v>
      </c>
      <c r="E83" s="74">
        <v>1</v>
      </c>
      <c r="F83" s="75">
        <f t="shared" si="17"/>
        <v>0</v>
      </c>
      <c r="G83" s="75">
        <f t="shared" si="18"/>
        <v>0</v>
      </c>
      <c r="H83" s="75">
        <f t="shared" si="19"/>
        <v>0</v>
      </c>
      <c r="I83" s="76"/>
    </row>
    <row r="84" spans="1:9" ht="13.5" thickBot="1" x14ac:dyDescent="0.25">
      <c r="A84" s="238"/>
      <c r="B84" s="239"/>
      <c r="C84" s="84"/>
      <c r="D84" s="83">
        <f t="shared" si="20"/>
        <v>0</v>
      </c>
      <c r="E84" s="85"/>
      <c r="F84" s="86"/>
      <c r="G84" s="86"/>
      <c r="H84" s="86"/>
      <c r="I84" s="87"/>
    </row>
    <row r="85" spans="1:9" x14ac:dyDescent="0.2">
      <c r="A85" s="240"/>
      <c r="B85" s="241" t="s">
        <v>413</v>
      </c>
      <c r="C85" s="77"/>
      <c r="D85" s="78">
        <f t="shared" si="20"/>
        <v>0</v>
      </c>
      <c r="E85" s="79"/>
      <c r="F85" s="80">
        <f>SUM(F86:F107)*100/(D86-SUM(D87:D107))</f>
        <v>22.950819672131146</v>
      </c>
      <c r="G85" s="81"/>
      <c r="H85" s="81"/>
      <c r="I85" s="82"/>
    </row>
    <row r="86" spans="1:9" x14ac:dyDescent="0.2">
      <c r="A86" s="234" t="s">
        <v>414</v>
      </c>
      <c r="B86" s="233" t="s">
        <v>415</v>
      </c>
      <c r="C86" s="62">
        <v>1</v>
      </c>
      <c r="D86" s="58">
        <f t="shared" si="20"/>
        <v>10</v>
      </c>
      <c r="E86" s="59">
        <v>10</v>
      </c>
      <c r="F86" s="63">
        <f>IF(C86&gt;2,"",(C86*D86))</f>
        <v>10</v>
      </c>
      <c r="G86" s="63">
        <f t="shared" ref="G86:G91" si="21">IF(C86=2,1,0)</f>
        <v>0</v>
      </c>
      <c r="H86" s="63">
        <f t="shared" ref="H86:H91" si="22">IF(C86=3,1,0)</f>
        <v>0</v>
      </c>
      <c r="I86" s="71"/>
    </row>
    <row r="87" spans="1:9" x14ac:dyDescent="0.2">
      <c r="A87" s="234" t="s">
        <v>416</v>
      </c>
      <c r="B87" s="233" t="s">
        <v>417</v>
      </c>
      <c r="C87" s="62">
        <v>0</v>
      </c>
      <c r="D87" s="58">
        <f t="shared" si="20"/>
        <v>-4</v>
      </c>
      <c r="E87" s="59">
        <v>-4</v>
      </c>
      <c r="F87" s="63">
        <f>IF(C87&gt;2,"",(C87-1)*D87)</f>
        <v>4</v>
      </c>
      <c r="G87" s="63">
        <f t="shared" si="21"/>
        <v>0</v>
      </c>
      <c r="H87" s="63">
        <f t="shared" si="22"/>
        <v>0</v>
      </c>
      <c r="I87" s="71"/>
    </row>
    <row r="88" spans="1:9" x14ac:dyDescent="0.2">
      <c r="A88" s="234" t="s">
        <v>418</v>
      </c>
      <c r="B88" s="233" t="s">
        <v>419</v>
      </c>
      <c r="C88" s="62">
        <v>1</v>
      </c>
      <c r="D88" s="58">
        <f t="shared" si="20"/>
        <v>-4</v>
      </c>
      <c r="E88" s="59">
        <v>-4</v>
      </c>
      <c r="F88" s="63">
        <f>IF(C88&gt;2,"",(C88-1)*D88)</f>
        <v>0</v>
      </c>
      <c r="G88" s="63">
        <f t="shared" si="21"/>
        <v>0</v>
      </c>
      <c r="H88" s="63">
        <f t="shared" si="22"/>
        <v>0</v>
      </c>
      <c r="I88" s="71"/>
    </row>
    <row r="89" spans="1:9" x14ac:dyDescent="0.2">
      <c r="A89" s="234" t="s">
        <v>420</v>
      </c>
      <c r="B89" s="233" t="s">
        <v>421</v>
      </c>
      <c r="C89" s="62">
        <v>1</v>
      </c>
      <c r="D89" s="58">
        <f t="shared" si="20"/>
        <v>-1</v>
      </c>
      <c r="E89" s="59">
        <v>-1</v>
      </c>
      <c r="F89" s="63">
        <f>IF(C89&gt;2,"",(C89-1)*D89)</f>
        <v>0</v>
      </c>
      <c r="G89" s="63">
        <f t="shared" si="21"/>
        <v>0</v>
      </c>
      <c r="H89" s="63">
        <f t="shared" si="22"/>
        <v>0</v>
      </c>
      <c r="I89" s="71"/>
    </row>
    <row r="90" spans="1:9" x14ac:dyDescent="0.2">
      <c r="A90" s="234" t="s">
        <v>422</v>
      </c>
      <c r="B90" s="233" t="s">
        <v>423</v>
      </c>
      <c r="C90" s="62">
        <v>1</v>
      </c>
      <c r="D90" s="58">
        <f t="shared" si="20"/>
        <v>-2</v>
      </c>
      <c r="E90" s="59">
        <v>-2</v>
      </c>
      <c r="F90" s="63">
        <f>IF(C90&gt;2,"",(C90-1)*D90)</f>
        <v>0</v>
      </c>
      <c r="G90" s="63">
        <f t="shared" si="21"/>
        <v>0</v>
      </c>
      <c r="H90" s="63">
        <f t="shared" si="22"/>
        <v>0</v>
      </c>
      <c r="I90" s="71"/>
    </row>
    <row r="91" spans="1:9" x14ac:dyDescent="0.2">
      <c r="A91" s="234" t="s">
        <v>424</v>
      </c>
      <c r="B91" s="233" t="s">
        <v>425</v>
      </c>
      <c r="C91" s="62">
        <v>1</v>
      </c>
      <c r="D91" s="58">
        <f t="shared" si="20"/>
        <v>-4</v>
      </c>
      <c r="E91" s="59">
        <v>-4</v>
      </c>
      <c r="F91" s="63">
        <f>IF(C91&gt;2,"",(C91-1)*D91)</f>
        <v>0</v>
      </c>
      <c r="G91" s="63">
        <f t="shared" si="21"/>
        <v>0</v>
      </c>
      <c r="H91" s="63">
        <f t="shared" si="22"/>
        <v>0</v>
      </c>
      <c r="I91" s="71"/>
    </row>
    <row r="92" spans="1:9" x14ac:dyDescent="0.2">
      <c r="A92" s="231"/>
      <c r="B92" s="233" t="s">
        <v>298</v>
      </c>
      <c r="C92" s="67"/>
      <c r="D92" s="58">
        <f t="shared" si="20"/>
        <v>0</v>
      </c>
      <c r="E92" s="59"/>
      <c r="F92" s="63"/>
      <c r="G92" s="63"/>
      <c r="H92" s="63"/>
      <c r="I92" s="71"/>
    </row>
    <row r="93" spans="1:9" x14ac:dyDescent="0.2">
      <c r="A93" s="234" t="s">
        <v>426</v>
      </c>
      <c r="B93" s="233" t="s">
        <v>427</v>
      </c>
      <c r="C93" s="65">
        <f>IF(C91=2,2,IF(C91=3,3,IF(C91=1,1,0)))</f>
        <v>1</v>
      </c>
      <c r="D93" s="58">
        <f t="shared" si="20"/>
        <v>-1</v>
      </c>
      <c r="E93" s="59">
        <v>-1</v>
      </c>
      <c r="F93" s="63">
        <f>IF(C93&gt;2,"",(C93-1)*D93)</f>
        <v>0</v>
      </c>
      <c r="G93" s="63">
        <f>IF(C93=2,1,0)</f>
        <v>0</v>
      </c>
      <c r="H93" s="63">
        <f>IF(C93=3,1,0)</f>
        <v>0</v>
      </c>
      <c r="I93" s="71"/>
    </row>
    <row r="94" spans="1:9" x14ac:dyDescent="0.2">
      <c r="A94" s="234" t="s">
        <v>428</v>
      </c>
      <c r="B94" s="233" t="s">
        <v>429</v>
      </c>
      <c r="C94" s="65">
        <f>IF(C91=2,2,IF(C91=3,3,IF(C91=1,1,0)))</f>
        <v>1</v>
      </c>
      <c r="D94" s="58">
        <f t="shared" si="20"/>
        <v>-3</v>
      </c>
      <c r="E94" s="59">
        <v>-3</v>
      </c>
      <c r="F94" s="63">
        <f>IF(C94&gt;2,"",(C94-1)*D94)</f>
        <v>0</v>
      </c>
      <c r="G94" s="63">
        <f>IF(C94=2,1,0)</f>
        <v>0</v>
      </c>
      <c r="H94" s="63">
        <f>IF(C94=3,1,0)</f>
        <v>0</v>
      </c>
      <c r="I94" s="71"/>
    </row>
    <row r="95" spans="1:9" x14ac:dyDescent="0.2">
      <c r="A95" s="234" t="s">
        <v>430</v>
      </c>
      <c r="B95" s="233" t="s">
        <v>431</v>
      </c>
      <c r="C95" s="65">
        <f>IF(C91=2,2,IF(C91=3,3,IF(C91=1,1,0)))</f>
        <v>1</v>
      </c>
      <c r="D95" s="58">
        <f t="shared" si="20"/>
        <v>-2</v>
      </c>
      <c r="E95" s="59">
        <v>-2</v>
      </c>
      <c r="F95" s="63">
        <f>IF(C95&gt;2,"",(C95-1)*D95)</f>
        <v>0</v>
      </c>
      <c r="G95" s="63">
        <f>IF(C95=2,1,0)</f>
        <v>0</v>
      </c>
      <c r="H95" s="63">
        <f>IF(C95=3,1,0)</f>
        <v>0</v>
      </c>
      <c r="I95" s="71"/>
    </row>
    <row r="96" spans="1:9" x14ac:dyDescent="0.2">
      <c r="A96" s="234" t="s">
        <v>432</v>
      </c>
      <c r="B96" s="233" t="s">
        <v>433</v>
      </c>
      <c r="C96" s="62">
        <v>1</v>
      </c>
      <c r="D96" s="58">
        <f t="shared" si="20"/>
        <v>-4</v>
      </c>
      <c r="E96" s="59">
        <v>-4</v>
      </c>
      <c r="F96" s="63">
        <f>IF(C96&gt;2,"",(C96-1)*D96)</f>
        <v>0</v>
      </c>
      <c r="G96" s="63">
        <f>IF(C96=2,1,0)</f>
        <v>0</v>
      </c>
      <c r="H96" s="63">
        <f>IF(C96=3,1,0)</f>
        <v>0</v>
      </c>
      <c r="I96" s="70"/>
    </row>
    <row r="97" spans="1:9" x14ac:dyDescent="0.2">
      <c r="A97" s="231"/>
      <c r="B97" s="233" t="s">
        <v>298</v>
      </c>
      <c r="C97" s="67"/>
      <c r="D97" s="58">
        <f t="shared" si="20"/>
        <v>0</v>
      </c>
      <c r="E97" s="59"/>
      <c r="F97" s="63"/>
      <c r="G97" s="63"/>
      <c r="H97" s="63"/>
      <c r="I97" s="71"/>
    </row>
    <row r="98" spans="1:9" x14ac:dyDescent="0.2">
      <c r="A98" s="234" t="s">
        <v>434</v>
      </c>
      <c r="B98" s="233" t="s">
        <v>435</v>
      </c>
      <c r="C98" s="65">
        <f>IF(C96=2,2,IF(C96=3,3,IF(C96=1,1,0)))</f>
        <v>1</v>
      </c>
      <c r="D98" s="58">
        <f t="shared" si="20"/>
        <v>-2</v>
      </c>
      <c r="E98" s="59">
        <v>-2</v>
      </c>
      <c r="F98" s="63">
        <f t="shared" ref="F98:F107" si="23">IF(C98&gt;2,"",(C98-1)*D98)</f>
        <v>0</v>
      </c>
      <c r="G98" s="63">
        <f t="shared" ref="G98:G107" si="24">IF(C98=2,1,0)</f>
        <v>0</v>
      </c>
      <c r="H98" s="63">
        <f t="shared" ref="H98:H107" si="25">IF(C98=3,1,0)</f>
        <v>0</v>
      </c>
      <c r="I98" s="71"/>
    </row>
    <row r="99" spans="1:9" x14ac:dyDescent="0.2">
      <c r="A99" s="234" t="s">
        <v>436</v>
      </c>
      <c r="B99" s="233" t="s">
        <v>437</v>
      </c>
      <c r="C99" s="65">
        <f>IF(C96=2,2,IF(C96=3,3,IF(C96=1,1,0)))</f>
        <v>1</v>
      </c>
      <c r="D99" s="58">
        <f t="shared" si="20"/>
        <v>-2</v>
      </c>
      <c r="E99" s="59">
        <v>-2</v>
      </c>
      <c r="F99" s="63">
        <f t="shared" si="23"/>
        <v>0</v>
      </c>
      <c r="G99" s="63">
        <f t="shared" si="24"/>
        <v>0</v>
      </c>
      <c r="H99" s="63">
        <f t="shared" si="25"/>
        <v>0</v>
      </c>
      <c r="I99" s="71"/>
    </row>
    <row r="100" spans="1:9" x14ac:dyDescent="0.2">
      <c r="A100" s="234" t="s">
        <v>438</v>
      </c>
      <c r="B100" s="233" t="s">
        <v>439</v>
      </c>
      <c r="C100" s="62">
        <v>1</v>
      </c>
      <c r="D100" s="58">
        <f t="shared" si="20"/>
        <v>-1</v>
      </c>
      <c r="E100" s="59">
        <v>-1</v>
      </c>
      <c r="F100" s="63">
        <f t="shared" si="23"/>
        <v>0</v>
      </c>
      <c r="G100" s="63">
        <f t="shared" si="24"/>
        <v>0</v>
      </c>
      <c r="H100" s="63">
        <f t="shared" si="25"/>
        <v>0</v>
      </c>
      <c r="I100" s="71"/>
    </row>
    <row r="101" spans="1:9" x14ac:dyDescent="0.2">
      <c r="A101" s="234" t="s">
        <v>440</v>
      </c>
      <c r="B101" s="233" t="s">
        <v>441</v>
      </c>
      <c r="C101" s="62">
        <v>1</v>
      </c>
      <c r="D101" s="58">
        <f t="shared" si="20"/>
        <v>-1</v>
      </c>
      <c r="E101" s="59">
        <v>-1</v>
      </c>
      <c r="F101" s="63">
        <f t="shared" si="23"/>
        <v>0</v>
      </c>
      <c r="G101" s="63">
        <f t="shared" si="24"/>
        <v>0</v>
      </c>
      <c r="H101" s="63">
        <f t="shared" si="25"/>
        <v>0</v>
      </c>
      <c r="I101" s="70"/>
    </row>
    <row r="102" spans="1:9" x14ac:dyDescent="0.2">
      <c r="A102" s="234" t="s">
        <v>442</v>
      </c>
      <c r="B102" s="233" t="s">
        <v>443</v>
      </c>
      <c r="C102" s="62">
        <v>1</v>
      </c>
      <c r="D102" s="58">
        <f t="shared" si="20"/>
        <v>-2</v>
      </c>
      <c r="E102" s="59">
        <v>-2</v>
      </c>
      <c r="F102" s="63">
        <f t="shared" si="23"/>
        <v>0</v>
      </c>
      <c r="G102" s="63">
        <f t="shared" si="24"/>
        <v>0</v>
      </c>
      <c r="H102" s="63">
        <f t="shared" si="25"/>
        <v>0</v>
      </c>
      <c r="I102" s="70"/>
    </row>
    <row r="103" spans="1:9" x14ac:dyDescent="0.2">
      <c r="A103" s="234" t="s">
        <v>444</v>
      </c>
      <c r="B103" s="233" t="s">
        <v>445</v>
      </c>
      <c r="C103" s="62">
        <v>1</v>
      </c>
      <c r="D103" s="58">
        <f t="shared" si="20"/>
        <v>-5</v>
      </c>
      <c r="E103" s="59">
        <v>-5</v>
      </c>
      <c r="F103" s="63">
        <f t="shared" si="23"/>
        <v>0</v>
      </c>
      <c r="G103" s="63">
        <f t="shared" si="24"/>
        <v>0</v>
      </c>
      <c r="H103" s="63">
        <f t="shared" si="25"/>
        <v>0</v>
      </c>
      <c r="I103" s="71"/>
    </row>
    <row r="104" spans="1:9" x14ac:dyDescent="0.2">
      <c r="A104" s="234" t="s">
        <v>446</v>
      </c>
      <c r="B104" s="233" t="s">
        <v>447</v>
      </c>
      <c r="C104" s="62">
        <v>1</v>
      </c>
      <c r="D104" s="58">
        <f t="shared" si="20"/>
        <v>-2</v>
      </c>
      <c r="E104" s="59">
        <v>-2</v>
      </c>
      <c r="F104" s="63">
        <f t="shared" si="23"/>
        <v>0</v>
      </c>
      <c r="G104" s="63">
        <f t="shared" si="24"/>
        <v>0</v>
      </c>
      <c r="H104" s="63">
        <f t="shared" si="25"/>
        <v>0</v>
      </c>
      <c r="I104" s="70"/>
    </row>
    <row r="105" spans="1:9" x14ac:dyDescent="0.2">
      <c r="A105" s="234" t="s">
        <v>448</v>
      </c>
      <c r="B105" s="233" t="s">
        <v>449</v>
      </c>
      <c r="C105" s="62">
        <v>1</v>
      </c>
      <c r="D105" s="58">
        <f t="shared" si="20"/>
        <v>-2</v>
      </c>
      <c r="E105" s="59">
        <v>-2</v>
      </c>
      <c r="F105" s="63">
        <f t="shared" si="23"/>
        <v>0</v>
      </c>
      <c r="G105" s="63">
        <f t="shared" si="24"/>
        <v>0</v>
      </c>
      <c r="H105" s="63">
        <f t="shared" si="25"/>
        <v>0</v>
      </c>
      <c r="I105" s="70"/>
    </row>
    <row r="106" spans="1:9" x14ac:dyDescent="0.2">
      <c r="A106" s="234" t="s">
        <v>450</v>
      </c>
      <c r="B106" s="233" t="s">
        <v>451</v>
      </c>
      <c r="C106" s="62">
        <v>1</v>
      </c>
      <c r="D106" s="58">
        <f t="shared" si="20"/>
        <v>-4</v>
      </c>
      <c r="E106" s="59">
        <v>-4</v>
      </c>
      <c r="F106" s="63">
        <f t="shared" si="23"/>
        <v>0</v>
      </c>
      <c r="G106" s="63">
        <f t="shared" si="24"/>
        <v>0</v>
      </c>
      <c r="H106" s="63">
        <f t="shared" si="25"/>
        <v>0</v>
      </c>
      <c r="I106" s="71"/>
    </row>
    <row r="107" spans="1:9" ht="13.5" thickBot="1" x14ac:dyDescent="0.25">
      <c r="A107" s="236" t="s">
        <v>452</v>
      </c>
      <c r="B107" s="237" t="s">
        <v>453</v>
      </c>
      <c r="C107" s="72">
        <v>1</v>
      </c>
      <c r="D107" s="73">
        <f t="shared" si="20"/>
        <v>-5</v>
      </c>
      <c r="E107" s="74">
        <v>-5</v>
      </c>
      <c r="F107" s="75">
        <f t="shared" si="23"/>
        <v>0</v>
      </c>
      <c r="G107" s="75">
        <f t="shared" si="24"/>
        <v>0</v>
      </c>
      <c r="H107" s="75">
        <f t="shared" si="25"/>
        <v>0</v>
      </c>
      <c r="I107" s="76"/>
    </row>
    <row r="109" spans="1:9" x14ac:dyDescent="0.2">
      <c r="B109" s="47"/>
    </row>
  </sheetData>
  <phoneticPr fontId="9" type="noConversion"/>
  <dataValidations count="3">
    <dataValidation type="decimal" allowBlank="1" showErrorMessage="1" errorTitle="Zahlenbereich falsch" error="Geben Sie bitte nur folgende Werte ein:_x000a_0=nein_x000a_1=ja_x000a_0,1 bis 0,9 für Zwischenwerte_x000a_2 = weiß nicht_x000a_3= Frage trifft nicht auf dieses Projekt zu" sqref="C3:C107">
      <formula1>0</formula1>
      <formula2>3.1</formula2>
    </dataValidation>
    <dataValidation type="whole" operator="greaterThanOrEqual" allowBlank="1" showErrorMessage="1" errorTitle="Falscher Zahlenbereich" error="Geben Sie bitte nur ganze Zahlen größer oder gleich 0 als Gewichtung ein." sqref="E3:E86">
      <formula1>0</formula1>
    </dataValidation>
    <dataValidation type="whole" operator="lessThanOrEqual" allowBlank="1" showErrorMessage="1" errorTitle="Falscher Zahlenbereich" error="Geben Sie bitte nur ganze Zahlen kleiner oder gleich 0 als Gewichtung ein." sqref="E87:E107">
      <formula1>0</formula1>
    </dataValidation>
  </dataValidations>
  <pageMargins left="0.82677165354330717" right="0.27559055118110237" top="0.82677165354330717" bottom="0.51181102362204722" header="0.31496062992125984" footer="0.31496062992125984"/>
  <pageSetup paperSize="9" scale="60" fitToHeight="2" orientation="portrait" horizontalDpi="144" verticalDpi="144" r:id="rId1"/>
  <headerFooter alignWithMargins="0">
    <oddHeader>&amp;L&amp;G&amp;CRisikoanalyse&amp;RLV: Aufwandschätzverfahren für IKT Projekte</oddHeader>
    <oddFooter>&amp;L(c) 2006 DI(FH) Sven Schweiger&amp;R&amp;P / &amp;N</oddFooter>
  </headerFooter>
  <rowBreaks count="1" manualBreakCount="1">
    <brk id="84" max="8" man="1"/>
  </rowBreaks>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I7"/>
  <sheetViews>
    <sheetView zoomScale="80" zoomScaleNormal="80" workbookViewId="0">
      <selection sqref="A1:I2"/>
    </sheetView>
  </sheetViews>
  <sheetFormatPr baseColWidth="10" defaultColWidth="8" defaultRowHeight="12.75" x14ac:dyDescent="0.2"/>
  <cols>
    <col min="1" max="1" width="19" style="52" customWidth="1"/>
    <col min="2" max="3" width="18.28515625" style="52" customWidth="1"/>
    <col min="4" max="4" width="23" style="52" customWidth="1"/>
    <col min="5" max="5" width="20.7109375" style="52" customWidth="1"/>
    <col min="6" max="6" width="22.5703125" style="52" customWidth="1"/>
    <col min="7" max="7" width="21.7109375" style="52" customWidth="1"/>
    <col min="8" max="8" width="14" style="52" customWidth="1"/>
    <col min="9" max="9" width="15" style="52" customWidth="1"/>
    <col min="10" max="16384" width="8" style="52"/>
  </cols>
  <sheetData>
    <row r="1" spans="1:9" s="50" customFormat="1" ht="43.5" customHeight="1" x14ac:dyDescent="0.2">
      <c r="A1" s="243" t="str">
        <f>Risikoanalyse!B2</f>
        <v>System-Spezifikation</v>
      </c>
      <c r="B1" s="244" t="str">
        <f>Risikoanalyse!B13</f>
        <v>Projektstruktur- und Projektablaufplanung</v>
      </c>
      <c r="C1" s="244" t="str">
        <f>Risikoanalyse!B27</f>
        <v>Technische Machbarkeit</v>
      </c>
      <c r="D1" s="244" t="str">
        <f>Risikoanalyse!B42</f>
        <v>Teamskills und Ressourcen</v>
      </c>
      <c r="E1" s="244" t="str">
        <f>Risikoanalyse!B55</f>
        <v>Aufwandschätzung und Zusage eines Angebots</v>
      </c>
      <c r="F1" s="244" t="str">
        <f>Risikoanalyse!B72</f>
        <v>Projektmanagement</v>
      </c>
      <c r="G1" s="244" t="str">
        <f>Risikoanalyse!B85</f>
        <v>Risikobeherrschung</v>
      </c>
      <c r="H1" s="244" t="s">
        <v>278</v>
      </c>
      <c r="I1" s="245" t="s">
        <v>454</v>
      </c>
    </row>
    <row r="2" spans="1:9" s="51" customFormat="1" ht="14.25" customHeight="1" thickBot="1" x14ac:dyDescent="0.25">
      <c r="A2" s="246">
        <f t="shared" ref="A2:G2" si="0">A6/100</f>
        <v>1</v>
      </c>
      <c r="B2" s="247">
        <f t="shared" si="0"/>
        <v>0.68421052631578949</v>
      </c>
      <c r="C2" s="247">
        <f t="shared" si="0"/>
        <v>0.40740740740740738</v>
      </c>
      <c r="D2" s="247">
        <f t="shared" si="0"/>
        <v>0.56818181818181823</v>
      </c>
      <c r="E2" s="247">
        <f t="shared" si="0"/>
        <v>0.58064516129032251</v>
      </c>
      <c r="F2" s="247">
        <f t="shared" si="0"/>
        <v>0.56666666666666665</v>
      </c>
      <c r="G2" s="247">
        <f t="shared" si="0"/>
        <v>0.22950819672131145</v>
      </c>
      <c r="H2" s="247">
        <f>Risikoanalyse!G2</f>
        <v>0</v>
      </c>
      <c r="I2" s="248">
        <f>Risikoanalyse!H2</f>
        <v>0</v>
      </c>
    </row>
    <row r="3" spans="1:9" ht="14.25" customHeight="1" x14ac:dyDescent="0.2">
      <c r="H3" s="53">
        <f>1-H2</f>
        <v>1</v>
      </c>
      <c r="I3" s="53">
        <f>1-I2</f>
        <v>1</v>
      </c>
    </row>
    <row r="4" spans="1:9" ht="14.25" customHeight="1" x14ac:dyDescent="0.2"/>
    <row r="5" spans="1:9" ht="14.25" customHeight="1" x14ac:dyDescent="0.2"/>
    <row r="6" spans="1:9" x14ac:dyDescent="0.2">
      <c r="A6" s="54">
        <f>Risikoanalyse!F2</f>
        <v>100</v>
      </c>
      <c r="B6" s="54">
        <f>Risikoanalyse!F13</f>
        <v>68.421052631578945</v>
      </c>
      <c r="C6" s="54">
        <f>Risikoanalyse!F27</f>
        <v>40.74074074074074</v>
      </c>
      <c r="D6" s="54">
        <f>Risikoanalyse!F42</f>
        <v>56.81818181818182</v>
      </c>
      <c r="E6" s="54">
        <f>Risikoanalyse!F55</f>
        <v>58.064516129032256</v>
      </c>
      <c r="F6" s="54">
        <f>Risikoanalyse!F72</f>
        <v>56.666666666666664</v>
      </c>
      <c r="G6" s="54">
        <f>Risikoanalyse!F85</f>
        <v>22.950819672131146</v>
      </c>
    </row>
    <row r="7" spans="1:9" x14ac:dyDescent="0.2">
      <c r="A7" s="54"/>
      <c r="B7" s="54"/>
      <c r="C7" s="54"/>
      <c r="D7" s="54"/>
      <c r="E7" s="54"/>
      <c r="F7" s="54"/>
      <c r="G7" s="54"/>
    </row>
  </sheetData>
  <dataConsolidate/>
  <phoneticPr fontId="9" type="noConversion"/>
  <printOptions gridLines="1" gridLinesSet="0"/>
  <pageMargins left="0.52" right="0.35" top="1.3" bottom="0.98425196850393704" header="0.51181102362204722" footer="0.51181102362204722"/>
  <pageSetup paperSize="9" scale="78" orientation="landscape" horizontalDpi="4294967292" verticalDpi="300" r:id="rId1"/>
  <headerFooter alignWithMargins="0">
    <oddHeader>&amp;L&amp;G&amp;CRisikospinne&amp;RLV: Aufwandschätzverfahren für IKT Projekte</oddHeader>
    <oddFooter>&amp;L(c) 2006 DI(FH) Sven Schweiger&amp;R&amp;P / &amp;N</oddFooter>
  </headerFooter>
  <drawing r:id="rId2"/>
  <legacyDrawingHF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11</vt:i4>
      </vt:variant>
      <vt:variant>
        <vt:lpstr>Benannte Bereiche</vt:lpstr>
      </vt:variant>
      <vt:variant>
        <vt:i4>15</vt:i4>
      </vt:variant>
    </vt:vector>
  </HeadingPairs>
  <TitlesOfParts>
    <vt:vector size="26" baseType="lpstr">
      <vt:lpstr>Info</vt:lpstr>
      <vt:lpstr>Kosten</vt:lpstr>
      <vt:lpstr>Dauer</vt:lpstr>
      <vt:lpstr>Ressourcen</vt:lpstr>
      <vt:lpstr>% Konfidenz</vt:lpstr>
      <vt:lpstr>Gesamtprojekt</vt:lpstr>
      <vt:lpstr>Hardware</vt:lpstr>
      <vt:lpstr>Software</vt:lpstr>
      <vt:lpstr>Standard-Software</vt:lpstr>
      <vt:lpstr>Risikoanalyse</vt:lpstr>
      <vt:lpstr>Risikospinne</vt:lpstr>
      <vt:lpstr>Gesamtprojekt!Druckbereich</vt:lpstr>
      <vt:lpstr>Hardware!Druckbereich</vt:lpstr>
      <vt:lpstr>Risikoanalyse!Druckbereich</vt:lpstr>
      <vt:lpstr>Risikospinne!Druckbereich</vt:lpstr>
      <vt:lpstr>Software!Druckbereich</vt:lpstr>
      <vt:lpstr>'Standard-Software'!Druckbereich</vt:lpstr>
      <vt:lpstr>Gesamtprojekt!Drucktitel</vt:lpstr>
      <vt:lpstr>Hardware!Drucktitel</vt:lpstr>
      <vt:lpstr>Risikoanalyse!Drucktitel</vt:lpstr>
      <vt:lpstr>Software!Drucktitel</vt:lpstr>
      <vt:lpstr>'Standard-Software'!Drucktitel</vt:lpstr>
      <vt:lpstr>Hardware!Proz</vt:lpstr>
      <vt:lpstr>Software!Proz</vt:lpstr>
      <vt:lpstr>'Standard-Software'!Proz</vt:lpstr>
      <vt:lpstr>Proz</vt:lpstr>
    </vt:vector>
  </TitlesOfParts>
  <Company>FH TW und CSS GmbH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Aufwandschätzverfahren für IKT Projekte</dc:title>
  <dc:creator>DI(FH) Sven Schweiger</dc:creator>
  <cp:lastModifiedBy>niboecke</cp:lastModifiedBy>
  <cp:lastPrinted>2006-10-28T20:10:34Z</cp:lastPrinted>
  <dcterms:created xsi:type="dcterms:W3CDTF">1996-10-14T23:33:28Z</dcterms:created>
  <dcterms:modified xsi:type="dcterms:W3CDTF">2015-11-13T11:56:19Z</dcterms:modified>
</cp:coreProperties>
</file>