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8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9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11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1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Hanh/Downloads/"/>
    </mc:Choice>
  </mc:AlternateContent>
  <xr:revisionPtr revIDLastSave="0" documentId="13_ncr:1_{AF032184-185F-D544-8284-71C86422E787}" xr6:coauthVersionLast="32" xr6:coauthVersionMax="32" xr10:uidLastSave="{00000000-0000-0000-0000-000000000000}"/>
  <bookViews>
    <workbookView xWindow="0" yWindow="460" windowWidth="25600" windowHeight="12520" tabRatio="947" activeTab="2" xr2:uid="{00000000-000D-0000-FFFF-FFFF00000000}"/>
  </bookViews>
  <sheets>
    <sheet name="airplane" sheetId="1" r:id="rId1"/>
    <sheet name="Forward Flight  at 3000 m" sheetId="8" r:id="rId2"/>
    <sheet name="Forward Flight At Sea Level" sheetId="14" r:id="rId3"/>
    <sheet name="Power Curve at 3000 m" sheetId="15" r:id="rId4"/>
    <sheet name="Power Curve at sea Level" sheetId="13" r:id="rId5"/>
    <sheet name="Old Forward Flight  (2)" sheetId="12" r:id="rId6"/>
    <sheet name="Old Forward Flight" sheetId="11" r:id="rId7"/>
    <sheet name="Atmosphere" sheetId="9" r:id="rId8"/>
    <sheet name="maximum_speed" sheetId="3" r:id="rId9"/>
    <sheet name="Landing" sheetId="4" r:id="rId10"/>
    <sheet name="Ceiling" sheetId="5" r:id="rId11"/>
    <sheet name="Rate of climb" sheetId="6" r:id="rId12"/>
    <sheet name="Turns" sheetId="7" r:id="rId13"/>
    <sheet name="Hand_launch" sheetId="2" r:id="rId14"/>
  </sheets>
  <externalReferences>
    <externalReference r:id="rId15"/>
    <externalReference r:id="rId16"/>
  </externalReferences>
  <calcPr calcId="179017"/>
</workbook>
</file>

<file path=xl/calcChain.xml><?xml version="1.0" encoding="utf-8"?>
<calcChain xmlns="http://schemas.openxmlformats.org/spreadsheetml/2006/main">
  <c r="B6" i="14" l="1"/>
  <c r="B4" i="14"/>
  <c r="B4" i="8"/>
  <c r="B6" i="8"/>
  <c r="I17" i="15" l="1"/>
  <c r="I18" i="15"/>
  <c r="I19" i="15"/>
  <c r="I20" i="15"/>
  <c r="I21" i="15"/>
  <c r="I22" i="15"/>
  <c r="I23" i="15"/>
  <c r="I24" i="15"/>
  <c r="I25" i="15"/>
  <c r="I26" i="15"/>
  <c r="I27" i="15"/>
  <c r="I28" i="15"/>
  <c r="I29" i="15"/>
  <c r="I30" i="15"/>
  <c r="I31" i="15"/>
  <c r="I32" i="15"/>
  <c r="I33" i="15"/>
  <c r="I34" i="15"/>
  <c r="I35" i="15"/>
  <c r="I36" i="15"/>
  <c r="I37" i="15"/>
  <c r="I38" i="15"/>
  <c r="I39" i="15"/>
  <c r="I40" i="15"/>
  <c r="I41" i="15"/>
  <c r="I42" i="15"/>
  <c r="I43" i="15"/>
  <c r="I44" i="15"/>
  <c r="I45" i="15"/>
  <c r="I46" i="15"/>
  <c r="I17" i="13"/>
  <c r="I18" i="13"/>
  <c r="I19" i="13"/>
  <c r="I20" i="13"/>
  <c r="I21" i="13"/>
  <c r="I22" i="13"/>
  <c r="I23" i="13"/>
  <c r="I24" i="13"/>
  <c r="I25" i="13"/>
  <c r="I26" i="13"/>
  <c r="I27" i="13"/>
  <c r="I28" i="13"/>
  <c r="I29" i="13"/>
  <c r="I30" i="13"/>
  <c r="I31" i="13"/>
  <c r="I32" i="13"/>
  <c r="I33" i="13"/>
  <c r="I34" i="13"/>
  <c r="I35" i="13"/>
  <c r="I36" i="13"/>
  <c r="I37" i="13"/>
  <c r="I38" i="13"/>
  <c r="I39" i="13"/>
  <c r="I40" i="13"/>
  <c r="I41" i="13"/>
  <c r="I42" i="13"/>
  <c r="I43" i="13"/>
  <c r="I44" i="13"/>
  <c r="I45" i="13"/>
  <c r="I46" i="13"/>
  <c r="I16" i="13"/>
  <c r="I16" i="15"/>
  <c r="A18" i="15" l="1"/>
  <c r="B18" i="15" s="1"/>
  <c r="F17" i="15"/>
  <c r="A17" i="15"/>
  <c r="B17" i="15" s="1"/>
  <c r="F16" i="15"/>
  <c r="D16" i="15"/>
  <c r="C16" i="15"/>
  <c r="K16" i="15" s="1"/>
  <c r="B16" i="15"/>
  <c r="I11" i="15"/>
  <c r="K11" i="15" s="1"/>
  <c r="C11" i="15"/>
  <c r="I9" i="15"/>
  <c r="I8" i="15"/>
  <c r="K6" i="15"/>
  <c r="I5" i="15"/>
  <c r="I4" i="15"/>
  <c r="N14" i="15" s="1"/>
  <c r="C3" i="15"/>
  <c r="K1" i="15"/>
  <c r="C73" i="14"/>
  <c r="C72" i="14"/>
  <c r="C71" i="14"/>
  <c r="C70" i="14"/>
  <c r="C69" i="14"/>
  <c r="C68" i="14"/>
  <c r="C67" i="14"/>
  <c r="C66" i="14"/>
  <c r="C65" i="14"/>
  <c r="C64" i="14"/>
  <c r="C63" i="14"/>
  <c r="C62" i="14"/>
  <c r="C61" i="14"/>
  <c r="C60" i="14"/>
  <c r="C59" i="14"/>
  <c r="C58" i="14"/>
  <c r="C57" i="14"/>
  <c r="C56" i="14"/>
  <c r="C55" i="14"/>
  <c r="C54" i="14"/>
  <c r="C53" i="14"/>
  <c r="C52" i="14"/>
  <c r="C51" i="14"/>
  <c r="C50" i="14"/>
  <c r="C49" i="14"/>
  <c r="C48" i="14"/>
  <c r="C47" i="14"/>
  <c r="C46" i="14"/>
  <c r="C45" i="14"/>
  <c r="C44" i="14"/>
  <c r="C43" i="14"/>
  <c r="C42" i="14"/>
  <c r="C41" i="14"/>
  <c r="C40" i="14"/>
  <c r="C39" i="14"/>
  <c r="C38" i="14"/>
  <c r="C37" i="14"/>
  <c r="C36" i="14"/>
  <c r="C35" i="14"/>
  <c r="C34" i="14"/>
  <c r="C33" i="14"/>
  <c r="C32" i="14"/>
  <c r="C31" i="14"/>
  <c r="C30" i="14"/>
  <c r="C29" i="14"/>
  <c r="C28" i="14"/>
  <c r="C27" i="14"/>
  <c r="C26" i="14"/>
  <c r="C25" i="14"/>
  <c r="C24" i="14"/>
  <c r="C23" i="14"/>
  <c r="C22" i="14"/>
  <c r="C21" i="14"/>
  <c r="C20" i="14"/>
  <c r="C19" i="14"/>
  <c r="C18" i="14"/>
  <c r="C17" i="14"/>
  <c r="C16" i="14"/>
  <c r="C15" i="14"/>
  <c r="C14" i="14"/>
  <c r="B14" i="14"/>
  <c r="C13" i="14"/>
  <c r="C12" i="14"/>
  <c r="B12" i="14"/>
  <c r="C11" i="14"/>
  <c r="C10" i="14"/>
  <c r="C9" i="14"/>
  <c r="C8" i="14"/>
  <c r="C7" i="14"/>
  <c r="C6" i="14"/>
  <c r="C5" i="14"/>
  <c r="B5" i="14"/>
  <c r="B8" i="14" s="1"/>
  <c r="C4" i="14"/>
  <c r="C3" i="14"/>
  <c r="B3" i="14"/>
  <c r="C2" i="14"/>
  <c r="B2" i="14"/>
  <c r="K1" i="13"/>
  <c r="C3" i="13"/>
  <c r="I4" i="13"/>
  <c r="N13" i="13" s="1"/>
  <c r="I13" i="13" s="1"/>
  <c r="I5" i="13"/>
  <c r="K6" i="13"/>
  <c r="I9" i="13"/>
  <c r="C11" i="13"/>
  <c r="I11" i="13"/>
  <c r="K11" i="13"/>
  <c r="B16" i="13"/>
  <c r="D16" i="13"/>
  <c r="F16" i="13"/>
  <c r="A17" i="13"/>
  <c r="B17" i="13" s="1"/>
  <c r="H53" i="14" l="1"/>
  <c r="B16" i="14"/>
  <c r="N13" i="15"/>
  <c r="I13" i="15" s="1"/>
  <c r="G16" i="15" s="1"/>
  <c r="L16" i="15"/>
  <c r="C17" i="15"/>
  <c r="F18" i="15"/>
  <c r="D17" i="15"/>
  <c r="L17" i="15" s="1"/>
  <c r="A19" i="15"/>
  <c r="H8" i="14"/>
  <c r="H14" i="14"/>
  <c r="H18" i="14"/>
  <c r="H22" i="14"/>
  <c r="H40" i="14"/>
  <c r="H45" i="14"/>
  <c r="H55" i="14"/>
  <c r="E31" i="14"/>
  <c r="H32" i="14"/>
  <c r="E37" i="14"/>
  <c r="F37" i="14" s="1"/>
  <c r="G37" i="14" s="1"/>
  <c r="H43" i="14"/>
  <c r="H44" i="14"/>
  <c r="H49" i="14"/>
  <c r="H71" i="14"/>
  <c r="H67" i="14"/>
  <c r="H63" i="14"/>
  <c r="H59" i="14"/>
  <c r="H31" i="14"/>
  <c r="H27" i="14"/>
  <c r="H23" i="14"/>
  <c r="H19" i="14"/>
  <c r="H12" i="14"/>
  <c r="H70" i="14"/>
  <c r="H66" i="14"/>
  <c r="H62" i="14"/>
  <c r="H58" i="14"/>
  <c r="H54" i="14"/>
  <c r="H50" i="14"/>
  <c r="H46" i="14"/>
  <c r="H42" i="14"/>
  <c r="H38" i="14"/>
  <c r="H34" i="14"/>
  <c r="E28" i="14"/>
  <c r="I28" i="14" s="1"/>
  <c r="E47" i="14"/>
  <c r="F47" i="14" s="1"/>
  <c r="G47" i="14" s="1"/>
  <c r="H73" i="14"/>
  <c r="H69" i="14"/>
  <c r="H65" i="14"/>
  <c r="H61" i="14"/>
  <c r="H57" i="14"/>
  <c r="H33" i="14"/>
  <c r="H29" i="14"/>
  <c r="H25" i="14"/>
  <c r="H21" i="14"/>
  <c r="H17" i="14"/>
  <c r="H7" i="14"/>
  <c r="H4" i="14"/>
  <c r="H47" i="14"/>
  <c r="H51" i="14"/>
  <c r="E30" i="14"/>
  <c r="I30" i="14" s="1"/>
  <c r="F31" i="14"/>
  <c r="G31" i="14" s="1"/>
  <c r="E73" i="14"/>
  <c r="I73" i="14" s="1"/>
  <c r="F2" i="14"/>
  <c r="G2" i="14" s="1"/>
  <c r="E4" i="14"/>
  <c r="F4" i="14" s="1"/>
  <c r="G4" i="14" s="1"/>
  <c r="E11" i="14"/>
  <c r="E29" i="14"/>
  <c r="F29" i="14" s="1"/>
  <c r="G29" i="14" s="1"/>
  <c r="I31" i="14"/>
  <c r="H37" i="14"/>
  <c r="E41" i="14"/>
  <c r="F41" i="14" s="1"/>
  <c r="G41" i="14" s="1"/>
  <c r="H24" i="14"/>
  <c r="E3" i="14"/>
  <c r="F3" i="14" s="1"/>
  <c r="G3" i="14" s="1"/>
  <c r="I2" i="14"/>
  <c r="E6" i="14"/>
  <c r="F6" i="14" s="1"/>
  <c r="G6" i="14" s="1"/>
  <c r="E7" i="14"/>
  <c r="I7" i="14" s="1"/>
  <c r="E9" i="14"/>
  <c r="I9" i="14" s="1"/>
  <c r="F11" i="14"/>
  <c r="G11" i="14" s="1"/>
  <c r="E12" i="14"/>
  <c r="F12" i="14" s="1"/>
  <c r="G12" i="14" s="1"/>
  <c r="E13" i="14"/>
  <c r="F13" i="14" s="1"/>
  <c r="G13" i="14" s="1"/>
  <c r="H30" i="14"/>
  <c r="E35" i="14"/>
  <c r="F35" i="14" s="1"/>
  <c r="G35" i="14" s="1"/>
  <c r="H56" i="14"/>
  <c r="H60" i="14"/>
  <c r="H64" i="14"/>
  <c r="H68" i="14"/>
  <c r="H72" i="14"/>
  <c r="N2" i="14"/>
  <c r="I13" i="14"/>
  <c r="H16" i="14"/>
  <c r="H39" i="14"/>
  <c r="H2" i="14"/>
  <c r="H3" i="14"/>
  <c r="H11" i="14"/>
  <c r="E14" i="14"/>
  <c r="I14" i="14" s="1"/>
  <c r="E16" i="14"/>
  <c r="I16" i="14" s="1"/>
  <c r="E17" i="14"/>
  <c r="F17" i="14" s="1"/>
  <c r="G17" i="14" s="1"/>
  <c r="E18" i="14"/>
  <c r="I18" i="14" s="1"/>
  <c r="E19" i="14"/>
  <c r="I19" i="14" s="1"/>
  <c r="E20" i="14"/>
  <c r="F20" i="14" s="1"/>
  <c r="G20" i="14" s="1"/>
  <c r="E21" i="14"/>
  <c r="I21" i="14" s="1"/>
  <c r="E22" i="14"/>
  <c r="I22" i="14" s="1"/>
  <c r="E23" i="14"/>
  <c r="F23" i="14" s="1"/>
  <c r="G23" i="14" s="1"/>
  <c r="E24" i="14"/>
  <c r="F24" i="14" s="1"/>
  <c r="G24" i="14" s="1"/>
  <c r="E25" i="14"/>
  <c r="F25" i="14" s="1"/>
  <c r="G25" i="14" s="1"/>
  <c r="E26" i="14"/>
  <c r="F26" i="14" s="1"/>
  <c r="G26" i="14" s="1"/>
  <c r="E27" i="14"/>
  <c r="I27" i="14" s="1"/>
  <c r="H35" i="14"/>
  <c r="H36" i="14"/>
  <c r="H41" i="14"/>
  <c r="E45" i="14"/>
  <c r="I45" i="14" s="1"/>
  <c r="H48" i="14"/>
  <c r="H52" i="14"/>
  <c r="H15" i="14"/>
  <c r="H20" i="14"/>
  <c r="H26" i="14"/>
  <c r="E43" i="14"/>
  <c r="F43" i="14" s="1"/>
  <c r="G43" i="14" s="1"/>
  <c r="I4" i="14"/>
  <c r="H5" i="14"/>
  <c r="H6" i="14"/>
  <c r="H9" i="14"/>
  <c r="H10" i="14"/>
  <c r="I11" i="14"/>
  <c r="H13" i="14"/>
  <c r="F21" i="14"/>
  <c r="G21" i="14" s="1"/>
  <c r="H28" i="14"/>
  <c r="I29" i="14"/>
  <c r="E33" i="14"/>
  <c r="I33" i="14" s="1"/>
  <c r="I35" i="14"/>
  <c r="E39" i="14"/>
  <c r="I39" i="14" s="1"/>
  <c r="E5" i="14"/>
  <c r="F5" i="14" s="1"/>
  <c r="G5" i="14" s="1"/>
  <c r="E8" i="14"/>
  <c r="F8" i="14" s="1"/>
  <c r="G8" i="14" s="1"/>
  <c r="E15" i="14"/>
  <c r="I15" i="14" s="1"/>
  <c r="E34" i="14"/>
  <c r="F34" i="14" s="1"/>
  <c r="G34" i="14" s="1"/>
  <c r="E38" i="14"/>
  <c r="F38" i="14" s="1"/>
  <c r="G38" i="14" s="1"/>
  <c r="E42" i="14"/>
  <c r="I42" i="14" s="1"/>
  <c r="E46" i="14"/>
  <c r="I46" i="14" s="1"/>
  <c r="E50" i="14"/>
  <c r="F50" i="14" s="1"/>
  <c r="G50" i="14" s="1"/>
  <c r="E54" i="14"/>
  <c r="I54" i="14" s="1"/>
  <c r="E58" i="14"/>
  <c r="I58" i="14" s="1"/>
  <c r="E62" i="14"/>
  <c r="I62" i="14" s="1"/>
  <c r="E66" i="14"/>
  <c r="F66" i="14" s="1"/>
  <c r="G66" i="14" s="1"/>
  <c r="E70" i="14"/>
  <c r="I70" i="14" s="1"/>
  <c r="E51" i="14"/>
  <c r="F51" i="14" s="1"/>
  <c r="G51" i="14" s="1"/>
  <c r="E55" i="14"/>
  <c r="F55" i="14" s="1"/>
  <c r="G55" i="14" s="1"/>
  <c r="E59" i="14"/>
  <c r="I59" i="14" s="1"/>
  <c r="E63" i="14"/>
  <c r="F63" i="14" s="1"/>
  <c r="G63" i="14" s="1"/>
  <c r="E67" i="14"/>
  <c r="I67" i="14" s="1"/>
  <c r="E71" i="14"/>
  <c r="I71" i="14" s="1"/>
  <c r="E32" i="14"/>
  <c r="I32" i="14" s="1"/>
  <c r="E10" i="14"/>
  <c r="I10" i="14" s="1"/>
  <c r="E36" i="14"/>
  <c r="I36" i="14" s="1"/>
  <c r="E40" i="14"/>
  <c r="I40" i="14" s="1"/>
  <c r="E44" i="14"/>
  <c r="I44" i="14" s="1"/>
  <c r="E48" i="14"/>
  <c r="F48" i="14" s="1"/>
  <c r="G48" i="14" s="1"/>
  <c r="E52" i="14"/>
  <c r="I52" i="14" s="1"/>
  <c r="E56" i="14"/>
  <c r="I56" i="14" s="1"/>
  <c r="E60" i="14"/>
  <c r="I60" i="14" s="1"/>
  <c r="E64" i="14"/>
  <c r="F64" i="14" s="1"/>
  <c r="G64" i="14" s="1"/>
  <c r="E68" i="14"/>
  <c r="F68" i="14" s="1"/>
  <c r="G68" i="14" s="1"/>
  <c r="E72" i="14"/>
  <c r="I72" i="14" s="1"/>
  <c r="E49" i="14"/>
  <c r="F49" i="14" s="1"/>
  <c r="G49" i="14" s="1"/>
  <c r="E53" i="14"/>
  <c r="I53" i="14" s="1"/>
  <c r="J53" i="14" s="1"/>
  <c r="E57" i="14"/>
  <c r="F57" i="14" s="1"/>
  <c r="G57" i="14" s="1"/>
  <c r="E61" i="14"/>
  <c r="I61" i="14" s="1"/>
  <c r="E65" i="14"/>
  <c r="F65" i="14" s="1"/>
  <c r="G65" i="14" s="1"/>
  <c r="E69" i="14"/>
  <c r="I69" i="14" s="1"/>
  <c r="L16" i="13"/>
  <c r="N14" i="13"/>
  <c r="G16" i="13"/>
  <c r="E16" i="13" s="1"/>
  <c r="A18" i="13"/>
  <c r="F17" i="13"/>
  <c r="C16" i="13"/>
  <c r="I8" i="13"/>
  <c r="I24" i="14" l="1"/>
  <c r="J24" i="14" s="1"/>
  <c r="I23" i="14"/>
  <c r="F30" i="14"/>
  <c r="G30" i="14" s="1"/>
  <c r="I47" i="14"/>
  <c r="J47" i="14" s="1"/>
  <c r="I20" i="14"/>
  <c r="I3" i="14"/>
  <c r="I37" i="14"/>
  <c r="J37" i="14" s="1"/>
  <c r="I41" i="14"/>
  <c r="J41" i="14"/>
  <c r="M41" i="14" s="1"/>
  <c r="F36" i="14"/>
  <c r="G36" i="14" s="1"/>
  <c r="F28" i="14"/>
  <c r="G28" i="14" s="1"/>
  <c r="F7" i="14"/>
  <c r="G7" i="14" s="1"/>
  <c r="J28" i="14"/>
  <c r="L28" i="14" s="1"/>
  <c r="J2" i="14"/>
  <c r="M2" i="14" s="1"/>
  <c r="I57" i="14"/>
  <c r="I48" i="14"/>
  <c r="J48" i="14" s="1"/>
  <c r="F73" i="14"/>
  <c r="G73" i="14" s="1"/>
  <c r="J13" i="14"/>
  <c r="L13" i="14" s="1"/>
  <c r="J11" i="14"/>
  <c r="M11" i="14" s="1"/>
  <c r="F67" i="14"/>
  <c r="G67" i="14" s="1"/>
  <c r="J4" i="14"/>
  <c r="L4" i="14" s="1"/>
  <c r="I64" i="14"/>
  <c r="J64" i="14" s="1"/>
  <c r="I63" i="14"/>
  <c r="I50" i="14"/>
  <c r="J50" i="14" s="1"/>
  <c r="M50" i="14" s="1"/>
  <c r="J3" i="14"/>
  <c r="M3" i="14" s="1"/>
  <c r="F61" i="14"/>
  <c r="G61" i="14" s="1"/>
  <c r="I8" i="14"/>
  <c r="J8" i="14" s="1"/>
  <c r="F14" i="14"/>
  <c r="G14" i="14" s="1"/>
  <c r="F42" i="14"/>
  <c r="G42" i="14" s="1"/>
  <c r="G17" i="15"/>
  <c r="E16" i="15"/>
  <c r="E17" i="15"/>
  <c r="M17" i="15" s="1"/>
  <c r="K17" i="15"/>
  <c r="B19" i="15"/>
  <c r="A20" i="15"/>
  <c r="F19" i="15"/>
  <c r="G18" i="15"/>
  <c r="E18" i="15" s="1"/>
  <c r="M18" i="15" s="1"/>
  <c r="D18" i="15"/>
  <c r="L18" i="15" s="1"/>
  <c r="C18" i="15"/>
  <c r="M53" i="14"/>
  <c r="L53" i="14"/>
  <c r="L11" i="14"/>
  <c r="J60" i="14"/>
  <c r="F10" i="14"/>
  <c r="G10" i="14" s="1"/>
  <c r="I26" i="14"/>
  <c r="J26" i="14" s="1"/>
  <c r="F70" i="14"/>
  <c r="G70" i="14" s="1"/>
  <c r="J61" i="14"/>
  <c r="J46" i="14"/>
  <c r="I5" i="14"/>
  <c r="J5" i="14" s="1"/>
  <c r="J31" i="14"/>
  <c r="J71" i="14"/>
  <c r="J44" i="14"/>
  <c r="I6" i="14"/>
  <c r="J6" i="14" s="1"/>
  <c r="J56" i="14"/>
  <c r="M28" i="14"/>
  <c r="F9" i="14"/>
  <c r="G9" i="14" s="1"/>
  <c r="F54" i="14"/>
  <c r="G54" i="14" s="1"/>
  <c r="F22" i="14"/>
  <c r="G22" i="14" s="1"/>
  <c r="F39" i="14"/>
  <c r="G39" i="14" s="1"/>
  <c r="F71" i="14"/>
  <c r="G71" i="14" s="1"/>
  <c r="F60" i="14"/>
  <c r="G60" i="14" s="1"/>
  <c r="I43" i="14"/>
  <c r="J43" i="14" s="1"/>
  <c r="J7" i="14"/>
  <c r="J33" i="14"/>
  <c r="J69" i="14"/>
  <c r="J54" i="14"/>
  <c r="J40" i="14"/>
  <c r="F32" i="14"/>
  <c r="G32" i="14" s="1"/>
  <c r="I34" i="14"/>
  <c r="J34" i="14" s="1"/>
  <c r="F45" i="14"/>
  <c r="G45" i="14" s="1"/>
  <c r="F27" i="14"/>
  <c r="G27" i="14" s="1"/>
  <c r="F19" i="14"/>
  <c r="G19" i="14" s="1"/>
  <c r="F40" i="14"/>
  <c r="G40" i="14" s="1"/>
  <c r="I17" i="14"/>
  <c r="F52" i="14"/>
  <c r="G52" i="14" s="1"/>
  <c r="J30" i="14"/>
  <c r="I12" i="14"/>
  <c r="J12" i="14" s="1"/>
  <c r="I68" i="14"/>
  <c r="J68" i="14" s="1"/>
  <c r="J73" i="14"/>
  <c r="J58" i="14"/>
  <c r="I38" i="14"/>
  <c r="J38" i="14" s="1"/>
  <c r="I51" i="14"/>
  <c r="J51" i="14" s="1"/>
  <c r="F33" i="14"/>
  <c r="G33" i="14" s="1"/>
  <c r="J10" i="14"/>
  <c r="J20" i="14"/>
  <c r="J36" i="14"/>
  <c r="F15" i="14"/>
  <c r="G15" i="14" s="1"/>
  <c r="J39" i="14"/>
  <c r="F56" i="14"/>
  <c r="G56" i="14" s="1"/>
  <c r="I25" i="14"/>
  <c r="J25" i="14" s="1"/>
  <c r="J62" i="14"/>
  <c r="J22" i="14"/>
  <c r="F53" i="14"/>
  <c r="G53" i="14" s="1"/>
  <c r="M4" i="14"/>
  <c r="J45" i="14"/>
  <c r="J9" i="14"/>
  <c r="J15" i="14"/>
  <c r="J35" i="14"/>
  <c r="J72" i="14"/>
  <c r="F46" i="14"/>
  <c r="G46" i="14" s="1"/>
  <c r="F58" i="14"/>
  <c r="G58" i="14" s="1"/>
  <c r="F16" i="14"/>
  <c r="G16" i="14" s="1"/>
  <c r="F72" i="14"/>
  <c r="G72" i="14" s="1"/>
  <c r="I49" i="14"/>
  <c r="J49" i="14" s="1"/>
  <c r="I65" i="14"/>
  <c r="J65" i="14" s="1"/>
  <c r="J19" i="14"/>
  <c r="J59" i="14"/>
  <c r="I55" i="14"/>
  <c r="J55" i="14" s="1"/>
  <c r="J32" i="14"/>
  <c r="J18" i="14"/>
  <c r="F44" i="14"/>
  <c r="G44" i="14" s="1"/>
  <c r="F69" i="14"/>
  <c r="G69" i="14" s="1"/>
  <c r="F62" i="14"/>
  <c r="G62" i="14" s="1"/>
  <c r="J17" i="14"/>
  <c r="J70" i="14"/>
  <c r="J23" i="14"/>
  <c r="J63" i="14"/>
  <c r="J14" i="14"/>
  <c r="J16" i="14"/>
  <c r="F18" i="14"/>
  <c r="G18" i="14" s="1"/>
  <c r="J29" i="14"/>
  <c r="I66" i="14"/>
  <c r="J66" i="14" s="1"/>
  <c r="J52" i="14"/>
  <c r="F59" i="14"/>
  <c r="G59" i="14" s="1"/>
  <c r="J21" i="14"/>
  <c r="J57" i="14"/>
  <c r="J42" i="14"/>
  <c r="J27" i="14"/>
  <c r="J67" i="14"/>
  <c r="M16" i="13"/>
  <c r="O18" i="13"/>
  <c r="H16" i="13"/>
  <c r="K16" i="13"/>
  <c r="G17" i="13"/>
  <c r="E17" i="13" s="1"/>
  <c r="M17" i="13" s="1"/>
  <c r="C17" i="13"/>
  <c r="D17" i="13"/>
  <c r="L17" i="13" s="1"/>
  <c r="F18" i="13"/>
  <c r="B18" i="13"/>
  <c r="A19" i="13"/>
  <c r="M13" i="14" l="1"/>
  <c r="M24" i="14"/>
  <c r="L24" i="14"/>
  <c r="L47" i="14"/>
  <c r="M47" i="14"/>
  <c r="L41" i="14"/>
  <c r="L3" i="14"/>
  <c r="L50" i="14"/>
  <c r="M16" i="15"/>
  <c r="J16" i="15" s="1"/>
  <c r="H16" i="15"/>
  <c r="O18" i="15"/>
  <c r="J17" i="15"/>
  <c r="H17" i="15"/>
  <c r="K18" i="15"/>
  <c r="J18" i="15" s="1"/>
  <c r="H18" i="15"/>
  <c r="D19" i="15"/>
  <c r="L19" i="15" s="1"/>
  <c r="C19" i="15"/>
  <c r="G19" i="15"/>
  <c r="E19" i="15" s="1"/>
  <c r="M19" i="15" s="1"/>
  <c r="A21" i="15"/>
  <c r="F20" i="15"/>
  <c r="B20" i="15"/>
  <c r="M68" i="14"/>
  <c r="L68" i="14"/>
  <c r="M55" i="14"/>
  <c r="L55" i="14"/>
  <c r="M43" i="14"/>
  <c r="L43" i="14"/>
  <c r="M5" i="14"/>
  <c r="L5" i="14"/>
  <c r="M34" i="14"/>
  <c r="L34" i="14"/>
  <c r="L25" i="14"/>
  <c r="M25" i="14"/>
  <c r="M51" i="14"/>
  <c r="L51" i="14"/>
  <c r="M65" i="14"/>
  <c r="L65" i="14"/>
  <c r="M66" i="14"/>
  <c r="L66" i="14"/>
  <c r="M67" i="14"/>
  <c r="L67" i="14"/>
  <c r="M38" i="14"/>
  <c r="L38" i="14"/>
  <c r="L35" i="14"/>
  <c r="M35" i="14"/>
  <c r="M46" i="14"/>
  <c r="L46" i="14"/>
  <c r="M60" i="14"/>
  <c r="L60" i="14"/>
  <c r="M52" i="14"/>
  <c r="L52" i="14"/>
  <c r="L17" i="14"/>
  <c r="M17" i="14"/>
  <c r="M42" i="14"/>
  <c r="L42" i="14"/>
  <c r="M18" i="14"/>
  <c r="L18" i="14"/>
  <c r="M9" i="14"/>
  <c r="L9" i="14"/>
  <c r="M58" i="14"/>
  <c r="L58" i="14"/>
  <c r="M26" i="14"/>
  <c r="L26" i="14"/>
  <c r="M40" i="14"/>
  <c r="L40" i="14"/>
  <c r="M56" i="14"/>
  <c r="L56" i="14"/>
  <c r="M49" i="14"/>
  <c r="L49" i="14"/>
  <c r="L27" i="14"/>
  <c r="M27" i="14"/>
  <c r="L29" i="14"/>
  <c r="M29" i="14"/>
  <c r="M15" i="14"/>
  <c r="L15" i="14"/>
  <c r="M39" i="14"/>
  <c r="L39" i="14"/>
  <c r="L12" i="14"/>
  <c r="M12" i="14"/>
  <c r="M61" i="14"/>
  <c r="L61" i="14"/>
  <c r="M57" i="14"/>
  <c r="L57" i="14"/>
  <c r="M16" i="14"/>
  <c r="L16" i="14"/>
  <c r="M32" i="14"/>
  <c r="L32" i="14"/>
  <c r="M45" i="14"/>
  <c r="L45" i="14"/>
  <c r="M36" i="14"/>
  <c r="L36" i="14"/>
  <c r="M73" i="14"/>
  <c r="L73" i="14"/>
  <c r="M54" i="14"/>
  <c r="L54" i="14"/>
  <c r="M48" i="14"/>
  <c r="L48" i="14"/>
  <c r="M72" i="14"/>
  <c r="L72" i="14"/>
  <c r="M44" i="14"/>
  <c r="L44" i="14"/>
  <c r="M6" i="14"/>
  <c r="L6" i="14"/>
  <c r="M8" i="14"/>
  <c r="L8" i="14"/>
  <c r="K70" i="14"/>
  <c r="K66" i="14"/>
  <c r="K62" i="14"/>
  <c r="K58" i="14"/>
  <c r="K54" i="14"/>
  <c r="K50" i="14"/>
  <c r="K46" i="14"/>
  <c r="K73" i="14"/>
  <c r="K69" i="14"/>
  <c r="K65" i="14"/>
  <c r="K61" i="14"/>
  <c r="K57" i="14"/>
  <c r="K53" i="14"/>
  <c r="K49" i="14"/>
  <c r="K45" i="14"/>
  <c r="K41" i="14"/>
  <c r="K37" i="14"/>
  <c r="K14" i="14"/>
  <c r="K11" i="14"/>
  <c r="K33" i="14"/>
  <c r="K29" i="14"/>
  <c r="K72" i="14"/>
  <c r="K68" i="14"/>
  <c r="K64" i="14"/>
  <c r="M63" i="14"/>
  <c r="K60" i="14"/>
  <c r="K56" i="14"/>
  <c r="K52" i="14"/>
  <c r="K48" i="14"/>
  <c r="L63" i="14"/>
  <c r="K71" i="14"/>
  <c r="K67" i="14"/>
  <c r="K63" i="14"/>
  <c r="K59" i="14"/>
  <c r="K55" i="14"/>
  <c r="K51" i="14"/>
  <c r="K47" i="14"/>
  <c r="K43" i="14"/>
  <c r="K39" i="14"/>
  <c r="K35" i="14"/>
  <c r="K9" i="14"/>
  <c r="K3" i="14"/>
  <c r="K13" i="14"/>
  <c r="K4" i="14"/>
  <c r="K42" i="14"/>
  <c r="K31" i="14"/>
  <c r="K30" i="14"/>
  <c r="K2" i="14"/>
  <c r="K28" i="14"/>
  <c r="K6" i="14"/>
  <c r="K36" i="14"/>
  <c r="K44" i="14"/>
  <c r="K38" i="14"/>
  <c r="K32" i="14"/>
  <c r="K27" i="14"/>
  <c r="K25" i="14"/>
  <c r="K23" i="14"/>
  <c r="K21" i="14"/>
  <c r="K19" i="14"/>
  <c r="K17" i="14"/>
  <c r="K5" i="14"/>
  <c r="K40" i="14"/>
  <c r="K34" i="14"/>
  <c r="K26" i="14"/>
  <c r="K24" i="14"/>
  <c r="K22" i="14"/>
  <c r="K20" i="14"/>
  <c r="K18" i="14"/>
  <c r="K16" i="14"/>
  <c r="K15" i="14"/>
  <c r="K12" i="14"/>
  <c r="K8" i="14"/>
  <c r="K7" i="14"/>
  <c r="K10" i="14"/>
  <c r="M59" i="14"/>
  <c r="L59" i="14"/>
  <c r="M22" i="14"/>
  <c r="L22" i="14"/>
  <c r="M10" i="14"/>
  <c r="L10" i="14"/>
  <c r="L33" i="14"/>
  <c r="M33" i="14"/>
  <c r="M71" i="14"/>
  <c r="L71" i="14"/>
  <c r="M37" i="14"/>
  <c r="L37" i="14"/>
  <c r="M70" i="14"/>
  <c r="L70" i="14"/>
  <c r="L21" i="14"/>
  <c r="M21" i="14"/>
  <c r="M14" i="14"/>
  <c r="L14" i="14"/>
  <c r="M20" i="14"/>
  <c r="L20" i="14"/>
  <c r="M69" i="14"/>
  <c r="L69" i="14"/>
  <c r="M64" i="14"/>
  <c r="L64" i="14"/>
  <c r="L23" i="14"/>
  <c r="M23" i="14"/>
  <c r="L19" i="14"/>
  <c r="M19" i="14"/>
  <c r="M62" i="14"/>
  <c r="L62" i="14"/>
  <c r="L30" i="14"/>
  <c r="M30" i="14"/>
  <c r="L7" i="14"/>
  <c r="M7" i="14"/>
  <c r="L31" i="14"/>
  <c r="M31" i="14"/>
  <c r="C18" i="13"/>
  <c r="D18" i="13"/>
  <c r="L18" i="13" s="1"/>
  <c r="G18" i="13"/>
  <c r="E18" i="13" s="1"/>
  <c r="M18" i="13" s="1"/>
  <c r="H17" i="13"/>
  <c r="K17" i="13"/>
  <c r="J17" i="13" s="1"/>
  <c r="J16" i="13"/>
  <c r="F19" i="13"/>
  <c r="A20" i="13"/>
  <c r="B19" i="13"/>
  <c r="G20" i="15" l="1"/>
  <c r="E20" i="15" s="1"/>
  <c r="M20" i="15" s="1"/>
  <c r="D20" i="15"/>
  <c r="L20" i="15" s="1"/>
  <c r="C20" i="15"/>
  <c r="B21" i="15"/>
  <c r="A22" i="15"/>
  <c r="F21" i="15"/>
  <c r="K19" i="15"/>
  <c r="J19" i="15" s="1"/>
  <c r="H19" i="15"/>
  <c r="D19" i="13"/>
  <c r="L19" i="13" s="1"/>
  <c r="G19" i="13"/>
  <c r="E19" i="13" s="1"/>
  <c r="M19" i="13" s="1"/>
  <c r="C19" i="13"/>
  <c r="K18" i="13"/>
  <c r="J18" i="13" s="1"/>
  <c r="H18" i="13"/>
  <c r="B20" i="13"/>
  <c r="F20" i="13"/>
  <c r="A21" i="13"/>
  <c r="H20" i="15" l="1"/>
  <c r="K20" i="15"/>
  <c r="J20" i="15" s="1"/>
  <c r="G21" i="15"/>
  <c r="E21" i="15" s="1"/>
  <c r="M21" i="15" s="1"/>
  <c r="D21" i="15"/>
  <c r="L21" i="15" s="1"/>
  <c r="C21" i="15"/>
  <c r="F22" i="15"/>
  <c r="B22" i="15"/>
  <c r="A23" i="15"/>
  <c r="C20" i="13"/>
  <c r="D20" i="13"/>
  <c r="L20" i="13" s="1"/>
  <c r="G20" i="13"/>
  <c r="E20" i="13" s="1"/>
  <c r="M20" i="13" s="1"/>
  <c r="F21" i="13"/>
  <c r="A22" i="13"/>
  <c r="B21" i="13"/>
  <c r="H19" i="13"/>
  <c r="K19" i="13"/>
  <c r="J19" i="13" s="1"/>
  <c r="A24" i="15" l="1"/>
  <c r="F23" i="15"/>
  <c r="B23" i="15"/>
  <c r="D22" i="15"/>
  <c r="L22" i="15" s="1"/>
  <c r="C22" i="15"/>
  <c r="G22" i="15"/>
  <c r="E22" i="15" s="1"/>
  <c r="M22" i="15" s="1"/>
  <c r="H21" i="15"/>
  <c r="K21" i="15"/>
  <c r="J21" i="15" s="1"/>
  <c r="H20" i="13"/>
  <c r="K20" i="13"/>
  <c r="J20" i="13" s="1"/>
  <c r="F22" i="13"/>
  <c r="A23" i="13"/>
  <c r="B22" i="13"/>
  <c r="C21" i="13"/>
  <c r="D21" i="13"/>
  <c r="L21" i="13" s="1"/>
  <c r="G21" i="13"/>
  <c r="E21" i="13" s="1"/>
  <c r="M21" i="13" s="1"/>
  <c r="B24" i="15" l="1"/>
  <c r="A25" i="15"/>
  <c r="F24" i="15"/>
  <c r="G23" i="15"/>
  <c r="E23" i="15" s="1"/>
  <c r="M23" i="15" s="1"/>
  <c r="D23" i="15"/>
  <c r="L23" i="15" s="1"/>
  <c r="C23" i="15"/>
  <c r="K22" i="15"/>
  <c r="J22" i="15" s="1"/>
  <c r="H22" i="15"/>
  <c r="K21" i="13"/>
  <c r="J21" i="13" s="1"/>
  <c r="H21" i="13"/>
  <c r="B23" i="13"/>
  <c r="F23" i="13"/>
  <c r="A24" i="13"/>
  <c r="G22" i="13"/>
  <c r="E22" i="13" s="1"/>
  <c r="M22" i="13" s="1"/>
  <c r="C22" i="13"/>
  <c r="D22" i="13"/>
  <c r="L22" i="13" s="1"/>
  <c r="A26" i="15" l="1"/>
  <c r="F25" i="15"/>
  <c r="B25" i="15"/>
  <c r="H23" i="15"/>
  <c r="K23" i="15"/>
  <c r="J23" i="15" s="1"/>
  <c r="C24" i="15"/>
  <c r="D24" i="15"/>
  <c r="L24" i="15" s="1"/>
  <c r="G24" i="15"/>
  <c r="E24" i="15" s="1"/>
  <c r="M24" i="15" s="1"/>
  <c r="H22" i="13"/>
  <c r="K22" i="13"/>
  <c r="J22" i="13" s="1"/>
  <c r="F24" i="13"/>
  <c r="A25" i="13"/>
  <c r="B24" i="13"/>
  <c r="C23" i="13"/>
  <c r="D23" i="13"/>
  <c r="L23" i="13" s="1"/>
  <c r="G23" i="13"/>
  <c r="E23" i="13" s="1"/>
  <c r="M23" i="13" s="1"/>
  <c r="A27" i="15" l="1"/>
  <c r="F26" i="15"/>
  <c r="B26" i="15"/>
  <c r="G25" i="15"/>
  <c r="E25" i="15" s="1"/>
  <c r="M25" i="15" s="1"/>
  <c r="D25" i="15"/>
  <c r="L25" i="15" s="1"/>
  <c r="C25" i="15"/>
  <c r="K24" i="15"/>
  <c r="J24" i="15" s="1"/>
  <c r="H24" i="15"/>
  <c r="H23" i="13"/>
  <c r="K23" i="13"/>
  <c r="J23" i="13" s="1"/>
  <c r="B25" i="13"/>
  <c r="F25" i="13"/>
  <c r="A26" i="13"/>
  <c r="D24" i="13"/>
  <c r="L24" i="13" s="1"/>
  <c r="C24" i="13"/>
  <c r="G24" i="13"/>
  <c r="E24" i="13" s="1"/>
  <c r="M24" i="13" s="1"/>
  <c r="K25" i="15" l="1"/>
  <c r="J25" i="15" s="1"/>
  <c r="H25" i="15"/>
  <c r="G26" i="15"/>
  <c r="E26" i="15" s="1"/>
  <c r="M26" i="15" s="1"/>
  <c r="D26" i="15"/>
  <c r="L26" i="15" s="1"/>
  <c r="C26" i="15"/>
  <c r="B27" i="15"/>
  <c r="A28" i="15"/>
  <c r="F27" i="15"/>
  <c r="G25" i="13"/>
  <c r="E25" i="13" s="1"/>
  <c r="M25" i="13" s="1"/>
  <c r="D25" i="13"/>
  <c r="L25" i="13" s="1"/>
  <c r="C25" i="13"/>
  <c r="B26" i="13"/>
  <c r="F26" i="13"/>
  <c r="A27" i="13"/>
  <c r="K24" i="13"/>
  <c r="J24" i="13" s="1"/>
  <c r="H24" i="13"/>
  <c r="D27" i="15" l="1"/>
  <c r="L27" i="15" s="1"/>
  <c r="C27" i="15"/>
  <c r="G27" i="15"/>
  <c r="E27" i="15" s="1"/>
  <c r="M27" i="15" s="1"/>
  <c r="A29" i="15"/>
  <c r="F28" i="15"/>
  <c r="B28" i="15"/>
  <c r="H26" i="15"/>
  <c r="K26" i="15"/>
  <c r="J26" i="15" s="1"/>
  <c r="F27" i="13"/>
  <c r="A28" i="13"/>
  <c r="B27" i="13"/>
  <c r="C26" i="13"/>
  <c r="D26" i="13"/>
  <c r="L26" i="13" s="1"/>
  <c r="G26" i="13"/>
  <c r="E26" i="13" s="1"/>
  <c r="M26" i="13" s="1"/>
  <c r="H25" i="13"/>
  <c r="K25" i="13"/>
  <c r="J25" i="13" s="1"/>
  <c r="G28" i="15" l="1"/>
  <c r="E28" i="15" s="1"/>
  <c r="M28" i="15" s="1"/>
  <c r="D28" i="15"/>
  <c r="L28" i="15" s="1"/>
  <c r="C28" i="15"/>
  <c r="B29" i="15"/>
  <c r="A30" i="15"/>
  <c r="F29" i="15"/>
  <c r="K27" i="15"/>
  <c r="J27" i="15" s="1"/>
  <c r="H27" i="15"/>
  <c r="K26" i="13"/>
  <c r="J26" i="13" s="1"/>
  <c r="H26" i="13"/>
  <c r="B28" i="13"/>
  <c r="F28" i="13"/>
  <c r="A29" i="13"/>
  <c r="D27" i="13"/>
  <c r="L27" i="13" s="1"/>
  <c r="G27" i="13"/>
  <c r="E27" i="13" s="1"/>
  <c r="M27" i="13" s="1"/>
  <c r="C27" i="13"/>
  <c r="G29" i="15" l="1"/>
  <c r="E29" i="15" s="1"/>
  <c r="M29" i="15" s="1"/>
  <c r="D29" i="15"/>
  <c r="L29" i="15" s="1"/>
  <c r="C29" i="15"/>
  <c r="F30" i="15"/>
  <c r="B30" i="15"/>
  <c r="A31" i="15"/>
  <c r="K28" i="15"/>
  <c r="J28" i="15" s="1"/>
  <c r="H28" i="15"/>
  <c r="H27" i="13"/>
  <c r="K27" i="13"/>
  <c r="J27" i="13" s="1"/>
  <c r="B29" i="13"/>
  <c r="F29" i="13"/>
  <c r="A30" i="13"/>
  <c r="G28" i="13"/>
  <c r="E28" i="13" s="1"/>
  <c r="M28" i="13" s="1"/>
  <c r="C28" i="13"/>
  <c r="D28" i="13"/>
  <c r="L28" i="13" s="1"/>
  <c r="A32" i="15" l="1"/>
  <c r="F31" i="15"/>
  <c r="B31" i="15"/>
  <c r="D30" i="15"/>
  <c r="L30" i="15" s="1"/>
  <c r="C30" i="15"/>
  <c r="G30" i="15"/>
  <c r="E30" i="15" s="1"/>
  <c r="M30" i="15" s="1"/>
  <c r="H29" i="15"/>
  <c r="K29" i="15"/>
  <c r="J29" i="15" s="1"/>
  <c r="H28" i="13"/>
  <c r="K28" i="13"/>
  <c r="J28" i="13" s="1"/>
  <c r="F30" i="13"/>
  <c r="A31" i="13"/>
  <c r="B30" i="13"/>
  <c r="C29" i="13"/>
  <c r="D29" i="13"/>
  <c r="L29" i="13" s="1"/>
  <c r="G29" i="13"/>
  <c r="E29" i="13" s="1"/>
  <c r="M29" i="13" s="1"/>
  <c r="K30" i="15" l="1"/>
  <c r="J30" i="15" s="1"/>
  <c r="H30" i="15"/>
  <c r="G31" i="15"/>
  <c r="E31" i="15" s="1"/>
  <c r="M31" i="15" s="1"/>
  <c r="D31" i="15"/>
  <c r="L31" i="15" s="1"/>
  <c r="C31" i="15"/>
  <c r="B32" i="15"/>
  <c r="A33" i="15"/>
  <c r="F32" i="15"/>
  <c r="K29" i="13"/>
  <c r="J29" i="13" s="1"/>
  <c r="H29" i="13"/>
  <c r="F31" i="13"/>
  <c r="B31" i="13"/>
  <c r="A32" i="13"/>
  <c r="G30" i="13"/>
  <c r="E30" i="13" s="1"/>
  <c r="M30" i="13" s="1"/>
  <c r="C30" i="13"/>
  <c r="D30" i="13"/>
  <c r="L30" i="13" s="1"/>
  <c r="C32" i="15" l="1"/>
  <c r="G32" i="15"/>
  <c r="E32" i="15" s="1"/>
  <c r="M32" i="15" s="1"/>
  <c r="D32" i="15"/>
  <c r="L32" i="15" s="1"/>
  <c r="H31" i="15"/>
  <c r="K31" i="15"/>
  <c r="J31" i="15" s="1"/>
  <c r="A34" i="15"/>
  <c r="F33" i="15"/>
  <c r="B33" i="15"/>
  <c r="K30" i="13"/>
  <c r="J30" i="13" s="1"/>
  <c r="H30" i="13"/>
  <c r="F32" i="13"/>
  <c r="A33" i="13"/>
  <c r="B32" i="13"/>
  <c r="C31" i="13"/>
  <c r="D31" i="13"/>
  <c r="L31" i="13" s="1"/>
  <c r="G31" i="13"/>
  <c r="E31" i="13" s="1"/>
  <c r="M31" i="13" s="1"/>
  <c r="B6" i="12"/>
  <c r="O73" i="12"/>
  <c r="C73" i="12"/>
  <c r="O72" i="12"/>
  <c r="C72" i="12"/>
  <c r="O71" i="12"/>
  <c r="C71" i="12"/>
  <c r="O70" i="12"/>
  <c r="C70" i="12"/>
  <c r="O69" i="12"/>
  <c r="C69" i="12"/>
  <c r="O68" i="12"/>
  <c r="C68" i="12"/>
  <c r="O67" i="12"/>
  <c r="C67" i="12"/>
  <c r="O66" i="12"/>
  <c r="C66" i="12"/>
  <c r="O65" i="12"/>
  <c r="C65" i="12"/>
  <c r="O64" i="12"/>
  <c r="C64" i="12"/>
  <c r="O63" i="12"/>
  <c r="C63" i="12"/>
  <c r="O62" i="12"/>
  <c r="C62" i="12"/>
  <c r="O61" i="12"/>
  <c r="C61" i="12"/>
  <c r="O60" i="12"/>
  <c r="C60" i="12"/>
  <c r="O59" i="12"/>
  <c r="C59" i="12"/>
  <c r="O58" i="12"/>
  <c r="C58" i="12"/>
  <c r="O57" i="12"/>
  <c r="C57" i="12"/>
  <c r="O56" i="12"/>
  <c r="C56" i="12"/>
  <c r="O55" i="12"/>
  <c r="C55" i="12"/>
  <c r="O54" i="12"/>
  <c r="C54" i="12"/>
  <c r="O53" i="12"/>
  <c r="C53" i="12"/>
  <c r="O52" i="12"/>
  <c r="C52" i="12"/>
  <c r="O51" i="12"/>
  <c r="C51" i="12"/>
  <c r="O50" i="12"/>
  <c r="C50" i="12"/>
  <c r="O49" i="12"/>
  <c r="C49" i="12"/>
  <c r="O48" i="12"/>
  <c r="C48" i="12"/>
  <c r="O47" i="12"/>
  <c r="C47" i="12"/>
  <c r="O46" i="12"/>
  <c r="C46" i="12"/>
  <c r="O45" i="12"/>
  <c r="C45" i="12"/>
  <c r="O44" i="12"/>
  <c r="C44" i="12"/>
  <c r="O43" i="12"/>
  <c r="C43" i="12"/>
  <c r="O42" i="12"/>
  <c r="C42" i="12"/>
  <c r="O41" i="12"/>
  <c r="C41" i="12"/>
  <c r="O40" i="12"/>
  <c r="C40" i="12"/>
  <c r="O39" i="12"/>
  <c r="C39" i="12"/>
  <c r="O38" i="12"/>
  <c r="C38" i="12"/>
  <c r="O37" i="12"/>
  <c r="C37" i="12"/>
  <c r="O36" i="12"/>
  <c r="C36" i="12"/>
  <c r="O35" i="12"/>
  <c r="C35" i="12"/>
  <c r="O34" i="12"/>
  <c r="C34" i="12"/>
  <c r="O33" i="12"/>
  <c r="C33" i="12"/>
  <c r="O32" i="12"/>
  <c r="C32" i="12"/>
  <c r="O31" i="12"/>
  <c r="C31" i="12"/>
  <c r="O30" i="12"/>
  <c r="C30" i="12"/>
  <c r="O29" i="12"/>
  <c r="C29" i="12"/>
  <c r="O28" i="12"/>
  <c r="C28" i="12"/>
  <c r="O27" i="12"/>
  <c r="C27" i="12"/>
  <c r="O26" i="12"/>
  <c r="C26" i="12"/>
  <c r="O25" i="12"/>
  <c r="C25" i="12"/>
  <c r="O24" i="12"/>
  <c r="C24" i="12"/>
  <c r="C23" i="12"/>
  <c r="C22" i="12"/>
  <c r="C21" i="12"/>
  <c r="C20" i="12"/>
  <c r="C19" i="12"/>
  <c r="C18" i="12"/>
  <c r="C17" i="12"/>
  <c r="C16" i="12"/>
  <c r="C15" i="12"/>
  <c r="C14" i="12"/>
  <c r="B14" i="12"/>
  <c r="B3" i="12" s="1"/>
  <c r="E5" i="12" s="1"/>
  <c r="C13" i="12"/>
  <c r="C12" i="12"/>
  <c r="B12" i="12"/>
  <c r="C11" i="12"/>
  <c r="C10" i="12"/>
  <c r="C9" i="12"/>
  <c r="C8" i="12"/>
  <c r="B8" i="12"/>
  <c r="C7" i="12"/>
  <c r="C6" i="12"/>
  <c r="C5" i="12"/>
  <c r="B5" i="12"/>
  <c r="C4" i="12"/>
  <c r="B4" i="12"/>
  <c r="C3" i="12"/>
  <c r="C2" i="12"/>
  <c r="B1" i="12"/>
  <c r="B2" i="12" s="1"/>
  <c r="D33" i="15" l="1"/>
  <c r="L33" i="15" s="1"/>
  <c r="C33" i="15"/>
  <c r="G33" i="15"/>
  <c r="E33" i="15" s="1"/>
  <c r="M33" i="15" s="1"/>
  <c r="A35" i="15"/>
  <c r="F34" i="15"/>
  <c r="B34" i="15"/>
  <c r="K32" i="15"/>
  <c r="J32" i="15" s="1"/>
  <c r="H32" i="15"/>
  <c r="H31" i="13"/>
  <c r="K31" i="13"/>
  <c r="J31" i="13" s="1"/>
  <c r="F33" i="13"/>
  <c r="A34" i="13"/>
  <c r="B33" i="13"/>
  <c r="D32" i="13"/>
  <c r="L32" i="13" s="1"/>
  <c r="G32" i="13"/>
  <c r="E32" i="13" s="1"/>
  <c r="M32" i="13" s="1"/>
  <c r="C32" i="13"/>
  <c r="E32" i="12"/>
  <c r="F32" i="12" s="1"/>
  <c r="G32" i="12" s="1"/>
  <c r="F69" i="12"/>
  <c r="G69" i="12" s="1"/>
  <c r="F64" i="12"/>
  <c r="G64" i="12" s="1"/>
  <c r="F7" i="12"/>
  <c r="G7" i="12" s="1"/>
  <c r="F16" i="12"/>
  <c r="G16" i="12" s="1"/>
  <c r="F5" i="12"/>
  <c r="G5" i="12" s="1"/>
  <c r="F42" i="12"/>
  <c r="G42" i="12" s="1"/>
  <c r="F39" i="12"/>
  <c r="G39" i="12" s="1"/>
  <c r="F20" i="12"/>
  <c r="G20" i="12" s="1"/>
  <c r="E35" i="12"/>
  <c r="F35" i="12" s="1"/>
  <c r="G35" i="12" s="1"/>
  <c r="H3" i="12"/>
  <c r="E31" i="12"/>
  <c r="I31" i="12" s="1"/>
  <c r="E7" i="12"/>
  <c r="E20" i="12"/>
  <c r="I20" i="12" s="1"/>
  <c r="H20" i="12"/>
  <c r="I7" i="12"/>
  <c r="I3" i="12"/>
  <c r="H2" i="12"/>
  <c r="H6" i="12"/>
  <c r="B16" i="12"/>
  <c r="H17" i="12"/>
  <c r="I19" i="12"/>
  <c r="E3" i="12"/>
  <c r="F3" i="12" s="1"/>
  <c r="G3" i="12" s="1"/>
  <c r="I61" i="12"/>
  <c r="H33" i="12"/>
  <c r="H29" i="12"/>
  <c r="H25" i="12"/>
  <c r="H22" i="12"/>
  <c r="H70" i="12"/>
  <c r="H66" i="12"/>
  <c r="H62" i="12"/>
  <c r="I59" i="12"/>
  <c r="H30" i="12"/>
  <c r="H26" i="12"/>
  <c r="I72" i="12"/>
  <c r="I56" i="12"/>
  <c r="I40" i="12"/>
  <c r="H31" i="12"/>
  <c r="H27" i="12"/>
  <c r="H68" i="12"/>
  <c r="H56" i="12"/>
  <c r="H45" i="12"/>
  <c r="H44" i="12"/>
  <c r="H34" i="12"/>
  <c r="H16" i="12"/>
  <c r="H11" i="12"/>
  <c r="I5" i="12"/>
  <c r="H72" i="12"/>
  <c r="H61" i="12"/>
  <c r="H57" i="12"/>
  <c r="H43" i="12"/>
  <c r="H65" i="12"/>
  <c r="H58" i="12"/>
  <c r="H42" i="12"/>
  <c r="I41" i="12"/>
  <c r="I24" i="12"/>
  <c r="I21" i="12"/>
  <c r="H15" i="12"/>
  <c r="H10" i="12"/>
  <c r="H9" i="12"/>
  <c r="H4" i="12"/>
  <c r="Q2" i="12"/>
  <c r="H73" i="12"/>
  <c r="H59" i="12"/>
  <c r="H69" i="12"/>
  <c r="H51" i="12"/>
  <c r="H41" i="12"/>
  <c r="H40" i="12"/>
  <c r="I29" i="12"/>
  <c r="H24" i="12"/>
  <c r="H23" i="12"/>
  <c r="H21" i="12"/>
  <c r="H14" i="12"/>
  <c r="I8" i="12"/>
  <c r="H52" i="12"/>
  <c r="H50" i="12"/>
  <c r="I32" i="12"/>
  <c r="H39" i="12"/>
  <c r="H63" i="12"/>
  <c r="H53" i="12"/>
  <c r="H49" i="12"/>
  <c r="H48" i="12"/>
  <c r="H38" i="12"/>
  <c r="I37" i="12"/>
  <c r="H32" i="12"/>
  <c r="H19" i="12"/>
  <c r="H13" i="12"/>
  <c r="H67" i="12"/>
  <c r="H60" i="12"/>
  <c r="H54" i="12"/>
  <c r="H47" i="12"/>
  <c r="H37" i="12"/>
  <c r="J37" i="12" s="1"/>
  <c r="H36" i="12"/>
  <c r="H28" i="12"/>
  <c r="H18" i="12"/>
  <c r="I17" i="12"/>
  <c r="H12" i="12"/>
  <c r="H7" i="12"/>
  <c r="J7" i="12" s="1"/>
  <c r="L7" i="12" s="1"/>
  <c r="I2" i="12"/>
  <c r="H71" i="12"/>
  <c r="H64" i="12"/>
  <c r="H55" i="12"/>
  <c r="H46" i="12"/>
  <c r="H35" i="12"/>
  <c r="E18" i="12"/>
  <c r="F18" i="12" s="1"/>
  <c r="G18" i="12" s="1"/>
  <c r="F2" i="12"/>
  <c r="G2" i="12" s="1"/>
  <c r="H5" i="12"/>
  <c r="E8" i="12"/>
  <c r="F8" i="12" s="1"/>
  <c r="G8" i="12" s="1"/>
  <c r="E71" i="12"/>
  <c r="I71" i="12" s="1"/>
  <c r="E67" i="12"/>
  <c r="F67" i="12" s="1"/>
  <c r="G67" i="12" s="1"/>
  <c r="E63" i="12"/>
  <c r="F63" i="12" s="1"/>
  <c r="G63" i="12" s="1"/>
  <c r="E59" i="12"/>
  <c r="F59" i="12" s="1"/>
  <c r="G59" i="12" s="1"/>
  <c r="E55" i="12"/>
  <c r="F55" i="12" s="1"/>
  <c r="G55" i="12" s="1"/>
  <c r="E72" i="12"/>
  <c r="F72" i="12" s="1"/>
  <c r="G72" i="12" s="1"/>
  <c r="E68" i="12"/>
  <c r="F68" i="12" s="1"/>
  <c r="G68" i="12" s="1"/>
  <c r="E64" i="12"/>
  <c r="I64" i="12" s="1"/>
  <c r="E60" i="12"/>
  <c r="F60" i="12" s="1"/>
  <c r="G60" i="12" s="1"/>
  <c r="E56" i="12"/>
  <c r="F56" i="12" s="1"/>
  <c r="G56" i="12" s="1"/>
  <c r="E52" i="12"/>
  <c r="I52" i="12" s="1"/>
  <c r="E48" i="12"/>
  <c r="I48" i="12" s="1"/>
  <c r="E44" i="12"/>
  <c r="F44" i="12" s="1"/>
  <c r="G44" i="12" s="1"/>
  <c r="E40" i="12"/>
  <c r="F40" i="12" s="1"/>
  <c r="G40" i="12" s="1"/>
  <c r="E36" i="12"/>
  <c r="I36" i="12" s="1"/>
  <c r="E73" i="12"/>
  <c r="I73" i="12" s="1"/>
  <c r="E69" i="12"/>
  <c r="I69" i="12" s="1"/>
  <c r="E65" i="12"/>
  <c r="F65" i="12" s="1"/>
  <c r="G65" i="12" s="1"/>
  <c r="E61" i="12"/>
  <c r="F61" i="12" s="1"/>
  <c r="G61" i="12" s="1"/>
  <c r="E57" i="12"/>
  <c r="I57" i="12" s="1"/>
  <c r="E53" i="12"/>
  <c r="I53" i="12" s="1"/>
  <c r="E49" i="12"/>
  <c r="F49" i="12" s="1"/>
  <c r="G49" i="12" s="1"/>
  <c r="E45" i="12"/>
  <c r="F45" i="12" s="1"/>
  <c r="G45" i="12" s="1"/>
  <c r="E41" i="12"/>
  <c r="F41" i="12" s="1"/>
  <c r="G41" i="12" s="1"/>
  <c r="E37" i="12"/>
  <c r="F37" i="12" s="1"/>
  <c r="G37" i="12" s="1"/>
  <c r="E70" i="12"/>
  <c r="F70" i="12" s="1"/>
  <c r="G70" i="12" s="1"/>
  <c r="E66" i="12"/>
  <c r="I66" i="12" s="1"/>
  <c r="E62" i="12"/>
  <c r="I62" i="12" s="1"/>
  <c r="E58" i="12"/>
  <c r="I58" i="12" s="1"/>
  <c r="E54" i="12"/>
  <c r="F54" i="12" s="1"/>
  <c r="G54" i="12" s="1"/>
  <c r="E50" i="12"/>
  <c r="I50" i="12" s="1"/>
  <c r="E46" i="12"/>
  <c r="F46" i="12" s="1"/>
  <c r="G46" i="12" s="1"/>
  <c r="E42" i="12"/>
  <c r="I42" i="12" s="1"/>
  <c r="E38" i="12"/>
  <c r="F38" i="12" s="1"/>
  <c r="G38" i="12" s="1"/>
  <c r="E34" i="12"/>
  <c r="I34" i="12" s="1"/>
  <c r="E47" i="12"/>
  <c r="F47" i="12" s="1"/>
  <c r="G47" i="12" s="1"/>
  <c r="E28" i="12"/>
  <c r="I28" i="12" s="1"/>
  <c r="E25" i="12"/>
  <c r="I25" i="12" s="1"/>
  <c r="E19" i="12"/>
  <c r="F19" i="12" s="1"/>
  <c r="G19" i="12" s="1"/>
  <c r="E13" i="12"/>
  <c r="I13" i="12" s="1"/>
  <c r="E27" i="12"/>
  <c r="I27" i="12" s="1"/>
  <c r="E17" i="12"/>
  <c r="F17" i="12" s="1"/>
  <c r="G17" i="12" s="1"/>
  <c r="E6" i="12"/>
  <c r="I6" i="12" s="1"/>
  <c r="E11" i="12"/>
  <c r="F11" i="12" s="1"/>
  <c r="G11" i="12" s="1"/>
  <c r="E33" i="12"/>
  <c r="I33" i="12" s="1"/>
  <c r="E43" i="12"/>
  <c r="F43" i="12" s="1"/>
  <c r="G43" i="12" s="1"/>
  <c r="E30" i="12"/>
  <c r="F30" i="12" s="1"/>
  <c r="G30" i="12" s="1"/>
  <c r="E16" i="12"/>
  <c r="I16" i="12" s="1"/>
  <c r="E26" i="12"/>
  <c r="I26" i="12" s="1"/>
  <c r="E51" i="12"/>
  <c r="F51" i="12" s="1"/>
  <c r="G51" i="12" s="1"/>
  <c r="E29" i="12"/>
  <c r="F29" i="12" s="1"/>
  <c r="G29" i="12" s="1"/>
  <c r="E24" i="12"/>
  <c r="F24" i="12" s="1"/>
  <c r="G24" i="12" s="1"/>
  <c r="E23" i="12"/>
  <c r="F23" i="12" s="1"/>
  <c r="G23" i="12" s="1"/>
  <c r="E22" i="12"/>
  <c r="F22" i="12" s="1"/>
  <c r="G22" i="12" s="1"/>
  <c r="E15" i="12"/>
  <c r="F15" i="12" s="1"/>
  <c r="G15" i="12" s="1"/>
  <c r="E10" i="12"/>
  <c r="F10" i="12" s="1"/>
  <c r="G10" i="12" s="1"/>
  <c r="E39" i="12"/>
  <c r="I39" i="12" s="1"/>
  <c r="E21" i="12"/>
  <c r="F21" i="12" s="1"/>
  <c r="G21" i="12" s="1"/>
  <c r="E14" i="12"/>
  <c r="F14" i="12" s="1"/>
  <c r="G14" i="12" s="1"/>
  <c r="E9" i="12"/>
  <c r="F9" i="12" s="1"/>
  <c r="G9" i="12" s="1"/>
  <c r="E4" i="12"/>
  <c r="F4" i="12" s="1"/>
  <c r="G4" i="12" s="1"/>
  <c r="F34" i="12"/>
  <c r="G34" i="12" s="1"/>
  <c r="H8" i="12"/>
  <c r="E12" i="12"/>
  <c r="I12" i="12" s="1"/>
  <c r="I30" i="12"/>
  <c r="B53" i="1"/>
  <c r="G34" i="15" l="1"/>
  <c r="E34" i="15" s="1"/>
  <c r="M34" i="15" s="1"/>
  <c r="D34" i="15"/>
  <c r="L34" i="15" s="1"/>
  <c r="C34" i="15"/>
  <c r="B35" i="15"/>
  <c r="A36" i="15"/>
  <c r="F35" i="15"/>
  <c r="K33" i="15"/>
  <c r="J33" i="15" s="1"/>
  <c r="H33" i="15"/>
  <c r="K32" i="13"/>
  <c r="J32" i="13" s="1"/>
  <c r="H32" i="13"/>
  <c r="B34" i="13"/>
  <c r="F34" i="13"/>
  <c r="A35" i="13"/>
  <c r="G33" i="13"/>
  <c r="E33" i="13" s="1"/>
  <c r="M33" i="13" s="1"/>
  <c r="D33" i="13"/>
  <c r="L33" i="13" s="1"/>
  <c r="C33" i="13"/>
  <c r="J13" i="12"/>
  <c r="L13" i="12" s="1"/>
  <c r="I43" i="12"/>
  <c r="J66" i="12"/>
  <c r="J71" i="12"/>
  <c r="I18" i="12"/>
  <c r="J18" i="12" s="1"/>
  <c r="L18" i="12" s="1"/>
  <c r="J48" i="12"/>
  <c r="J50" i="12"/>
  <c r="J24" i="12"/>
  <c r="I22" i="12"/>
  <c r="J22" i="12" s="1"/>
  <c r="L22" i="12" s="1"/>
  <c r="J58" i="12"/>
  <c r="J56" i="12"/>
  <c r="J26" i="12"/>
  <c r="J70" i="12"/>
  <c r="I38" i="12"/>
  <c r="I54" i="12"/>
  <c r="I70" i="12"/>
  <c r="J17" i="12"/>
  <c r="L17" i="12" s="1"/>
  <c r="F25" i="12"/>
  <c r="G25" i="12" s="1"/>
  <c r="F27" i="12"/>
  <c r="G27" i="12" s="1"/>
  <c r="F58" i="12"/>
  <c r="G58" i="12" s="1"/>
  <c r="F12" i="12"/>
  <c r="G12" i="12" s="1"/>
  <c r="F71" i="12"/>
  <c r="G71" i="12" s="1"/>
  <c r="F73" i="12"/>
  <c r="G73" i="12" s="1"/>
  <c r="J38" i="12"/>
  <c r="J19" i="12"/>
  <c r="L19" i="12" s="1"/>
  <c r="J52" i="12"/>
  <c r="I49" i="12"/>
  <c r="J49" i="12" s="1"/>
  <c r="I4" i="12"/>
  <c r="J4" i="12" s="1"/>
  <c r="L4" i="12" s="1"/>
  <c r="I23" i="12"/>
  <c r="J23" i="12" s="1"/>
  <c r="L23" i="12" s="1"/>
  <c r="I44" i="12"/>
  <c r="I60" i="12"/>
  <c r="J30" i="12"/>
  <c r="I47" i="12"/>
  <c r="J47" i="12" s="1"/>
  <c r="I63" i="12"/>
  <c r="J63" i="12" s="1"/>
  <c r="I65" i="12"/>
  <c r="J65" i="12" s="1"/>
  <c r="I15" i="12"/>
  <c r="J15" i="12" s="1"/>
  <c r="L15" i="12" s="1"/>
  <c r="F13" i="12"/>
  <c r="G13" i="12" s="1"/>
  <c r="F50" i="12"/>
  <c r="G50" i="12" s="1"/>
  <c r="F62" i="12"/>
  <c r="G62" i="12" s="1"/>
  <c r="F26" i="12"/>
  <c r="G26" i="12" s="1"/>
  <c r="J64" i="12"/>
  <c r="J69" i="12"/>
  <c r="J54" i="12"/>
  <c r="J59" i="12"/>
  <c r="J43" i="12"/>
  <c r="J16" i="12"/>
  <c r="L16" i="12" s="1"/>
  <c r="J27" i="12"/>
  <c r="F6" i="12"/>
  <c r="G6" i="12" s="1"/>
  <c r="F48" i="12"/>
  <c r="G48" i="12" s="1"/>
  <c r="F53" i="12"/>
  <c r="G53" i="12" s="1"/>
  <c r="F52" i="12"/>
  <c r="G52" i="12" s="1"/>
  <c r="F57" i="12"/>
  <c r="G57" i="12" s="1"/>
  <c r="F31" i="12"/>
  <c r="G31" i="12" s="1"/>
  <c r="F28" i="12"/>
  <c r="G28" i="12" s="1"/>
  <c r="I10" i="12"/>
  <c r="J10" i="12" s="1"/>
  <c r="L10" i="12" s="1"/>
  <c r="J28" i="12"/>
  <c r="J60" i="12"/>
  <c r="J73" i="12"/>
  <c r="I9" i="12"/>
  <c r="J31" i="12"/>
  <c r="I35" i="12"/>
  <c r="J35" i="12" s="1"/>
  <c r="I51" i="12"/>
  <c r="I67" i="12"/>
  <c r="J67" i="12" s="1"/>
  <c r="J25" i="12"/>
  <c r="J20" i="12"/>
  <c r="L20" i="12" s="1"/>
  <c r="L37" i="12"/>
  <c r="J53" i="12"/>
  <c r="J8" i="12"/>
  <c r="L8" i="12" s="1"/>
  <c r="I45" i="12"/>
  <c r="J45" i="12" s="1"/>
  <c r="J39" i="12"/>
  <c r="J40" i="12"/>
  <c r="J57" i="12"/>
  <c r="J29" i="12"/>
  <c r="I46" i="12"/>
  <c r="J6" i="12"/>
  <c r="L6" i="12" s="1"/>
  <c r="F66" i="12"/>
  <c r="G66" i="12" s="1"/>
  <c r="F36" i="12"/>
  <c r="G36" i="12" s="1"/>
  <c r="F33" i="12"/>
  <c r="G33" i="12" s="1"/>
  <c r="J42" i="12"/>
  <c r="J46" i="12"/>
  <c r="J12" i="12"/>
  <c r="L12" i="12" s="1"/>
  <c r="J32" i="12"/>
  <c r="J21" i="12"/>
  <c r="L21" i="12" s="1"/>
  <c r="J41" i="12"/>
  <c r="I14" i="12"/>
  <c r="J14" i="12" s="1"/>
  <c r="L14" i="12" s="1"/>
  <c r="J61" i="12"/>
  <c r="J34" i="12"/>
  <c r="I68" i="12"/>
  <c r="J68" i="12" s="1"/>
  <c r="I55" i="12"/>
  <c r="J55" i="12" s="1"/>
  <c r="J33" i="12"/>
  <c r="J2" i="12"/>
  <c r="J3" i="12"/>
  <c r="L3" i="12" s="1"/>
  <c r="J5" i="12"/>
  <c r="L5" i="12" s="1"/>
  <c r="J36" i="12"/>
  <c r="J51" i="12"/>
  <c r="J9" i="12"/>
  <c r="L9" i="12" s="1"/>
  <c r="J72" i="12"/>
  <c r="J44" i="12"/>
  <c r="J62" i="12"/>
  <c r="I11" i="12"/>
  <c r="J11" i="12" s="1"/>
  <c r="L11" i="12" s="1"/>
  <c r="B51" i="1"/>
  <c r="B5" i="8"/>
  <c r="B8" i="8" s="1"/>
  <c r="C64" i="8"/>
  <c r="C65" i="8"/>
  <c r="C66" i="8"/>
  <c r="C67" i="8"/>
  <c r="C68" i="8"/>
  <c r="C69" i="8"/>
  <c r="C70" i="8"/>
  <c r="C71" i="8"/>
  <c r="C72" i="8"/>
  <c r="C73" i="8"/>
  <c r="B16" i="8"/>
  <c r="E61" i="1"/>
  <c r="B60" i="1" s="1"/>
  <c r="C2" i="8"/>
  <c r="C3" i="8"/>
  <c r="C4" i="8"/>
  <c r="C5" i="8"/>
  <c r="C6" i="8"/>
  <c r="C7" i="8"/>
  <c r="C8" i="8"/>
  <c r="B12" i="8"/>
  <c r="C9" i="8"/>
  <c r="C10" i="8"/>
  <c r="C11" i="8"/>
  <c r="B14" i="8"/>
  <c r="B3" i="8" s="1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D35" i="15" l="1"/>
  <c r="L35" i="15" s="1"/>
  <c r="C35" i="15"/>
  <c r="G35" i="15"/>
  <c r="E35" i="15" s="1"/>
  <c r="M35" i="15" s="1"/>
  <c r="A37" i="15"/>
  <c r="F36" i="15"/>
  <c r="B36" i="15"/>
  <c r="H34" i="15"/>
  <c r="K34" i="15"/>
  <c r="J34" i="15" s="1"/>
  <c r="H33" i="13"/>
  <c r="K33" i="13"/>
  <c r="J33" i="13" s="1"/>
  <c r="B35" i="13"/>
  <c r="F35" i="13"/>
  <c r="A36" i="13"/>
  <c r="C34" i="13"/>
  <c r="D34" i="13"/>
  <c r="L34" i="13" s="1"/>
  <c r="G34" i="13"/>
  <c r="E34" i="13" s="1"/>
  <c r="M34" i="13" s="1"/>
  <c r="K70" i="12"/>
  <c r="K66" i="12"/>
  <c r="M63" i="12"/>
  <c r="Q63" i="12" s="1"/>
  <c r="S63" i="12" s="1"/>
  <c r="U63" i="12" s="1"/>
  <c r="K62" i="12"/>
  <c r="K58" i="12"/>
  <c r="K54" i="12"/>
  <c r="K71" i="12"/>
  <c r="K67" i="12"/>
  <c r="K63" i="12"/>
  <c r="K59" i="12"/>
  <c r="K55" i="12"/>
  <c r="K51" i="12"/>
  <c r="K47" i="12"/>
  <c r="K43" i="12"/>
  <c r="K39" i="12"/>
  <c r="K35" i="12"/>
  <c r="K72" i="12"/>
  <c r="K68" i="12"/>
  <c r="K64" i="12"/>
  <c r="K60" i="12"/>
  <c r="K56" i="12"/>
  <c r="K52" i="12"/>
  <c r="K48" i="12"/>
  <c r="K44" i="12"/>
  <c r="K40" i="12"/>
  <c r="K36" i="12"/>
  <c r="K73" i="12"/>
  <c r="K69" i="12"/>
  <c r="K65" i="12"/>
  <c r="K61" i="12"/>
  <c r="K57" i="12"/>
  <c r="K53" i="12"/>
  <c r="K49" i="12"/>
  <c r="K45" i="12"/>
  <c r="K41" i="12"/>
  <c r="K37" i="12"/>
  <c r="K42" i="12"/>
  <c r="K33" i="12"/>
  <c r="K30" i="12"/>
  <c r="K24" i="12"/>
  <c r="K23" i="12"/>
  <c r="K22" i="12"/>
  <c r="K21" i="12"/>
  <c r="K14" i="12"/>
  <c r="K9" i="12"/>
  <c r="K4" i="12"/>
  <c r="K50" i="12"/>
  <c r="K19" i="12"/>
  <c r="K13" i="12"/>
  <c r="K3" i="12"/>
  <c r="K12" i="12"/>
  <c r="K7" i="12"/>
  <c r="K38" i="12"/>
  <c r="K32" i="12"/>
  <c r="K25" i="12"/>
  <c r="K18" i="12"/>
  <c r="L63" i="12"/>
  <c r="K28" i="12"/>
  <c r="K46" i="12"/>
  <c r="K31" i="12"/>
  <c r="K16" i="12"/>
  <c r="K11" i="12"/>
  <c r="K34" i="12"/>
  <c r="K27" i="12"/>
  <c r="K5" i="12"/>
  <c r="K26" i="12"/>
  <c r="K17" i="12"/>
  <c r="K15" i="12"/>
  <c r="K6" i="12"/>
  <c r="K2" i="12"/>
  <c r="K10" i="12"/>
  <c r="K8" i="12"/>
  <c r="K29" i="12"/>
  <c r="K20" i="12"/>
  <c r="M55" i="12"/>
  <c r="Q55" i="12" s="1"/>
  <c r="S55" i="12" s="1"/>
  <c r="U55" i="12" s="1"/>
  <c r="L55" i="12"/>
  <c r="M47" i="12"/>
  <c r="Q47" i="12" s="1"/>
  <c r="S47" i="12" s="1"/>
  <c r="U47" i="12" s="1"/>
  <c r="L47" i="12"/>
  <c r="M68" i="12"/>
  <c r="Q68" i="12" s="1"/>
  <c r="S68" i="12" s="1"/>
  <c r="U68" i="12" s="1"/>
  <c r="L68" i="12"/>
  <c r="M67" i="12"/>
  <c r="Q67" i="12" s="1"/>
  <c r="S67" i="12" s="1"/>
  <c r="U67" i="12" s="1"/>
  <c r="L67" i="12"/>
  <c r="M45" i="12"/>
  <c r="Q45" i="12" s="1"/>
  <c r="S45" i="12" s="1"/>
  <c r="U45" i="12" s="1"/>
  <c r="L45" i="12"/>
  <c r="M35" i="12"/>
  <c r="Q35" i="12" s="1"/>
  <c r="S35" i="12" s="1"/>
  <c r="U35" i="12" s="1"/>
  <c r="L35" i="12"/>
  <c r="M65" i="12"/>
  <c r="Q65" i="12" s="1"/>
  <c r="S65" i="12" s="1"/>
  <c r="U65" i="12" s="1"/>
  <c r="L65" i="12"/>
  <c r="M49" i="12"/>
  <c r="Q49" i="12" s="1"/>
  <c r="S49" i="12" s="1"/>
  <c r="U49" i="12" s="1"/>
  <c r="L49" i="12"/>
  <c r="M53" i="12"/>
  <c r="Q53" i="12" s="1"/>
  <c r="S53" i="12" s="1"/>
  <c r="U53" i="12" s="1"/>
  <c r="L53" i="12"/>
  <c r="M36" i="12"/>
  <c r="Q36" i="12" s="1"/>
  <c r="S36" i="12" s="1"/>
  <c r="U36" i="12" s="1"/>
  <c r="L36" i="12"/>
  <c r="M34" i="12"/>
  <c r="Q34" i="12" s="1"/>
  <c r="S34" i="12" s="1"/>
  <c r="U34" i="12" s="1"/>
  <c r="L34" i="12"/>
  <c r="M57" i="12"/>
  <c r="Q57" i="12" s="1"/>
  <c r="S57" i="12" s="1"/>
  <c r="U57" i="12" s="1"/>
  <c r="L57" i="12"/>
  <c r="L27" i="12"/>
  <c r="M27" i="12"/>
  <c r="Q27" i="12" s="1"/>
  <c r="S27" i="12" s="1"/>
  <c r="U27" i="12" s="1"/>
  <c r="M61" i="12"/>
  <c r="Q61" i="12" s="1"/>
  <c r="S61" i="12" s="1"/>
  <c r="U61" i="12" s="1"/>
  <c r="L61" i="12"/>
  <c r="M42" i="12"/>
  <c r="Q42" i="12" s="1"/>
  <c r="S42" i="12" s="1"/>
  <c r="U42" i="12" s="1"/>
  <c r="L42" i="12"/>
  <c r="L31" i="12"/>
  <c r="M31" i="12"/>
  <c r="Q31" i="12" s="1"/>
  <c r="S31" i="12" s="1"/>
  <c r="U31" i="12" s="1"/>
  <c r="M52" i="12"/>
  <c r="Q52" i="12" s="1"/>
  <c r="S52" i="12" s="1"/>
  <c r="U52" i="12" s="1"/>
  <c r="L52" i="12"/>
  <c r="M56" i="12"/>
  <c r="Q56" i="12" s="1"/>
  <c r="S56" i="12" s="1"/>
  <c r="U56" i="12" s="1"/>
  <c r="L56" i="12"/>
  <c r="M46" i="12"/>
  <c r="Q46" i="12" s="1"/>
  <c r="S46" i="12" s="1"/>
  <c r="U46" i="12" s="1"/>
  <c r="L46" i="12"/>
  <c r="M30" i="12"/>
  <c r="Q30" i="12" s="1"/>
  <c r="S30" i="12" s="1"/>
  <c r="U30" i="12" s="1"/>
  <c r="L30" i="12"/>
  <c r="L26" i="12"/>
  <c r="M26" i="12"/>
  <c r="Q26" i="12" s="1"/>
  <c r="S26" i="12" s="1"/>
  <c r="U26" i="12" s="1"/>
  <c r="M62" i="12"/>
  <c r="Q62" i="12" s="1"/>
  <c r="S62" i="12" s="1"/>
  <c r="U62" i="12" s="1"/>
  <c r="L62" i="12"/>
  <c r="M40" i="12"/>
  <c r="Q40" i="12" s="1"/>
  <c r="S40" i="12" s="1"/>
  <c r="U40" i="12" s="1"/>
  <c r="L40" i="12"/>
  <c r="M43" i="12"/>
  <c r="Q43" i="12" s="1"/>
  <c r="S43" i="12" s="1"/>
  <c r="U43" i="12" s="1"/>
  <c r="L43" i="12"/>
  <c r="M58" i="12"/>
  <c r="Q58" i="12" s="1"/>
  <c r="S58" i="12" s="1"/>
  <c r="U58" i="12" s="1"/>
  <c r="L58" i="12"/>
  <c r="M71" i="12"/>
  <c r="Q71" i="12" s="1"/>
  <c r="S71" i="12" s="1"/>
  <c r="U71" i="12" s="1"/>
  <c r="L71" i="12"/>
  <c r="M37" i="12"/>
  <c r="Q37" i="12" s="1"/>
  <c r="S37" i="12" s="1"/>
  <c r="U37" i="12" s="1"/>
  <c r="M72" i="12"/>
  <c r="Q72" i="12" s="1"/>
  <c r="S72" i="12" s="1"/>
  <c r="U72" i="12" s="1"/>
  <c r="L72" i="12"/>
  <c r="M41" i="12"/>
  <c r="Q41" i="12" s="1"/>
  <c r="S41" i="12" s="1"/>
  <c r="U41" i="12" s="1"/>
  <c r="L41" i="12"/>
  <c r="M54" i="12"/>
  <c r="Q54" i="12" s="1"/>
  <c r="S54" i="12" s="1"/>
  <c r="U54" i="12" s="1"/>
  <c r="L54" i="12"/>
  <c r="M38" i="12"/>
  <c r="Q38" i="12" s="1"/>
  <c r="S38" i="12" s="1"/>
  <c r="U38" i="12" s="1"/>
  <c r="L38" i="12"/>
  <c r="M24" i="12"/>
  <c r="Q24" i="12" s="1"/>
  <c r="S24" i="12" s="1"/>
  <c r="U24" i="12" s="1"/>
  <c r="L24" i="12"/>
  <c r="M51" i="12"/>
  <c r="Q51" i="12" s="1"/>
  <c r="S51" i="12" s="1"/>
  <c r="U51" i="12" s="1"/>
  <c r="L51" i="12"/>
  <c r="L29" i="12"/>
  <c r="M29" i="12"/>
  <c r="Q29" i="12" s="1"/>
  <c r="S29" i="12" s="1"/>
  <c r="U29" i="12" s="1"/>
  <c r="L28" i="12"/>
  <c r="M28" i="12"/>
  <c r="Q28" i="12" s="1"/>
  <c r="S28" i="12" s="1"/>
  <c r="U28" i="12" s="1"/>
  <c r="L39" i="12"/>
  <c r="M39" i="12"/>
  <c r="Q39" i="12" s="1"/>
  <c r="S39" i="12" s="1"/>
  <c r="U39" i="12" s="1"/>
  <c r="M73" i="12"/>
  <c r="Q73" i="12" s="1"/>
  <c r="S73" i="12" s="1"/>
  <c r="U73" i="12" s="1"/>
  <c r="L73" i="12"/>
  <c r="M66" i="12"/>
  <c r="Q66" i="12" s="1"/>
  <c r="S66" i="12" s="1"/>
  <c r="U66" i="12" s="1"/>
  <c r="L66" i="12"/>
  <c r="L33" i="12"/>
  <c r="M33" i="12"/>
  <c r="Q33" i="12" s="1"/>
  <c r="S33" i="12" s="1"/>
  <c r="U33" i="12" s="1"/>
  <c r="L25" i="12"/>
  <c r="M25" i="12"/>
  <c r="Q25" i="12" s="1"/>
  <c r="S25" i="12" s="1"/>
  <c r="U25" i="12" s="1"/>
  <c r="M69" i="12"/>
  <c r="Q69" i="12" s="1"/>
  <c r="S69" i="12" s="1"/>
  <c r="U69" i="12" s="1"/>
  <c r="L69" i="12"/>
  <c r="M50" i="12"/>
  <c r="Q50" i="12" s="1"/>
  <c r="S50" i="12" s="1"/>
  <c r="U50" i="12" s="1"/>
  <c r="L50" i="12"/>
  <c r="M70" i="12"/>
  <c r="Q70" i="12" s="1"/>
  <c r="S70" i="12" s="1"/>
  <c r="U70" i="12" s="1"/>
  <c r="L70" i="12"/>
  <c r="M44" i="12"/>
  <c r="Q44" i="12" s="1"/>
  <c r="S44" i="12" s="1"/>
  <c r="U44" i="12" s="1"/>
  <c r="L44" i="12"/>
  <c r="M59" i="12"/>
  <c r="Q59" i="12" s="1"/>
  <c r="S59" i="12" s="1"/>
  <c r="U59" i="12" s="1"/>
  <c r="L59" i="12"/>
  <c r="L32" i="12"/>
  <c r="M32" i="12"/>
  <c r="Q32" i="12" s="1"/>
  <c r="S32" i="12" s="1"/>
  <c r="U32" i="12" s="1"/>
  <c r="M60" i="12"/>
  <c r="Q60" i="12" s="1"/>
  <c r="S60" i="12" s="1"/>
  <c r="U60" i="12" s="1"/>
  <c r="L60" i="12"/>
  <c r="M64" i="12"/>
  <c r="Q64" i="12" s="1"/>
  <c r="S64" i="12" s="1"/>
  <c r="U64" i="12" s="1"/>
  <c r="L64" i="12"/>
  <c r="M48" i="12"/>
  <c r="Q48" i="12" s="1"/>
  <c r="S48" i="12" s="1"/>
  <c r="U48" i="12" s="1"/>
  <c r="L48" i="12"/>
  <c r="B2" i="8"/>
  <c r="F2" i="8"/>
  <c r="G36" i="15" l="1"/>
  <c r="E36" i="15" s="1"/>
  <c r="M36" i="15" s="1"/>
  <c r="D36" i="15"/>
  <c r="L36" i="15" s="1"/>
  <c r="C36" i="15"/>
  <c r="B37" i="15"/>
  <c r="A38" i="15"/>
  <c r="F37" i="15"/>
  <c r="K35" i="15"/>
  <c r="J35" i="15" s="1"/>
  <c r="H35" i="15"/>
  <c r="N2" i="8"/>
  <c r="I2" i="8"/>
  <c r="B36" i="13"/>
  <c r="F36" i="13"/>
  <c r="A37" i="13"/>
  <c r="K34" i="13"/>
  <c r="J34" i="13" s="1"/>
  <c r="H34" i="13"/>
  <c r="D35" i="13"/>
  <c r="L35" i="13" s="1"/>
  <c r="G35" i="13"/>
  <c r="E35" i="13" s="1"/>
  <c r="M35" i="13" s="1"/>
  <c r="C35" i="13"/>
  <c r="N10" i="12"/>
  <c r="H26" i="8"/>
  <c r="E40" i="8"/>
  <c r="F40" i="8" s="1"/>
  <c r="G40" i="8" s="1"/>
  <c r="E59" i="8"/>
  <c r="I59" i="8" s="1"/>
  <c r="H70" i="8"/>
  <c r="E36" i="8"/>
  <c r="F36" i="8" s="1"/>
  <c r="G36" i="8" s="1"/>
  <c r="E73" i="8"/>
  <c r="F73" i="8" s="1"/>
  <c r="G73" i="8" s="1"/>
  <c r="H69" i="8"/>
  <c r="E3" i="8"/>
  <c r="I3" i="8" s="1"/>
  <c r="H51" i="8"/>
  <c r="H4" i="8"/>
  <c r="H68" i="8"/>
  <c r="H13" i="8"/>
  <c r="H17" i="8"/>
  <c r="H22" i="8"/>
  <c r="H10" i="8"/>
  <c r="H55" i="8"/>
  <c r="H8" i="8"/>
  <c r="H72" i="8"/>
  <c r="E54" i="8"/>
  <c r="I54" i="8" s="1"/>
  <c r="E68" i="8"/>
  <c r="F68" i="8" s="1"/>
  <c r="G68" i="8" s="1"/>
  <c r="E13" i="8"/>
  <c r="F13" i="8" s="1"/>
  <c r="G13" i="8" s="1"/>
  <c r="E20" i="8"/>
  <c r="F20" i="8" s="1"/>
  <c r="G20" i="8" s="1"/>
  <c r="E35" i="8"/>
  <c r="F35" i="8" s="1"/>
  <c r="G35" i="8" s="1"/>
  <c r="E71" i="8"/>
  <c r="F71" i="8" s="1"/>
  <c r="G71" i="8" s="1"/>
  <c r="E72" i="8"/>
  <c r="I72" i="8" s="1"/>
  <c r="E25" i="8"/>
  <c r="I25" i="8" s="1"/>
  <c r="E9" i="8"/>
  <c r="I9" i="8" s="1"/>
  <c r="H12" i="8"/>
  <c r="H9" i="8"/>
  <c r="H21" i="8"/>
  <c r="H30" i="8"/>
  <c r="E48" i="8"/>
  <c r="F48" i="8" s="1"/>
  <c r="G48" i="8" s="1"/>
  <c r="H63" i="8"/>
  <c r="H41" i="8"/>
  <c r="E46" i="8"/>
  <c r="I46" i="8" s="1"/>
  <c r="E5" i="8"/>
  <c r="F5" i="8" s="1"/>
  <c r="G5" i="8" s="1"/>
  <c r="E12" i="8"/>
  <c r="F12" i="8" s="1"/>
  <c r="G12" i="8" s="1"/>
  <c r="E58" i="8"/>
  <c r="I58" i="8" s="1"/>
  <c r="E17" i="8"/>
  <c r="I17" i="8" s="1"/>
  <c r="E15" i="8"/>
  <c r="F15" i="8" s="1"/>
  <c r="G15" i="8" s="1"/>
  <c r="E41" i="8"/>
  <c r="I41" i="8" s="1"/>
  <c r="H5" i="8"/>
  <c r="E43" i="8"/>
  <c r="F43" i="8" s="1"/>
  <c r="G43" i="8" s="1"/>
  <c r="H59" i="8"/>
  <c r="H57" i="8"/>
  <c r="H16" i="8"/>
  <c r="E65" i="8"/>
  <c r="F65" i="8" s="1"/>
  <c r="G65" i="8" s="1"/>
  <c r="E27" i="8"/>
  <c r="F27" i="8" s="1"/>
  <c r="G27" i="8" s="1"/>
  <c r="E67" i="8"/>
  <c r="I67" i="8" s="1"/>
  <c r="H56" i="8"/>
  <c r="E51" i="8"/>
  <c r="I51" i="8" s="1"/>
  <c r="H43" i="8"/>
  <c r="E62" i="8"/>
  <c r="I62" i="8" s="1"/>
  <c r="E10" i="8"/>
  <c r="F10" i="8" s="1"/>
  <c r="G10" i="8" s="1"/>
  <c r="H3" i="8"/>
  <c r="H67" i="8"/>
  <c r="H20" i="8"/>
  <c r="H65" i="8"/>
  <c r="H29" i="8"/>
  <c r="H34" i="8"/>
  <c r="H38" i="8"/>
  <c r="J38" i="8" s="1"/>
  <c r="H7" i="8"/>
  <c r="H71" i="8"/>
  <c r="H24" i="8"/>
  <c r="H2" i="8"/>
  <c r="E38" i="8"/>
  <c r="I38" i="8" s="1"/>
  <c r="E61" i="8"/>
  <c r="F61" i="8" s="1"/>
  <c r="G61" i="8" s="1"/>
  <c r="E31" i="8"/>
  <c r="I31" i="8" s="1"/>
  <c r="E4" i="8"/>
  <c r="I4" i="8" s="1"/>
  <c r="J4" i="8" s="1"/>
  <c r="E19" i="8"/>
  <c r="I19" i="8" s="1"/>
  <c r="E50" i="8"/>
  <c r="I50" i="8" s="1"/>
  <c r="E64" i="8"/>
  <c r="I64" i="8" s="1"/>
  <c r="H49" i="8"/>
  <c r="H36" i="8"/>
  <c r="H45" i="8"/>
  <c r="H54" i="8"/>
  <c r="J54" i="8" s="1"/>
  <c r="E22" i="8"/>
  <c r="I22" i="8" s="1"/>
  <c r="E52" i="8"/>
  <c r="F52" i="8" s="1"/>
  <c r="G52" i="8" s="1"/>
  <c r="H58" i="8"/>
  <c r="H31" i="8"/>
  <c r="H48" i="8"/>
  <c r="E14" i="8"/>
  <c r="I14" i="8" s="1"/>
  <c r="E44" i="8"/>
  <c r="F44" i="8" s="1"/>
  <c r="G44" i="8" s="1"/>
  <c r="E26" i="8"/>
  <c r="F26" i="8" s="1"/>
  <c r="G26" i="8" s="1"/>
  <c r="E32" i="8"/>
  <c r="F32" i="8" s="1"/>
  <c r="G32" i="8" s="1"/>
  <c r="H6" i="8"/>
  <c r="E24" i="8"/>
  <c r="I24" i="8" s="1"/>
  <c r="E29" i="8"/>
  <c r="F29" i="8" s="1"/>
  <c r="G29" i="8" s="1"/>
  <c r="E18" i="8"/>
  <c r="I18" i="8" s="1"/>
  <c r="E16" i="8"/>
  <c r="F16" i="8" s="1"/>
  <c r="G16" i="8" s="1"/>
  <c r="H25" i="8"/>
  <c r="J25" i="8" s="1"/>
  <c r="E28" i="8"/>
  <c r="F28" i="8" s="1"/>
  <c r="G28" i="8" s="1"/>
  <c r="E33" i="8"/>
  <c r="I33" i="8" s="1"/>
  <c r="H11" i="8"/>
  <c r="H33" i="8"/>
  <c r="H28" i="8"/>
  <c r="H18" i="8"/>
  <c r="H37" i="8"/>
  <c r="H50" i="8"/>
  <c r="H46" i="8"/>
  <c r="J46" i="8" s="1"/>
  <c r="H15" i="8"/>
  <c r="H73" i="8"/>
  <c r="H32" i="8"/>
  <c r="E8" i="8"/>
  <c r="I8" i="8" s="1"/>
  <c r="J8" i="8" s="1"/>
  <c r="E30" i="8"/>
  <c r="I30" i="8" s="1"/>
  <c r="E53" i="8"/>
  <c r="F53" i="8" s="1"/>
  <c r="G53" i="8" s="1"/>
  <c r="E60" i="8"/>
  <c r="F60" i="8" s="1"/>
  <c r="G60" i="8" s="1"/>
  <c r="E55" i="8"/>
  <c r="I55" i="8" s="1"/>
  <c r="E11" i="8"/>
  <c r="I11" i="8" s="1"/>
  <c r="E42" i="8"/>
  <c r="I42" i="8" s="1"/>
  <c r="E39" i="8"/>
  <c r="I39" i="8" s="1"/>
  <c r="H19" i="8"/>
  <c r="H42" i="8"/>
  <c r="J42" i="8" s="1"/>
  <c r="H66" i="8"/>
  <c r="H23" i="8"/>
  <c r="H40" i="8"/>
  <c r="E56" i="8"/>
  <c r="I56" i="8" s="1"/>
  <c r="E45" i="8"/>
  <c r="F45" i="8" s="1"/>
  <c r="G45" i="8" s="1"/>
  <c r="E7" i="8"/>
  <c r="I7" i="8" s="1"/>
  <c r="E34" i="8"/>
  <c r="I34" i="8" s="1"/>
  <c r="E57" i="8"/>
  <c r="F57" i="8" s="1"/>
  <c r="G57" i="8" s="1"/>
  <c r="H27" i="8"/>
  <c r="H44" i="8"/>
  <c r="H53" i="8"/>
  <c r="H62" i="8"/>
  <c r="E69" i="8"/>
  <c r="I69" i="8" s="1"/>
  <c r="E47" i="8"/>
  <c r="I47" i="8" s="1"/>
  <c r="E37" i="8"/>
  <c r="F37" i="8" s="1"/>
  <c r="G37" i="8" s="1"/>
  <c r="E70" i="8"/>
  <c r="F70" i="8" s="1"/>
  <c r="G70" i="8" s="1"/>
  <c r="E49" i="8"/>
  <c r="I49" i="8" s="1"/>
  <c r="H35" i="8"/>
  <c r="E66" i="8"/>
  <c r="F66" i="8" s="1"/>
  <c r="G66" i="8" s="1"/>
  <c r="H52" i="8"/>
  <c r="H61" i="8"/>
  <c r="H39" i="8"/>
  <c r="J39" i="8" s="1"/>
  <c r="E6" i="8"/>
  <c r="F6" i="8" s="1"/>
  <c r="G6" i="8" s="1"/>
  <c r="E63" i="8"/>
  <c r="I63" i="8" s="1"/>
  <c r="H60" i="8"/>
  <c r="H14" i="8"/>
  <c r="J14" i="8" s="1"/>
  <c r="H47" i="8"/>
  <c r="H64" i="8"/>
  <c r="E21" i="8"/>
  <c r="F21" i="8" s="1"/>
  <c r="G21" i="8" s="1"/>
  <c r="E23" i="8"/>
  <c r="I23" i="8" s="1"/>
  <c r="G2" i="8"/>
  <c r="F24" i="8"/>
  <c r="G24" i="8" s="1"/>
  <c r="F38" i="8"/>
  <c r="G38" i="8" s="1"/>
  <c r="F3" i="8"/>
  <c r="G3" i="8" s="1"/>
  <c r="F31" i="8"/>
  <c r="G31" i="8" s="1"/>
  <c r="I40" i="8"/>
  <c r="F7" i="8"/>
  <c r="G7" i="8" s="1"/>
  <c r="F67" i="8"/>
  <c r="G67" i="8" s="1"/>
  <c r="I53" i="8"/>
  <c r="F46" i="8"/>
  <c r="G46" i="8" s="1"/>
  <c r="I44" i="8"/>
  <c r="F54" i="8"/>
  <c r="G54" i="8" s="1"/>
  <c r="F25" i="8"/>
  <c r="G25" i="8" s="1"/>
  <c r="F59" i="8"/>
  <c r="G59" i="8" s="1"/>
  <c r="F41" i="8"/>
  <c r="G41" i="8" s="1"/>
  <c r="I45" i="8"/>
  <c r="I26" i="8"/>
  <c r="J26" i="8" s="1"/>
  <c r="F34" i="8"/>
  <c r="G34" i="8" s="1"/>
  <c r="F72" i="8"/>
  <c r="G72" i="8" s="1"/>
  <c r="J72" i="8"/>
  <c r="I16" i="8"/>
  <c r="I29" i="8"/>
  <c r="J18" i="8"/>
  <c r="J67" i="8"/>
  <c r="I43" i="8"/>
  <c r="F14" i="8"/>
  <c r="G14" i="8" s="1"/>
  <c r="I15" i="8"/>
  <c r="I13" i="8"/>
  <c r="J13" i="8" s="1"/>
  <c r="I68" i="8"/>
  <c r="F69" i="8"/>
  <c r="G69" i="8" s="1"/>
  <c r="J41" i="8"/>
  <c r="F18" i="8"/>
  <c r="G18" i="8" s="1"/>
  <c r="I5" i="8"/>
  <c r="J5" i="8" s="1"/>
  <c r="F9" i="8" l="1"/>
  <c r="G9" i="8" s="1"/>
  <c r="J59" i="8"/>
  <c r="M59" i="8" s="1"/>
  <c r="I27" i="8"/>
  <c r="J31" i="8"/>
  <c r="I71" i="8"/>
  <c r="I60" i="8"/>
  <c r="J60" i="8" s="1"/>
  <c r="M60" i="8" s="1"/>
  <c r="F51" i="8"/>
  <c r="G51" i="8" s="1"/>
  <c r="F30" i="8"/>
  <c r="G30" i="8" s="1"/>
  <c r="J68" i="8"/>
  <c r="F64" i="8"/>
  <c r="G64" i="8" s="1"/>
  <c r="J47" i="8"/>
  <c r="L47" i="8" s="1"/>
  <c r="I48" i="8"/>
  <c r="J48" i="8" s="1"/>
  <c r="F39" i="8"/>
  <c r="G39" i="8" s="1"/>
  <c r="F23" i="8"/>
  <c r="G23" i="8" s="1"/>
  <c r="I6" i="8"/>
  <c r="J6" i="8" s="1"/>
  <c r="J3" i="8"/>
  <c r="L3" i="8" s="1"/>
  <c r="J64" i="8"/>
  <c r="J23" i="8"/>
  <c r="M23" i="8" s="1"/>
  <c r="J34" i="8"/>
  <c r="L34" i="8" s="1"/>
  <c r="I61" i="8"/>
  <c r="J61" i="8" s="1"/>
  <c r="I57" i="8"/>
  <c r="J57" i="8" s="1"/>
  <c r="L57" i="8" s="1"/>
  <c r="J56" i="8"/>
  <c r="J44" i="8"/>
  <c r="M44" i="8" s="1"/>
  <c r="F55" i="8"/>
  <c r="G55" i="8" s="1"/>
  <c r="J11" i="8"/>
  <c r="L11" i="8" s="1"/>
  <c r="J16" i="8"/>
  <c r="L16" i="8" s="1"/>
  <c r="I21" i="8"/>
  <c r="I10" i="8"/>
  <c r="F47" i="8"/>
  <c r="G47" i="8" s="1"/>
  <c r="F49" i="8"/>
  <c r="G49" i="8" s="1"/>
  <c r="F42" i="8"/>
  <c r="G42" i="8" s="1"/>
  <c r="I70" i="8"/>
  <c r="J70" i="8" s="1"/>
  <c r="L70" i="8" s="1"/>
  <c r="J2" i="8"/>
  <c r="M2" i="8" s="1"/>
  <c r="J58" i="8"/>
  <c r="M58" i="8" s="1"/>
  <c r="C37" i="15"/>
  <c r="G37" i="15"/>
  <c r="E37" i="15" s="1"/>
  <c r="M37" i="15" s="1"/>
  <c r="D37" i="15"/>
  <c r="L37" i="15" s="1"/>
  <c r="B38" i="15"/>
  <c r="F38" i="15"/>
  <c r="A39" i="15"/>
  <c r="K36" i="15"/>
  <c r="J36" i="15" s="1"/>
  <c r="H36" i="15"/>
  <c r="F62" i="8"/>
  <c r="G62" i="8" s="1"/>
  <c r="I37" i="8"/>
  <c r="F8" i="8"/>
  <c r="G8" i="8" s="1"/>
  <c r="I12" i="8"/>
  <c r="J12" i="8" s="1"/>
  <c r="M12" i="8" s="1"/>
  <c r="I36" i="8"/>
  <c r="J36" i="8" s="1"/>
  <c r="L36" i="8" s="1"/>
  <c r="J17" i="8"/>
  <c r="L17" i="8" s="1"/>
  <c r="J62" i="8"/>
  <c r="L62" i="8" s="1"/>
  <c r="J49" i="8"/>
  <c r="M49" i="8" s="1"/>
  <c r="J63" i="8"/>
  <c r="M63" i="8" s="1"/>
  <c r="J51" i="8"/>
  <c r="L51" i="8" s="1"/>
  <c r="J24" i="8"/>
  <c r="L24" i="8" s="1"/>
  <c r="J50" i="8"/>
  <c r="L50" i="8" s="1"/>
  <c r="J30" i="8"/>
  <c r="L30" i="8" s="1"/>
  <c r="J69" i="8"/>
  <c r="M69" i="8" s="1"/>
  <c r="J19" i="8"/>
  <c r="M19" i="8" s="1"/>
  <c r="J7" i="8"/>
  <c r="L7" i="8" s="1"/>
  <c r="J22" i="8"/>
  <c r="L22" i="8" s="1"/>
  <c r="F4" i="8"/>
  <c r="G4" i="8" s="1"/>
  <c r="J9" i="8"/>
  <c r="L9" i="8" s="1"/>
  <c r="H35" i="13"/>
  <c r="K35" i="13"/>
  <c r="J35" i="13" s="1"/>
  <c r="B37" i="13"/>
  <c r="F37" i="13"/>
  <c r="A38" i="13"/>
  <c r="G36" i="13"/>
  <c r="E36" i="13" s="1"/>
  <c r="M36" i="13" s="1"/>
  <c r="C36" i="13"/>
  <c r="D36" i="13"/>
  <c r="L36" i="13" s="1"/>
  <c r="J33" i="8"/>
  <c r="M33" i="8" s="1"/>
  <c r="J29" i="8"/>
  <c r="L29" i="8" s="1"/>
  <c r="J27" i="8"/>
  <c r="L27" i="8" s="1"/>
  <c r="J45" i="8"/>
  <c r="M45" i="8" s="1"/>
  <c r="L58" i="8"/>
  <c r="L54" i="8"/>
  <c r="M54" i="8"/>
  <c r="L38" i="8"/>
  <c r="M38" i="8"/>
  <c r="L59" i="8"/>
  <c r="L13" i="8"/>
  <c r="M13" i="8"/>
  <c r="L5" i="8"/>
  <c r="M5" i="8"/>
  <c r="L14" i="8"/>
  <c r="M14" i="8"/>
  <c r="L23" i="8"/>
  <c r="L26" i="8"/>
  <c r="M26" i="8"/>
  <c r="J55" i="8"/>
  <c r="L46" i="8"/>
  <c r="M46" i="8"/>
  <c r="M7" i="8"/>
  <c r="L49" i="8"/>
  <c r="L60" i="8"/>
  <c r="L25" i="8"/>
  <c r="M25" i="8"/>
  <c r="L61" i="8"/>
  <c r="M61" i="8"/>
  <c r="L67" i="8"/>
  <c r="M67" i="8"/>
  <c r="L31" i="8"/>
  <c r="M31" i="8"/>
  <c r="L64" i="8"/>
  <c r="M64" i="8"/>
  <c r="M16" i="8"/>
  <c r="L41" i="8"/>
  <c r="M41" i="8"/>
  <c r="L48" i="8"/>
  <c r="M48" i="8"/>
  <c r="L56" i="8"/>
  <c r="M56" i="8"/>
  <c r="L72" i="8"/>
  <c r="M72" i="8"/>
  <c r="L68" i="8"/>
  <c r="M68" i="8"/>
  <c r="L18" i="8"/>
  <c r="M18" i="8"/>
  <c r="M30" i="8"/>
  <c r="L8" i="8"/>
  <c r="M8" i="8"/>
  <c r="L42" i="8"/>
  <c r="M42" i="8"/>
  <c r="L4" i="8"/>
  <c r="M4" i="8"/>
  <c r="L39" i="8"/>
  <c r="M39" i="8"/>
  <c r="J43" i="8"/>
  <c r="J37" i="8"/>
  <c r="L45" i="8"/>
  <c r="J10" i="8"/>
  <c r="I28" i="8"/>
  <c r="J28" i="8" s="1"/>
  <c r="F11" i="8"/>
  <c r="G11" i="8" s="1"/>
  <c r="F33" i="8"/>
  <c r="G33" i="8" s="1"/>
  <c r="J21" i="8"/>
  <c r="F50" i="8"/>
  <c r="G50" i="8" s="1"/>
  <c r="F56" i="8"/>
  <c r="G56" i="8" s="1"/>
  <c r="F17" i="8"/>
  <c r="G17" i="8" s="1"/>
  <c r="F22" i="8"/>
  <c r="G22" i="8" s="1"/>
  <c r="I73" i="8"/>
  <c r="J73" i="8" s="1"/>
  <c r="F58" i="8"/>
  <c r="G58" i="8" s="1"/>
  <c r="I65" i="8"/>
  <c r="J65" i="8" s="1"/>
  <c r="I66" i="8"/>
  <c r="J66" i="8" s="1"/>
  <c r="J40" i="8"/>
  <c r="J71" i="8"/>
  <c r="J15" i="8"/>
  <c r="I20" i="8"/>
  <c r="J20" i="8" s="1"/>
  <c r="F19" i="8"/>
  <c r="G19" i="8" s="1"/>
  <c r="F63" i="8"/>
  <c r="G63" i="8" s="1"/>
  <c r="I52" i="8"/>
  <c r="J52" i="8" s="1"/>
  <c r="I32" i="8"/>
  <c r="J32" i="8" s="1"/>
  <c r="J53" i="8"/>
  <c r="I35" i="8"/>
  <c r="J35" i="8" s="1"/>
  <c r="K3" i="8"/>
  <c r="K20" i="8"/>
  <c r="K13" i="8"/>
  <c r="K21" i="8"/>
  <c r="K45" i="8"/>
  <c r="K6" i="8"/>
  <c r="K14" i="8"/>
  <c r="K38" i="8"/>
  <c r="K70" i="8"/>
  <c r="K7" i="8"/>
  <c r="K31" i="8"/>
  <c r="K63" i="8"/>
  <c r="K71" i="8"/>
  <c r="K24" i="8"/>
  <c r="K56" i="8"/>
  <c r="K64" i="8"/>
  <c r="K43" i="8"/>
  <c r="K17" i="8"/>
  <c r="K25" i="8"/>
  <c r="K49" i="8"/>
  <c r="K19" i="8"/>
  <c r="K44" i="8"/>
  <c r="K26" i="8"/>
  <c r="K58" i="8"/>
  <c r="K66" i="8"/>
  <c r="K35" i="8"/>
  <c r="K68" i="8"/>
  <c r="K9" i="8" l="1"/>
  <c r="K55" i="8"/>
  <c r="K69" i="8"/>
  <c r="K5" i="8"/>
  <c r="K50" i="8"/>
  <c r="K62" i="8"/>
  <c r="K67" i="8"/>
  <c r="K42" i="8"/>
  <c r="K65" i="8"/>
  <c r="K52" i="8"/>
  <c r="K40" i="8"/>
  <c r="K47" i="8"/>
  <c r="K54" i="8"/>
  <c r="K61" i="8"/>
  <c r="K60" i="8"/>
  <c r="M34" i="8"/>
  <c r="K28" i="8"/>
  <c r="K73" i="8"/>
  <c r="K48" i="8"/>
  <c r="K51" i="8"/>
  <c r="K34" i="8"/>
  <c r="K57" i="8"/>
  <c r="K59" i="8"/>
  <c r="K32" i="8"/>
  <c r="K39" i="8"/>
  <c r="K46" i="8"/>
  <c r="K53" i="8"/>
  <c r="K36" i="8"/>
  <c r="K11" i="8"/>
  <c r="K27" i="8"/>
  <c r="K23" i="8"/>
  <c r="K37" i="8"/>
  <c r="K12" i="8"/>
  <c r="L44" i="8"/>
  <c r="L12" i="8"/>
  <c r="M47" i="8"/>
  <c r="K18" i="8"/>
  <c r="K41" i="8"/>
  <c r="K16" i="8"/>
  <c r="K30" i="8"/>
  <c r="K2" i="8"/>
  <c r="K10" i="8"/>
  <c r="K33" i="8"/>
  <c r="K72" i="8"/>
  <c r="K8" i="8"/>
  <c r="K15" i="8"/>
  <c r="K22" i="8"/>
  <c r="K29" i="8"/>
  <c r="K4" i="8"/>
  <c r="M70" i="8"/>
  <c r="M3" i="8"/>
  <c r="M36" i="8"/>
  <c r="M27" i="8"/>
  <c r="M11" i="8"/>
  <c r="M17" i="8"/>
  <c r="M50" i="8"/>
  <c r="L33" i="8"/>
  <c r="M9" i="8"/>
  <c r="L63" i="8"/>
  <c r="M51" i="8"/>
  <c r="M57" i="8"/>
  <c r="M22" i="8"/>
  <c r="L69" i="8"/>
  <c r="M24" i="8"/>
  <c r="A40" i="15"/>
  <c r="F39" i="15"/>
  <c r="B39" i="15"/>
  <c r="D38" i="15"/>
  <c r="L38" i="15" s="1"/>
  <c r="C38" i="15"/>
  <c r="G38" i="15"/>
  <c r="E38" i="15" s="1"/>
  <c r="M38" i="15" s="1"/>
  <c r="H37" i="15"/>
  <c r="K37" i="15"/>
  <c r="J37" i="15" s="1"/>
  <c r="M62" i="8"/>
  <c r="L19" i="8"/>
  <c r="M29" i="8"/>
  <c r="F38" i="13"/>
  <c r="A39" i="13"/>
  <c r="B38" i="13"/>
  <c r="C37" i="13"/>
  <c r="D37" i="13"/>
  <c r="L37" i="13" s="1"/>
  <c r="G37" i="13"/>
  <c r="E37" i="13" s="1"/>
  <c r="M37" i="13" s="1"/>
  <c r="H36" i="13"/>
  <c r="K36" i="13"/>
  <c r="J36" i="13" s="1"/>
  <c r="L73" i="8"/>
  <c r="M73" i="8"/>
  <c r="L28" i="8"/>
  <c r="M28" i="8"/>
  <c r="L6" i="8"/>
  <c r="M6" i="8"/>
  <c r="L10" i="8"/>
  <c r="M10" i="8"/>
  <c r="L15" i="8"/>
  <c r="M15" i="8"/>
  <c r="L35" i="8"/>
  <c r="M35" i="8"/>
  <c r="L55" i="8"/>
  <c r="M55" i="8"/>
  <c r="L20" i="8"/>
  <c r="M20" i="8"/>
  <c r="L53" i="8"/>
  <c r="M53" i="8"/>
  <c r="L40" i="8"/>
  <c r="M40" i="8"/>
  <c r="L37" i="8"/>
  <c r="M37" i="8"/>
  <c r="L32" i="8"/>
  <c r="M32" i="8"/>
  <c r="L66" i="8"/>
  <c r="M66" i="8"/>
  <c r="L21" i="8"/>
  <c r="M21" i="8"/>
  <c r="L43" i="8"/>
  <c r="M43" i="8"/>
  <c r="L52" i="8"/>
  <c r="M52" i="8"/>
  <c r="L65" i="8"/>
  <c r="M65" i="8"/>
  <c r="L71" i="8"/>
  <c r="M71" i="8"/>
  <c r="I267" i="5"/>
  <c r="I268" i="5" s="1"/>
  <c r="J267" i="5"/>
  <c r="M267" i="5"/>
  <c r="J273" i="3"/>
  <c r="J254" i="3"/>
  <c r="J255" i="3"/>
  <c r="N255" i="3" s="1"/>
  <c r="J218" i="3"/>
  <c r="N218" i="3"/>
  <c r="J219" i="3"/>
  <c r="N219" i="3" s="1"/>
  <c r="W26" i="1"/>
  <c r="K38" i="15" l="1"/>
  <c r="J38" i="15" s="1"/>
  <c r="H38" i="15"/>
  <c r="G39" i="15"/>
  <c r="E39" i="15" s="1"/>
  <c r="M39" i="15" s="1"/>
  <c r="D39" i="15"/>
  <c r="L39" i="15" s="1"/>
  <c r="C39" i="15"/>
  <c r="B40" i="15"/>
  <c r="A41" i="15"/>
  <c r="F40" i="15"/>
  <c r="K37" i="13"/>
  <c r="J37" i="13" s="1"/>
  <c r="H37" i="13"/>
  <c r="B39" i="13"/>
  <c r="A40" i="13"/>
  <c r="F39" i="13"/>
  <c r="G38" i="13"/>
  <c r="E38" i="13" s="1"/>
  <c r="M38" i="13" s="1"/>
  <c r="C38" i="13"/>
  <c r="D38" i="13"/>
  <c r="L38" i="13" s="1"/>
  <c r="M268" i="5"/>
  <c r="I269" i="5"/>
  <c r="J268" i="5"/>
  <c r="J274" i="3"/>
  <c r="N273" i="3"/>
  <c r="N254" i="3"/>
  <c r="J256" i="3"/>
  <c r="J220" i="3"/>
  <c r="A42" i="15" l="1"/>
  <c r="F41" i="15"/>
  <c r="B41" i="15"/>
  <c r="C40" i="15"/>
  <c r="G40" i="15"/>
  <c r="E40" i="15" s="1"/>
  <c r="M40" i="15" s="1"/>
  <c r="D40" i="15"/>
  <c r="L40" i="15" s="1"/>
  <c r="H39" i="15"/>
  <c r="K39" i="15"/>
  <c r="J39" i="15" s="1"/>
  <c r="K38" i="13"/>
  <c r="J38" i="13" s="1"/>
  <c r="H38" i="13"/>
  <c r="F40" i="13"/>
  <c r="A41" i="13"/>
  <c r="B40" i="13"/>
  <c r="C39" i="13"/>
  <c r="D39" i="13"/>
  <c r="L39" i="13" s="1"/>
  <c r="G39" i="13"/>
  <c r="E39" i="13" s="1"/>
  <c r="M39" i="13" s="1"/>
  <c r="J269" i="5"/>
  <c r="M269" i="5"/>
  <c r="I270" i="5"/>
  <c r="J275" i="3"/>
  <c r="N274" i="3"/>
  <c r="J257" i="3"/>
  <c r="N256" i="3"/>
  <c r="N220" i="3"/>
  <c r="J221" i="3"/>
  <c r="I53" i="6"/>
  <c r="K40" i="15" l="1"/>
  <c r="J40" i="15" s="1"/>
  <c r="H40" i="15"/>
  <c r="D41" i="15"/>
  <c r="L41" i="15" s="1"/>
  <c r="C41" i="15"/>
  <c r="G41" i="15"/>
  <c r="E41" i="15" s="1"/>
  <c r="M41" i="15" s="1"/>
  <c r="B42" i="15"/>
  <c r="A43" i="15"/>
  <c r="F42" i="15"/>
  <c r="F41" i="13"/>
  <c r="B41" i="13"/>
  <c r="A42" i="13"/>
  <c r="K39" i="13"/>
  <c r="J39" i="13" s="1"/>
  <c r="H39" i="13"/>
  <c r="D40" i="13"/>
  <c r="L40" i="13" s="1"/>
  <c r="C40" i="13"/>
  <c r="G40" i="13"/>
  <c r="E40" i="13" s="1"/>
  <c r="M40" i="13" s="1"/>
  <c r="J270" i="5"/>
  <c r="M270" i="5"/>
  <c r="I271" i="5"/>
  <c r="N275" i="3"/>
  <c r="J276" i="3"/>
  <c r="J258" i="3"/>
  <c r="N257" i="3"/>
  <c r="N221" i="3"/>
  <c r="J222" i="3"/>
  <c r="B52" i="1"/>
  <c r="D63" i="1" s="1"/>
  <c r="E63" i="1" s="1"/>
  <c r="B61" i="1" s="1"/>
  <c r="G42" i="15" l="1"/>
  <c r="E42" i="15" s="1"/>
  <c r="M42" i="15" s="1"/>
  <c r="D42" i="15"/>
  <c r="L42" i="15" s="1"/>
  <c r="C42" i="15"/>
  <c r="B43" i="15"/>
  <c r="A44" i="15"/>
  <c r="F43" i="15"/>
  <c r="K41" i="15"/>
  <c r="J41" i="15" s="1"/>
  <c r="H41" i="15"/>
  <c r="K40" i="13"/>
  <c r="J40" i="13" s="1"/>
  <c r="H40" i="13"/>
  <c r="B42" i="13"/>
  <c r="F42" i="13"/>
  <c r="A43" i="13"/>
  <c r="G41" i="13"/>
  <c r="E41" i="13" s="1"/>
  <c r="M41" i="13" s="1"/>
  <c r="D41" i="13"/>
  <c r="L41" i="13" s="1"/>
  <c r="C41" i="13"/>
  <c r="I272" i="5"/>
  <c r="M271" i="5"/>
  <c r="J271" i="5"/>
  <c r="N276" i="3"/>
  <c r="J277" i="3"/>
  <c r="J259" i="3"/>
  <c r="N258" i="3"/>
  <c r="J223" i="3"/>
  <c r="N222" i="3"/>
  <c r="K54" i="4"/>
  <c r="L54" i="4" s="1"/>
  <c r="O54" i="4" s="1"/>
  <c r="F77" i="2"/>
  <c r="G77" i="2" s="1"/>
  <c r="T77" i="2"/>
  <c r="T78" i="2" s="1"/>
  <c r="T79" i="2" s="1"/>
  <c r="T80" i="2" s="1"/>
  <c r="T81" i="2" s="1"/>
  <c r="T82" i="2" s="1"/>
  <c r="T83" i="2" s="1"/>
  <c r="T84" i="2" s="1"/>
  <c r="T85" i="2" s="1"/>
  <c r="T86" i="2" s="1"/>
  <c r="T87" i="2" s="1"/>
  <c r="T88" i="2" s="1"/>
  <c r="T89" i="2" s="1"/>
  <c r="T90" i="2" s="1"/>
  <c r="T91" i="2" s="1"/>
  <c r="T92" i="2" s="1"/>
  <c r="T93" i="2" s="1"/>
  <c r="T94" i="2" s="1"/>
  <c r="T95" i="2" s="1"/>
  <c r="T96" i="2" s="1"/>
  <c r="T97" i="2" s="1"/>
  <c r="T98" i="2" s="1"/>
  <c r="T99" i="2" s="1"/>
  <c r="T100" i="2"/>
  <c r="T101" i="2" s="1"/>
  <c r="T102" i="2" s="1"/>
  <c r="T103" i="2" s="1"/>
  <c r="T104" i="2" s="1"/>
  <c r="T105" i="2" s="1"/>
  <c r="T106" i="2" s="1"/>
  <c r="T107" i="2" s="1"/>
  <c r="T108" i="2" s="1"/>
  <c r="T109" i="2" s="1"/>
  <c r="T110" i="2" s="1"/>
  <c r="T111" i="2" s="1"/>
  <c r="T112" i="2" s="1"/>
  <c r="T113" i="2" s="1"/>
  <c r="T114" i="2" s="1"/>
  <c r="T115" i="2" s="1"/>
  <c r="T116" i="2" s="1"/>
  <c r="T117" i="2" s="1"/>
  <c r="T118" i="2" s="1"/>
  <c r="T119" i="2" s="1"/>
  <c r="T120" i="2" s="1"/>
  <c r="T121" i="2" s="1"/>
  <c r="T122" i="2" s="1"/>
  <c r="T123" i="2" s="1"/>
  <c r="T124" i="2" s="1"/>
  <c r="T125" i="2" s="1"/>
  <c r="T126" i="2" s="1"/>
  <c r="T127" i="2" s="1"/>
  <c r="T128" i="2" s="1"/>
  <c r="T129" i="2" s="1"/>
  <c r="T130" i="2" s="1"/>
  <c r="T131" i="2" s="1"/>
  <c r="T132" i="2" s="1"/>
  <c r="T133" i="2" s="1"/>
  <c r="T134" i="2" s="1"/>
  <c r="T135" i="2" s="1"/>
  <c r="T136" i="2" s="1"/>
  <c r="T137" i="2" s="1"/>
  <c r="T138" i="2" s="1"/>
  <c r="T139" i="2" s="1"/>
  <c r="T140" i="2" s="1"/>
  <c r="T141" i="2" s="1"/>
  <c r="T142" i="2" s="1"/>
  <c r="T143" i="2" s="1"/>
  <c r="T144" i="2" s="1"/>
  <c r="T145" i="2" s="1"/>
  <c r="T146" i="2" s="1"/>
  <c r="T147" i="2" s="1"/>
  <c r="T148" i="2" s="1"/>
  <c r="T149" i="2" s="1"/>
  <c r="T150" i="2" s="1"/>
  <c r="T151" i="2" s="1"/>
  <c r="T152" i="2" s="1"/>
  <c r="T153" i="2" s="1"/>
  <c r="T154" i="2" s="1"/>
  <c r="T155" i="2" s="1"/>
  <c r="T156" i="2" s="1"/>
  <c r="T157" i="2" s="1"/>
  <c r="T158" i="2" s="1"/>
  <c r="T159" i="2" s="1"/>
  <c r="T160" i="2" s="1"/>
  <c r="T161" i="2" s="1"/>
  <c r="T162" i="2"/>
  <c r="T163" i="2" s="1"/>
  <c r="T164" i="2" s="1"/>
  <c r="T165" i="2" s="1"/>
  <c r="T166" i="2" s="1"/>
  <c r="T167" i="2" s="1"/>
  <c r="T168" i="2" s="1"/>
  <c r="T169" i="2" s="1"/>
  <c r="T170" i="2" s="1"/>
  <c r="T171" i="2" s="1"/>
  <c r="T172" i="2" s="1"/>
  <c r="T173" i="2" s="1"/>
  <c r="T174" i="2" s="1"/>
  <c r="T175" i="2" s="1"/>
  <c r="T176" i="2" s="1"/>
  <c r="T177" i="2" s="1"/>
  <c r="T178" i="2" s="1"/>
  <c r="T179" i="2" s="1"/>
  <c r="T180" i="2" s="1"/>
  <c r="T181" i="2" s="1"/>
  <c r="T182" i="2" s="1"/>
  <c r="T183" i="2" s="1"/>
  <c r="T184" i="2" s="1"/>
  <c r="T185" i="2" s="1"/>
  <c r="T186" i="2" s="1"/>
  <c r="T187" i="2" s="1"/>
  <c r="T188" i="2" s="1"/>
  <c r="T189" i="2" s="1"/>
  <c r="T190" i="2" s="1"/>
  <c r="T191" i="2"/>
  <c r="T192" i="2" s="1"/>
  <c r="T193" i="2" s="1"/>
  <c r="T194" i="2" s="1"/>
  <c r="T195" i="2" s="1"/>
  <c r="T196" i="2" s="1"/>
  <c r="T197" i="2" s="1"/>
  <c r="T198" i="2" s="1"/>
  <c r="T199" i="2" s="1"/>
  <c r="T200" i="2" s="1"/>
  <c r="T201" i="2" s="1"/>
  <c r="T202" i="2" s="1"/>
  <c r="T203" i="2" s="1"/>
  <c r="T204" i="2" s="1"/>
  <c r="T205" i="2" s="1"/>
  <c r="T206" i="2" s="1"/>
  <c r="T207" i="2" s="1"/>
  <c r="T208" i="2" s="1"/>
  <c r="T209" i="2" s="1"/>
  <c r="T210" i="2" s="1"/>
  <c r="T211" i="2" s="1"/>
  <c r="T212" i="2" s="1"/>
  <c r="T213" i="2" s="1"/>
  <c r="T214" i="2" s="1"/>
  <c r="T215" i="2" s="1"/>
  <c r="T216" i="2" s="1"/>
  <c r="T217" i="2" s="1"/>
  <c r="T218" i="2" s="1"/>
  <c r="T219" i="2" s="1"/>
  <c r="T220" i="2" s="1"/>
  <c r="T221" i="2" s="1"/>
  <c r="T222" i="2" s="1"/>
  <c r="T223" i="2" s="1"/>
  <c r="T224" i="2" s="1"/>
  <c r="T225" i="2" s="1"/>
  <c r="T226" i="2" s="1"/>
  <c r="T227" i="2" s="1"/>
  <c r="T228" i="2" s="1"/>
  <c r="T229" i="2" s="1"/>
  <c r="T230" i="2" s="1"/>
  <c r="T231" i="2" s="1"/>
  <c r="T232" i="2" s="1"/>
  <c r="T233" i="2" s="1"/>
  <c r="T234" i="2" s="1"/>
  <c r="T235" i="2" s="1"/>
  <c r="T236" i="2" s="1"/>
  <c r="T237" i="2" s="1"/>
  <c r="T238" i="2" s="1"/>
  <c r="T239" i="2" s="1"/>
  <c r="T240" i="2" s="1"/>
  <c r="T241" i="2" s="1"/>
  <c r="T242" i="2" s="1"/>
  <c r="T243" i="2" s="1"/>
  <c r="T244" i="2" s="1"/>
  <c r="T245" i="2" s="1"/>
  <c r="T246" i="2" s="1"/>
  <c r="T247" i="2" s="1"/>
  <c r="T248" i="2" s="1"/>
  <c r="T249" i="2" s="1"/>
  <c r="T250" i="2" s="1"/>
  <c r="T251" i="2" s="1"/>
  <c r="T252" i="2" s="1"/>
  <c r="T253" i="2" s="1"/>
  <c r="T254" i="2" s="1"/>
  <c r="T255" i="2" s="1"/>
  <c r="T256" i="2" s="1"/>
  <c r="T257" i="2" s="1"/>
  <c r="T258" i="2" s="1"/>
  <c r="T259" i="2" s="1"/>
  <c r="T260" i="2" s="1"/>
  <c r="T261" i="2" s="1"/>
  <c r="T262" i="2" s="1"/>
  <c r="T263" i="2" s="1"/>
  <c r="T264" i="2" s="1"/>
  <c r="T265" i="2" s="1"/>
  <c r="T266" i="2" s="1"/>
  <c r="T267" i="2" s="1"/>
  <c r="T268" i="2" s="1"/>
  <c r="T269" i="2" s="1"/>
  <c r="T270" i="2" s="1"/>
  <c r="T271" i="2" s="1"/>
  <c r="T272" i="2" s="1"/>
  <c r="T273" i="2" s="1"/>
  <c r="T274" i="2" s="1"/>
  <c r="T275" i="2" s="1"/>
  <c r="T276" i="2" s="1"/>
  <c r="T277" i="2" s="1"/>
  <c r="T278" i="2" s="1"/>
  <c r="T279" i="2" s="1"/>
  <c r="T280" i="2" s="1"/>
  <c r="T281" i="2" s="1"/>
  <c r="T282" i="2" s="1"/>
  <c r="T283" i="2" s="1"/>
  <c r="T284" i="2" s="1"/>
  <c r="T285" i="2" s="1"/>
  <c r="T286" i="2" s="1"/>
  <c r="T287" i="2" s="1"/>
  <c r="T288" i="2" s="1"/>
  <c r="T289" i="2" s="1"/>
  <c r="T290" i="2" s="1"/>
  <c r="T291" i="2" s="1"/>
  <c r="T292" i="2" s="1"/>
  <c r="T293" i="2" s="1"/>
  <c r="T294" i="2" s="1"/>
  <c r="T295" i="2" s="1"/>
  <c r="T296" i="2" s="1"/>
  <c r="T297" i="2" s="1"/>
  <c r="T298" i="2" s="1"/>
  <c r="T299" i="2" s="1"/>
  <c r="T300" i="2" s="1"/>
  <c r="T301" i="2" s="1"/>
  <c r="T302" i="2" s="1"/>
  <c r="T303" i="2" s="1"/>
  <c r="T304" i="2" s="1"/>
  <c r="T305" i="2" s="1"/>
  <c r="T306" i="2" s="1"/>
  <c r="T307" i="2" s="1"/>
  <c r="T308" i="2" s="1"/>
  <c r="T309" i="2" s="1"/>
  <c r="T310" i="2" s="1"/>
  <c r="T311" i="2" s="1"/>
  <c r="T312" i="2" s="1"/>
  <c r="T313" i="2" s="1"/>
  <c r="T314" i="2" s="1"/>
  <c r="T315" i="2" s="1"/>
  <c r="T316" i="2" s="1"/>
  <c r="T317" i="2" s="1"/>
  <c r="T318" i="2" s="1"/>
  <c r="T319" i="2" s="1"/>
  <c r="T320" i="2" s="1"/>
  <c r="T321" i="2" s="1"/>
  <c r="T322" i="2" s="1"/>
  <c r="T323" i="2" s="1"/>
  <c r="T324" i="2" s="1"/>
  <c r="T325" i="2" s="1"/>
  <c r="T326" i="2" s="1"/>
  <c r="T327" i="2" s="1"/>
  <c r="T328" i="2" s="1"/>
  <c r="T329" i="2" s="1"/>
  <c r="T330" i="2" s="1"/>
  <c r="T331" i="2" s="1"/>
  <c r="T332" i="2" s="1"/>
  <c r="T333" i="2" s="1"/>
  <c r="T334" i="2" s="1"/>
  <c r="T335" i="2" s="1"/>
  <c r="T336" i="2" s="1"/>
  <c r="T337" i="2" s="1"/>
  <c r="T338" i="2" s="1"/>
  <c r="T339" i="2" s="1"/>
  <c r="F54" i="2"/>
  <c r="K54" i="2" s="1"/>
  <c r="O54" i="2" s="1"/>
  <c r="G54" i="2"/>
  <c r="T54" i="2"/>
  <c r="T55" i="2"/>
  <c r="T56" i="2" s="1"/>
  <c r="T57" i="2" s="1"/>
  <c r="T58" i="2" s="1"/>
  <c r="T59" i="2" s="1"/>
  <c r="T60" i="2" s="1"/>
  <c r="T61" i="2" s="1"/>
  <c r="T62" i="2" s="1"/>
  <c r="T63" i="2" s="1"/>
  <c r="T64" i="2" s="1"/>
  <c r="T65" i="2" s="1"/>
  <c r="T66" i="2" s="1"/>
  <c r="T67" i="2" s="1"/>
  <c r="T68" i="2" s="1"/>
  <c r="T69" i="2" s="1"/>
  <c r="T70" i="2" s="1"/>
  <c r="T71" i="2" s="1"/>
  <c r="T72" i="2" s="1"/>
  <c r="T73" i="2" s="1"/>
  <c r="T74" i="2" s="1"/>
  <c r="T75" i="2" s="1"/>
  <c r="T76" i="2" s="1"/>
  <c r="J54" i="4"/>
  <c r="N54" i="4"/>
  <c r="J55" i="4"/>
  <c r="I76" i="7"/>
  <c r="M76" i="7"/>
  <c r="I77" i="7"/>
  <c r="I54" i="7"/>
  <c r="M54" i="7"/>
  <c r="I55" i="7"/>
  <c r="M55" i="7" s="1"/>
  <c r="I158" i="6"/>
  <c r="J158" i="6"/>
  <c r="M158" i="6"/>
  <c r="I159" i="6"/>
  <c r="I62" i="6"/>
  <c r="J62" i="6" s="1"/>
  <c r="M62" i="6"/>
  <c r="I63" i="6"/>
  <c r="M63" i="6" s="1"/>
  <c r="J63" i="6"/>
  <c r="I54" i="6"/>
  <c r="J54" i="6" s="1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103" i="5"/>
  <c r="M104" i="5"/>
  <c r="M105" i="5"/>
  <c r="M106" i="5"/>
  <c r="M107" i="5"/>
  <c r="M108" i="5"/>
  <c r="M109" i="5"/>
  <c r="M110" i="5"/>
  <c r="M111" i="5"/>
  <c r="M112" i="5"/>
  <c r="M113" i="5"/>
  <c r="M114" i="5"/>
  <c r="M115" i="5"/>
  <c r="M116" i="5"/>
  <c r="M117" i="5"/>
  <c r="M118" i="5"/>
  <c r="M119" i="5"/>
  <c r="M120" i="5"/>
  <c r="M121" i="5"/>
  <c r="M122" i="5"/>
  <c r="M123" i="5"/>
  <c r="M124" i="5"/>
  <c r="M125" i="5"/>
  <c r="M126" i="5"/>
  <c r="M127" i="5"/>
  <c r="M128" i="5"/>
  <c r="M129" i="5"/>
  <c r="M130" i="5"/>
  <c r="M131" i="5"/>
  <c r="M132" i="5"/>
  <c r="M133" i="5"/>
  <c r="M134" i="5"/>
  <c r="M135" i="5"/>
  <c r="M136" i="5"/>
  <c r="M137" i="5"/>
  <c r="M138" i="5"/>
  <c r="M139" i="5"/>
  <c r="M140" i="5"/>
  <c r="M141" i="5"/>
  <c r="M142" i="5"/>
  <c r="M143" i="5"/>
  <c r="M144" i="5"/>
  <c r="M145" i="5"/>
  <c r="M146" i="5"/>
  <c r="M147" i="5"/>
  <c r="M148" i="5"/>
  <c r="M149" i="5"/>
  <c r="M150" i="5"/>
  <c r="M151" i="5"/>
  <c r="M152" i="5"/>
  <c r="M153" i="5"/>
  <c r="M154" i="5"/>
  <c r="M155" i="5"/>
  <c r="M156" i="5"/>
  <c r="M157" i="5"/>
  <c r="M158" i="5"/>
  <c r="M159" i="5"/>
  <c r="M160" i="5"/>
  <c r="M161" i="5"/>
  <c r="M162" i="5"/>
  <c r="M163" i="5"/>
  <c r="M164" i="5"/>
  <c r="M165" i="5"/>
  <c r="M166" i="5"/>
  <c r="M167" i="5"/>
  <c r="M168" i="5"/>
  <c r="M169" i="5"/>
  <c r="M170" i="5"/>
  <c r="M171" i="5"/>
  <c r="M172" i="5"/>
  <c r="M173" i="5"/>
  <c r="M174" i="5"/>
  <c r="M175" i="5"/>
  <c r="M176" i="5"/>
  <c r="M177" i="5"/>
  <c r="M178" i="5"/>
  <c r="M179" i="5"/>
  <c r="M180" i="5"/>
  <c r="M181" i="5"/>
  <c r="M182" i="5"/>
  <c r="M183" i="5"/>
  <c r="M184" i="5"/>
  <c r="M185" i="5"/>
  <c r="M186" i="5"/>
  <c r="M187" i="5"/>
  <c r="M188" i="5"/>
  <c r="M189" i="5"/>
  <c r="M190" i="5"/>
  <c r="M191" i="5"/>
  <c r="M192" i="5"/>
  <c r="M193" i="5"/>
  <c r="M194" i="5"/>
  <c r="M195" i="5"/>
  <c r="M196" i="5"/>
  <c r="M197" i="5"/>
  <c r="M198" i="5"/>
  <c r="M199" i="5"/>
  <c r="M200" i="5"/>
  <c r="M201" i="5"/>
  <c r="M202" i="5"/>
  <c r="M203" i="5"/>
  <c r="M204" i="5"/>
  <c r="M205" i="5"/>
  <c r="M206" i="5"/>
  <c r="M207" i="5"/>
  <c r="M208" i="5"/>
  <c r="M209" i="5"/>
  <c r="M210" i="5"/>
  <c r="M211" i="5"/>
  <c r="M212" i="5"/>
  <c r="M213" i="5"/>
  <c r="M214" i="5"/>
  <c r="M215" i="5"/>
  <c r="M216" i="5"/>
  <c r="M217" i="5"/>
  <c r="M218" i="5"/>
  <c r="M219" i="5"/>
  <c r="M220" i="5"/>
  <c r="M221" i="5"/>
  <c r="M222" i="5"/>
  <c r="M223" i="5"/>
  <c r="M224" i="5"/>
  <c r="M225" i="5"/>
  <c r="M226" i="5"/>
  <c r="M227" i="5"/>
  <c r="M228" i="5"/>
  <c r="M229" i="5"/>
  <c r="M230" i="5"/>
  <c r="M231" i="5"/>
  <c r="M232" i="5"/>
  <c r="M233" i="5"/>
  <c r="M234" i="5"/>
  <c r="M235" i="5"/>
  <c r="M236" i="5"/>
  <c r="M237" i="5"/>
  <c r="M238" i="5"/>
  <c r="M239" i="5"/>
  <c r="M240" i="5"/>
  <c r="M241" i="5"/>
  <c r="M242" i="5"/>
  <c r="M243" i="5"/>
  <c r="M244" i="5"/>
  <c r="M245" i="5"/>
  <c r="M246" i="5"/>
  <c r="M247" i="5"/>
  <c r="M248" i="5"/>
  <c r="M249" i="5"/>
  <c r="M250" i="5"/>
  <c r="M251" i="5"/>
  <c r="M252" i="5"/>
  <c r="M253" i="5"/>
  <c r="M254" i="5"/>
  <c r="M255" i="5"/>
  <c r="M256" i="5"/>
  <c r="M257" i="5"/>
  <c r="M258" i="5"/>
  <c r="M259" i="5"/>
  <c r="M260" i="5"/>
  <c r="M261" i="5"/>
  <c r="M262" i="5"/>
  <c r="M263" i="5"/>
  <c r="M264" i="5"/>
  <c r="M265" i="5"/>
  <c r="M266" i="5"/>
  <c r="I107" i="5"/>
  <c r="I108" i="5" s="1"/>
  <c r="I109" i="5" s="1"/>
  <c r="I110" i="5" s="1"/>
  <c r="I111" i="5" s="1"/>
  <c r="I112" i="5" s="1"/>
  <c r="I113" i="5" s="1"/>
  <c r="I114" i="5" s="1"/>
  <c r="I115" i="5" s="1"/>
  <c r="I116" i="5" s="1"/>
  <c r="I117" i="5" s="1"/>
  <c r="I118" i="5" s="1"/>
  <c r="I119" i="5" s="1"/>
  <c r="I120" i="5" s="1"/>
  <c r="I121" i="5" s="1"/>
  <c r="I122" i="5" s="1"/>
  <c r="I123" i="5" s="1"/>
  <c r="I124" i="5" s="1"/>
  <c r="I125" i="5" s="1"/>
  <c r="I126" i="5" s="1"/>
  <c r="I127" i="5" s="1"/>
  <c r="I128" i="5" s="1"/>
  <c r="I129" i="5" s="1"/>
  <c r="I130" i="5" s="1"/>
  <c r="I131" i="5" s="1"/>
  <c r="I132" i="5" s="1"/>
  <c r="I133" i="5" s="1"/>
  <c r="I134" i="5" s="1"/>
  <c r="I135" i="5" s="1"/>
  <c r="I136" i="5" s="1"/>
  <c r="I137" i="5" s="1"/>
  <c r="I138" i="5" s="1"/>
  <c r="I139" i="5" s="1"/>
  <c r="I140" i="5" s="1"/>
  <c r="I141" i="5" s="1"/>
  <c r="I142" i="5" s="1"/>
  <c r="I143" i="5" s="1"/>
  <c r="I144" i="5" s="1"/>
  <c r="I145" i="5" s="1"/>
  <c r="I146" i="5" s="1"/>
  <c r="I147" i="5" s="1"/>
  <c r="I148" i="5" s="1"/>
  <c r="I149" i="5" s="1"/>
  <c r="I150" i="5" s="1"/>
  <c r="I151" i="5" s="1"/>
  <c r="I152" i="5" s="1"/>
  <c r="I153" i="5" s="1"/>
  <c r="I154" i="5" s="1"/>
  <c r="I155" i="5" s="1"/>
  <c r="I156" i="5" s="1"/>
  <c r="I157" i="5" s="1"/>
  <c r="I158" i="5" s="1"/>
  <c r="I159" i="5" s="1"/>
  <c r="I160" i="5" s="1"/>
  <c r="I161" i="5" s="1"/>
  <c r="I162" i="5" s="1"/>
  <c r="I163" i="5" s="1"/>
  <c r="I164" i="5" s="1"/>
  <c r="I165" i="5" s="1"/>
  <c r="I166" i="5" s="1"/>
  <c r="I167" i="5" s="1"/>
  <c r="I168" i="5" s="1"/>
  <c r="I169" i="5" s="1"/>
  <c r="I170" i="5" s="1"/>
  <c r="I171" i="5" s="1"/>
  <c r="I172" i="5" s="1"/>
  <c r="I173" i="5" s="1"/>
  <c r="I174" i="5" s="1"/>
  <c r="I175" i="5" s="1"/>
  <c r="I176" i="5" s="1"/>
  <c r="I177" i="5" s="1"/>
  <c r="I178" i="5" s="1"/>
  <c r="I179" i="5" s="1"/>
  <c r="I180" i="5" s="1"/>
  <c r="I181" i="5" s="1"/>
  <c r="I182" i="5" s="1"/>
  <c r="I183" i="5" s="1"/>
  <c r="I184" i="5" s="1"/>
  <c r="I185" i="5" s="1"/>
  <c r="I186" i="5" s="1"/>
  <c r="I187" i="5" s="1"/>
  <c r="I188" i="5" s="1"/>
  <c r="I189" i="5" s="1"/>
  <c r="I190" i="5" s="1"/>
  <c r="I191" i="5" s="1"/>
  <c r="I192" i="5" s="1"/>
  <c r="I193" i="5" s="1"/>
  <c r="I194" i="5" s="1"/>
  <c r="I195" i="5" s="1"/>
  <c r="I196" i="5" s="1"/>
  <c r="I197" i="5" s="1"/>
  <c r="I198" i="5" s="1"/>
  <c r="I199" i="5" s="1"/>
  <c r="I200" i="5" s="1"/>
  <c r="I201" i="5" s="1"/>
  <c r="I202" i="5" s="1"/>
  <c r="I203" i="5" s="1"/>
  <c r="I204" i="5" s="1"/>
  <c r="I205" i="5" s="1"/>
  <c r="I206" i="5" s="1"/>
  <c r="I207" i="5" s="1"/>
  <c r="I208" i="5" s="1"/>
  <c r="I209" i="5" s="1"/>
  <c r="I210" i="5" s="1"/>
  <c r="I211" i="5" s="1"/>
  <c r="I212" i="5" s="1"/>
  <c r="I213" i="5" s="1"/>
  <c r="I214" i="5" s="1"/>
  <c r="I215" i="5" s="1"/>
  <c r="I216" i="5" s="1"/>
  <c r="I217" i="5" s="1"/>
  <c r="I218" i="5" s="1"/>
  <c r="I219" i="5" s="1"/>
  <c r="I220" i="5" s="1"/>
  <c r="I221" i="5" s="1"/>
  <c r="I222" i="5" s="1"/>
  <c r="I223" i="5" s="1"/>
  <c r="I224" i="5" s="1"/>
  <c r="I225" i="5" s="1"/>
  <c r="I226" i="5" s="1"/>
  <c r="I227" i="5" s="1"/>
  <c r="I228" i="5" s="1"/>
  <c r="I229" i="5" s="1"/>
  <c r="I230" i="5" s="1"/>
  <c r="I231" i="5" s="1"/>
  <c r="I232" i="5" s="1"/>
  <c r="I233" i="5" s="1"/>
  <c r="I234" i="5" s="1"/>
  <c r="I235" i="5" s="1"/>
  <c r="I236" i="5" s="1"/>
  <c r="I237" i="5" s="1"/>
  <c r="I238" i="5" s="1"/>
  <c r="I239" i="5" s="1"/>
  <c r="I240" i="5" s="1"/>
  <c r="I241" i="5" s="1"/>
  <c r="I242" i="5" s="1"/>
  <c r="I243" i="5" s="1"/>
  <c r="I244" i="5" s="1"/>
  <c r="I245" i="5" s="1"/>
  <c r="I246" i="5" s="1"/>
  <c r="I247" i="5" s="1"/>
  <c r="I248" i="5" s="1"/>
  <c r="I249" i="5" s="1"/>
  <c r="I250" i="5" s="1"/>
  <c r="I251" i="5" s="1"/>
  <c r="I252" i="5" s="1"/>
  <c r="I253" i="5" s="1"/>
  <c r="I254" i="5" s="1"/>
  <c r="I255" i="5" s="1"/>
  <c r="I256" i="5" s="1"/>
  <c r="I257" i="5" s="1"/>
  <c r="I258" i="5" s="1"/>
  <c r="I259" i="5" s="1"/>
  <c r="I260" i="5" s="1"/>
  <c r="I261" i="5" s="1"/>
  <c r="I262" i="5" s="1"/>
  <c r="I263" i="5" s="1"/>
  <c r="I264" i="5" s="1"/>
  <c r="I265" i="5" s="1"/>
  <c r="I266" i="5" s="1"/>
  <c r="I53" i="5"/>
  <c r="I54" i="5"/>
  <c r="I55" i="5" s="1"/>
  <c r="I56" i="5" s="1"/>
  <c r="I57" i="5" s="1"/>
  <c r="I58" i="5" s="1"/>
  <c r="I59" i="5" s="1"/>
  <c r="I60" i="5" s="1"/>
  <c r="I61" i="5" s="1"/>
  <c r="I62" i="5" s="1"/>
  <c r="I63" i="5" s="1"/>
  <c r="I64" i="5" s="1"/>
  <c r="I65" i="5" s="1"/>
  <c r="I66" i="5" s="1"/>
  <c r="I67" i="5" s="1"/>
  <c r="I68" i="5" s="1"/>
  <c r="I69" i="5" s="1"/>
  <c r="I70" i="5" s="1"/>
  <c r="I71" i="5" s="1"/>
  <c r="I72" i="5" s="1"/>
  <c r="I73" i="5" s="1"/>
  <c r="I74" i="5" s="1"/>
  <c r="I75" i="5" s="1"/>
  <c r="I76" i="5" s="1"/>
  <c r="I77" i="5" s="1"/>
  <c r="I78" i="5" s="1"/>
  <c r="I79" i="5" s="1"/>
  <c r="I80" i="5" s="1"/>
  <c r="I81" i="5" s="1"/>
  <c r="I82" i="5" s="1"/>
  <c r="I83" i="5" s="1"/>
  <c r="I84" i="5" s="1"/>
  <c r="I85" i="5" s="1"/>
  <c r="I86" i="5" s="1"/>
  <c r="I87" i="5" s="1"/>
  <c r="I88" i="5" s="1"/>
  <c r="I89" i="5" s="1"/>
  <c r="I90" i="5" s="1"/>
  <c r="I91" i="5" s="1"/>
  <c r="I92" i="5" s="1"/>
  <c r="I93" i="5" s="1"/>
  <c r="I94" i="5" s="1"/>
  <c r="I95" i="5" s="1"/>
  <c r="I96" i="5" s="1"/>
  <c r="I97" i="5" s="1"/>
  <c r="I98" i="5" s="1"/>
  <c r="I99" i="5" s="1"/>
  <c r="I100" i="5" s="1"/>
  <c r="I101" i="5" s="1"/>
  <c r="I102" i="5" s="1"/>
  <c r="I103" i="5" s="1"/>
  <c r="I104" i="5" s="1"/>
  <c r="I105" i="5" s="1"/>
  <c r="I106" i="5" s="1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J54" i="3"/>
  <c r="J55" i="3" s="1"/>
  <c r="J56" i="3" s="1"/>
  <c r="J57" i="3" s="1"/>
  <c r="J58" i="3" s="1"/>
  <c r="J59" i="3" s="1"/>
  <c r="J60" i="3" s="1"/>
  <c r="J61" i="3" s="1"/>
  <c r="J62" i="3" s="1"/>
  <c r="J63" i="3" s="1"/>
  <c r="J64" i="3" s="1"/>
  <c r="J65" i="3" s="1"/>
  <c r="J66" i="3" s="1"/>
  <c r="J67" i="3" s="1"/>
  <c r="J68" i="3" s="1"/>
  <c r="J69" i="3" s="1"/>
  <c r="J70" i="3" s="1"/>
  <c r="J71" i="3" s="1"/>
  <c r="J72" i="3" s="1"/>
  <c r="J73" i="3" s="1"/>
  <c r="J74" i="3" s="1"/>
  <c r="J75" i="3" s="1"/>
  <c r="J76" i="3" s="1"/>
  <c r="J77" i="3" s="1"/>
  <c r="J78" i="3" s="1"/>
  <c r="J79" i="3" s="1"/>
  <c r="J80" i="3" s="1"/>
  <c r="J81" i="3" s="1"/>
  <c r="J82" i="3" s="1"/>
  <c r="J83" i="3" s="1"/>
  <c r="J84" i="3" s="1"/>
  <c r="J85" i="3" s="1"/>
  <c r="J86" i="3" s="1"/>
  <c r="J87" i="3" s="1"/>
  <c r="J88" i="3" s="1"/>
  <c r="J89" i="3" s="1"/>
  <c r="J90" i="3" s="1"/>
  <c r="J91" i="3" s="1"/>
  <c r="J92" i="3" s="1"/>
  <c r="J93" i="3" s="1"/>
  <c r="J94" i="3" s="1"/>
  <c r="J95" i="3" s="1"/>
  <c r="J96" i="3" s="1"/>
  <c r="J97" i="3" s="1"/>
  <c r="J98" i="3" s="1"/>
  <c r="J99" i="3" s="1"/>
  <c r="J100" i="3" s="1"/>
  <c r="J101" i="3" s="1"/>
  <c r="J102" i="3" s="1"/>
  <c r="J103" i="3" s="1"/>
  <c r="J104" i="3" s="1"/>
  <c r="J105" i="3" s="1"/>
  <c r="J106" i="3" s="1"/>
  <c r="J107" i="3" s="1"/>
  <c r="J108" i="3" s="1"/>
  <c r="J109" i="3" s="1"/>
  <c r="J110" i="3" s="1"/>
  <c r="J111" i="3" s="1"/>
  <c r="J112" i="3" s="1"/>
  <c r="J113" i="3" s="1"/>
  <c r="J114" i="3" s="1"/>
  <c r="J115" i="3" s="1"/>
  <c r="J116" i="3" s="1"/>
  <c r="J117" i="3" s="1"/>
  <c r="J118" i="3" s="1"/>
  <c r="J119" i="3" s="1"/>
  <c r="J120" i="3" s="1"/>
  <c r="J121" i="3" s="1"/>
  <c r="J122" i="3" s="1"/>
  <c r="J123" i="3" s="1"/>
  <c r="J124" i="3" s="1"/>
  <c r="J125" i="3" s="1"/>
  <c r="J126" i="3" s="1"/>
  <c r="J127" i="3" s="1"/>
  <c r="J128" i="3" s="1"/>
  <c r="J129" i="3" s="1"/>
  <c r="J130" i="3" s="1"/>
  <c r="J131" i="3" s="1"/>
  <c r="J132" i="3" s="1"/>
  <c r="J133" i="3" s="1"/>
  <c r="J134" i="3" s="1"/>
  <c r="J135" i="3" s="1"/>
  <c r="J136" i="3" s="1"/>
  <c r="J137" i="3" s="1"/>
  <c r="J138" i="3" s="1"/>
  <c r="J139" i="3" s="1"/>
  <c r="J140" i="3" s="1"/>
  <c r="J141" i="3" s="1"/>
  <c r="J142" i="3" s="1"/>
  <c r="J143" i="3" s="1"/>
  <c r="J144" i="3" s="1"/>
  <c r="J145" i="3" s="1"/>
  <c r="J146" i="3" s="1"/>
  <c r="J147" i="3" s="1"/>
  <c r="J148" i="3" s="1"/>
  <c r="J149" i="3" s="1"/>
  <c r="J150" i="3" s="1"/>
  <c r="J151" i="3" s="1"/>
  <c r="J152" i="3" s="1"/>
  <c r="J153" i="3" s="1"/>
  <c r="J154" i="3" s="1"/>
  <c r="J155" i="3" s="1"/>
  <c r="J156" i="3" s="1"/>
  <c r="J157" i="3" s="1"/>
  <c r="J158" i="3" s="1"/>
  <c r="J159" i="3" s="1"/>
  <c r="J160" i="3" s="1"/>
  <c r="J161" i="3" s="1"/>
  <c r="J162" i="3" s="1"/>
  <c r="J163" i="3" s="1"/>
  <c r="J164" i="3" s="1"/>
  <c r="J165" i="3" s="1"/>
  <c r="J166" i="3" s="1"/>
  <c r="J167" i="3" s="1"/>
  <c r="J168" i="3" s="1"/>
  <c r="J169" i="3" s="1"/>
  <c r="J170" i="3" s="1"/>
  <c r="J171" i="3" s="1"/>
  <c r="J172" i="3" s="1"/>
  <c r="J173" i="3" s="1"/>
  <c r="J174" i="3" s="1"/>
  <c r="J175" i="3" s="1"/>
  <c r="J176" i="3" s="1"/>
  <c r="J177" i="3" s="1"/>
  <c r="J178" i="3" s="1"/>
  <c r="J179" i="3" s="1"/>
  <c r="J180" i="3" s="1"/>
  <c r="J181" i="3" s="1"/>
  <c r="J182" i="3" s="1"/>
  <c r="J183" i="3" s="1"/>
  <c r="J184" i="3" s="1"/>
  <c r="J185" i="3" s="1"/>
  <c r="J186" i="3" s="1"/>
  <c r="J187" i="3" s="1"/>
  <c r="J188" i="3" s="1"/>
  <c r="J189" i="3" s="1"/>
  <c r="J190" i="3" s="1"/>
  <c r="J191" i="3" s="1"/>
  <c r="J192" i="3" s="1"/>
  <c r="J193" i="3" s="1"/>
  <c r="J194" i="3" s="1"/>
  <c r="J195" i="3" s="1"/>
  <c r="J196" i="3" s="1"/>
  <c r="J197" i="3" s="1"/>
  <c r="J198" i="3" s="1"/>
  <c r="J199" i="3" s="1"/>
  <c r="J200" i="3" s="1"/>
  <c r="J201" i="3" s="1"/>
  <c r="J202" i="3" s="1"/>
  <c r="J203" i="3" s="1"/>
  <c r="J204" i="3" s="1"/>
  <c r="J205" i="3" s="1"/>
  <c r="J206" i="3" s="1"/>
  <c r="J207" i="3" s="1"/>
  <c r="J208" i="3" s="1"/>
  <c r="J209" i="3" s="1"/>
  <c r="J210" i="3" s="1"/>
  <c r="J211" i="3" s="1"/>
  <c r="J212" i="3" s="1"/>
  <c r="J213" i="3" s="1"/>
  <c r="J214" i="3" s="1"/>
  <c r="J215" i="3" s="1"/>
  <c r="J216" i="3" s="1"/>
  <c r="J217" i="3" s="1"/>
  <c r="D43" i="15" l="1"/>
  <c r="L43" i="15" s="1"/>
  <c r="C43" i="15"/>
  <c r="G43" i="15"/>
  <c r="E43" i="15" s="1"/>
  <c r="M43" i="15" s="1"/>
  <c r="A45" i="15"/>
  <c r="F44" i="15"/>
  <c r="B44" i="15"/>
  <c r="H42" i="15"/>
  <c r="K42" i="15"/>
  <c r="J42" i="15" s="1"/>
  <c r="F43" i="13"/>
  <c r="A44" i="13"/>
  <c r="B43" i="13"/>
  <c r="C42" i="13"/>
  <c r="D42" i="13"/>
  <c r="L42" i="13" s="1"/>
  <c r="G42" i="13"/>
  <c r="E42" i="13" s="1"/>
  <c r="M42" i="13" s="1"/>
  <c r="H41" i="13"/>
  <c r="K41" i="13"/>
  <c r="J41" i="13" s="1"/>
  <c r="J272" i="5"/>
  <c r="M272" i="5"/>
  <c r="I273" i="5"/>
  <c r="J278" i="3"/>
  <c r="N277" i="3"/>
  <c r="N259" i="3"/>
  <c r="J260" i="3"/>
  <c r="N223" i="3"/>
  <c r="J224" i="3"/>
  <c r="F78" i="2"/>
  <c r="K77" i="2"/>
  <c r="O77" i="2" s="1"/>
  <c r="F55" i="2"/>
  <c r="N55" i="4"/>
  <c r="J56" i="4"/>
  <c r="K55" i="4"/>
  <c r="L55" i="4" s="1"/>
  <c r="O55" i="4" s="1"/>
  <c r="M77" i="7"/>
  <c r="I78" i="7"/>
  <c r="I56" i="7"/>
  <c r="M159" i="6"/>
  <c r="I160" i="6"/>
  <c r="J159" i="6"/>
  <c r="I64" i="6"/>
  <c r="I55" i="6"/>
  <c r="M54" i="6"/>
  <c r="R39" i="1"/>
  <c r="G44" i="15" l="1"/>
  <c r="E44" i="15" s="1"/>
  <c r="M44" i="15" s="1"/>
  <c r="D44" i="15"/>
  <c r="L44" i="15" s="1"/>
  <c r="C44" i="15"/>
  <c r="B45" i="15"/>
  <c r="A46" i="15"/>
  <c r="F45" i="15"/>
  <c r="K43" i="15"/>
  <c r="J43" i="15" s="1"/>
  <c r="H43" i="15"/>
  <c r="B44" i="13"/>
  <c r="F44" i="13"/>
  <c r="A45" i="13"/>
  <c r="K42" i="13"/>
  <c r="J42" i="13" s="1"/>
  <c r="H42" i="13"/>
  <c r="D43" i="13"/>
  <c r="L43" i="13" s="1"/>
  <c r="G43" i="13"/>
  <c r="E43" i="13" s="1"/>
  <c r="M43" i="13" s="1"/>
  <c r="C43" i="13"/>
  <c r="M273" i="5"/>
  <c r="I274" i="5"/>
  <c r="J273" i="5"/>
  <c r="N278" i="3"/>
  <c r="J279" i="3"/>
  <c r="N260" i="3"/>
  <c r="J261" i="3"/>
  <c r="N224" i="3"/>
  <c r="J225" i="3"/>
  <c r="K78" i="2"/>
  <c r="O78" i="2" s="1"/>
  <c r="G78" i="2"/>
  <c r="F79" i="2"/>
  <c r="K55" i="2"/>
  <c r="O55" i="2" s="1"/>
  <c r="F56" i="2"/>
  <c r="G55" i="2"/>
  <c r="K56" i="4"/>
  <c r="L56" i="4" s="1"/>
  <c r="O56" i="4" s="1"/>
  <c r="J57" i="4"/>
  <c r="N56" i="4"/>
  <c r="I79" i="7"/>
  <c r="M78" i="7"/>
  <c r="I57" i="7"/>
  <c r="M56" i="7"/>
  <c r="J160" i="6"/>
  <c r="M160" i="6"/>
  <c r="I161" i="6"/>
  <c r="J64" i="6"/>
  <c r="I65" i="6"/>
  <c r="M64" i="6"/>
  <c r="M55" i="6"/>
  <c r="I56" i="6"/>
  <c r="J55" i="6"/>
  <c r="G45" i="15" l="1"/>
  <c r="E45" i="15" s="1"/>
  <c r="M45" i="15" s="1"/>
  <c r="C45" i="15"/>
  <c r="D45" i="15"/>
  <c r="L45" i="15" s="1"/>
  <c r="H44" i="15"/>
  <c r="K44" i="15"/>
  <c r="J44" i="15" s="1"/>
  <c r="B46" i="15"/>
  <c r="F46" i="15"/>
  <c r="H43" i="13"/>
  <c r="K43" i="13"/>
  <c r="J43" i="13" s="1"/>
  <c r="F45" i="13"/>
  <c r="A46" i="13"/>
  <c r="B45" i="13"/>
  <c r="G44" i="13"/>
  <c r="E44" i="13" s="1"/>
  <c r="M44" i="13" s="1"/>
  <c r="C44" i="13"/>
  <c r="D44" i="13"/>
  <c r="L44" i="13" s="1"/>
  <c r="I275" i="5"/>
  <c r="J274" i="5"/>
  <c r="M274" i="5"/>
  <c r="N279" i="3"/>
  <c r="J280" i="3"/>
  <c r="J262" i="3"/>
  <c r="N261" i="3"/>
  <c r="J226" i="3"/>
  <c r="N225" i="3"/>
  <c r="G79" i="2"/>
  <c r="K79" i="2"/>
  <c r="O79" i="2" s="1"/>
  <c r="F80" i="2"/>
  <c r="F57" i="2"/>
  <c r="G56" i="2"/>
  <c r="K56" i="2"/>
  <c r="O56" i="2" s="1"/>
  <c r="K57" i="4"/>
  <c r="L57" i="4" s="1"/>
  <c r="O57" i="4" s="1"/>
  <c r="N57" i="4"/>
  <c r="J58" i="4"/>
  <c r="M79" i="7"/>
  <c r="I80" i="7"/>
  <c r="M57" i="7"/>
  <c r="I58" i="7"/>
  <c r="J161" i="6"/>
  <c r="M161" i="6"/>
  <c r="I162" i="6"/>
  <c r="J65" i="6"/>
  <c r="M65" i="6"/>
  <c r="I66" i="6"/>
  <c r="J56" i="6"/>
  <c r="M56" i="6"/>
  <c r="I57" i="6"/>
  <c r="T43" i="1"/>
  <c r="Q47" i="1"/>
  <c r="Q44" i="1"/>
  <c r="D46" i="15" l="1"/>
  <c r="L46" i="15" s="1"/>
  <c r="C46" i="15"/>
  <c r="G46" i="15"/>
  <c r="E46" i="15" s="1"/>
  <c r="M46" i="15" s="1"/>
  <c r="H45" i="15"/>
  <c r="K45" i="15"/>
  <c r="J45" i="15" s="1"/>
  <c r="C45" i="13"/>
  <c r="D45" i="13"/>
  <c r="L45" i="13" s="1"/>
  <c r="G45" i="13"/>
  <c r="E45" i="13" s="1"/>
  <c r="M45" i="13" s="1"/>
  <c r="H44" i="13"/>
  <c r="K44" i="13"/>
  <c r="J44" i="13" s="1"/>
  <c r="F46" i="13"/>
  <c r="B46" i="13"/>
  <c r="J275" i="5"/>
  <c r="M275" i="5"/>
  <c r="I276" i="5"/>
  <c r="J281" i="3"/>
  <c r="N280" i="3"/>
  <c r="N262" i="3"/>
  <c r="J263" i="3"/>
  <c r="N226" i="3"/>
  <c r="J227" i="3"/>
  <c r="G80" i="2"/>
  <c r="K80" i="2"/>
  <c r="O80" i="2" s="1"/>
  <c r="F81" i="2"/>
  <c r="F58" i="2"/>
  <c r="G57" i="2"/>
  <c r="K57" i="2"/>
  <c r="O57" i="2" s="1"/>
  <c r="J59" i="4"/>
  <c r="N58" i="4"/>
  <c r="K58" i="4"/>
  <c r="L58" i="4" s="1"/>
  <c r="O58" i="4" s="1"/>
  <c r="I81" i="7"/>
  <c r="M80" i="7"/>
  <c r="I59" i="7"/>
  <c r="M58" i="7"/>
  <c r="I163" i="6"/>
  <c r="J162" i="6"/>
  <c r="M162" i="6"/>
  <c r="I67" i="6"/>
  <c r="M66" i="6"/>
  <c r="J66" i="6"/>
  <c r="J57" i="6"/>
  <c r="M57" i="6"/>
  <c r="I58" i="6"/>
  <c r="B41" i="1"/>
  <c r="B39" i="1"/>
  <c r="B37" i="1"/>
  <c r="B42" i="1" s="1"/>
  <c r="B33" i="1"/>
  <c r="B31" i="1"/>
  <c r="K46" i="15" l="1"/>
  <c r="J46" i="15" s="1"/>
  <c r="H46" i="15"/>
  <c r="G46" i="13"/>
  <c r="E46" i="13" s="1"/>
  <c r="M46" i="13" s="1"/>
  <c r="C46" i="13"/>
  <c r="D46" i="13"/>
  <c r="L46" i="13" s="1"/>
  <c r="K45" i="13"/>
  <c r="J45" i="13" s="1"/>
  <c r="H45" i="13"/>
  <c r="M276" i="5"/>
  <c r="I277" i="5"/>
  <c r="J276" i="5"/>
  <c r="N281" i="3"/>
  <c r="J282" i="3"/>
  <c r="N263" i="3"/>
  <c r="J264" i="3"/>
  <c r="N227" i="3"/>
  <c r="J228" i="3"/>
  <c r="J59" i="5"/>
  <c r="J67" i="5"/>
  <c r="J75" i="5"/>
  <c r="J83" i="5"/>
  <c r="J91" i="5"/>
  <c r="J99" i="5"/>
  <c r="J107" i="5"/>
  <c r="J115" i="5"/>
  <c r="J123" i="5"/>
  <c r="J131" i="5"/>
  <c r="J139" i="5"/>
  <c r="J147" i="5"/>
  <c r="J155" i="5"/>
  <c r="J163" i="5"/>
  <c r="J171" i="5"/>
  <c r="J179" i="5"/>
  <c r="J187" i="5"/>
  <c r="J195" i="5"/>
  <c r="J203" i="5"/>
  <c r="J211" i="5"/>
  <c r="J219" i="5"/>
  <c r="J227" i="5"/>
  <c r="J235" i="5"/>
  <c r="J243" i="5"/>
  <c r="J251" i="5"/>
  <c r="J259" i="5"/>
  <c r="J252" i="5"/>
  <c r="J64" i="5"/>
  <c r="J104" i="5"/>
  <c r="J128" i="5"/>
  <c r="J168" i="5"/>
  <c r="J200" i="5"/>
  <c r="J248" i="5"/>
  <c r="J81" i="5"/>
  <c r="J113" i="5"/>
  <c r="J137" i="5"/>
  <c r="J177" i="5"/>
  <c r="J225" i="5"/>
  <c r="J265" i="5"/>
  <c r="J58" i="5"/>
  <c r="J106" i="5"/>
  <c r="J146" i="5"/>
  <c r="J170" i="5"/>
  <c r="J210" i="5"/>
  <c r="J250" i="5"/>
  <c r="J60" i="5"/>
  <c r="J68" i="5"/>
  <c r="J76" i="5"/>
  <c r="J84" i="5"/>
  <c r="J92" i="5"/>
  <c r="J100" i="5"/>
  <c r="J108" i="5"/>
  <c r="J116" i="5"/>
  <c r="J124" i="5"/>
  <c r="J132" i="5"/>
  <c r="J140" i="5"/>
  <c r="J148" i="5"/>
  <c r="J156" i="5"/>
  <c r="J164" i="5"/>
  <c r="J172" i="5"/>
  <c r="J180" i="5"/>
  <c r="J188" i="5"/>
  <c r="J196" i="5"/>
  <c r="J204" i="5"/>
  <c r="J212" i="5"/>
  <c r="J220" i="5"/>
  <c r="J228" i="5"/>
  <c r="J236" i="5"/>
  <c r="J244" i="5"/>
  <c r="J260" i="5"/>
  <c r="J80" i="5"/>
  <c r="J88" i="5"/>
  <c r="J120" i="5"/>
  <c r="J144" i="5"/>
  <c r="J184" i="5"/>
  <c r="J216" i="5"/>
  <c r="J264" i="5"/>
  <c r="J89" i="5"/>
  <c r="J153" i="5"/>
  <c r="J193" i="5"/>
  <c r="J241" i="5"/>
  <c r="J61" i="5"/>
  <c r="J69" i="5"/>
  <c r="J77" i="5"/>
  <c r="J85" i="5"/>
  <c r="J93" i="5"/>
  <c r="J101" i="5"/>
  <c r="J109" i="5"/>
  <c r="J117" i="5"/>
  <c r="J125" i="5"/>
  <c r="J133" i="5"/>
  <c r="J141" i="5"/>
  <c r="J149" i="5"/>
  <c r="J157" i="5"/>
  <c r="J165" i="5"/>
  <c r="J173" i="5"/>
  <c r="J181" i="5"/>
  <c r="J189" i="5"/>
  <c r="J197" i="5"/>
  <c r="J205" i="5"/>
  <c r="J213" i="5"/>
  <c r="J221" i="5"/>
  <c r="J229" i="5"/>
  <c r="J237" i="5"/>
  <c r="J245" i="5"/>
  <c r="J253" i="5"/>
  <c r="J261" i="5"/>
  <c r="J262" i="5"/>
  <c r="J72" i="5"/>
  <c r="J112" i="5"/>
  <c r="J136" i="5"/>
  <c r="J160" i="5"/>
  <c r="J192" i="5"/>
  <c r="J240" i="5"/>
  <c r="J97" i="5"/>
  <c r="J209" i="5"/>
  <c r="J90" i="5"/>
  <c r="J122" i="5"/>
  <c r="J162" i="5"/>
  <c r="J202" i="5"/>
  <c r="J242" i="5"/>
  <c r="J54" i="5"/>
  <c r="J62" i="5"/>
  <c r="J70" i="5"/>
  <c r="J78" i="5"/>
  <c r="J86" i="5"/>
  <c r="J94" i="5"/>
  <c r="J102" i="5"/>
  <c r="J110" i="5"/>
  <c r="J118" i="5"/>
  <c r="J126" i="5"/>
  <c r="J134" i="5"/>
  <c r="J142" i="5"/>
  <c r="J150" i="5"/>
  <c r="J158" i="5"/>
  <c r="J166" i="5"/>
  <c r="J174" i="5"/>
  <c r="J182" i="5"/>
  <c r="J190" i="5"/>
  <c r="J198" i="5"/>
  <c r="J206" i="5"/>
  <c r="J214" i="5"/>
  <c r="J222" i="5"/>
  <c r="J230" i="5"/>
  <c r="J238" i="5"/>
  <c r="J246" i="5"/>
  <c r="J254" i="5"/>
  <c r="J208" i="5"/>
  <c r="J73" i="5"/>
  <c r="J129" i="5"/>
  <c r="J161" i="5"/>
  <c r="J185" i="5"/>
  <c r="J233" i="5"/>
  <c r="J82" i="5"/>
  <c r="J114" i="5"/>
  <c r="J154" i="5"/>
  <c r="J194" i="5"/>
  <c r="J234" i="5"/>
  <c r="J55" i="5"/>
  <c r="J63" i="5"/>
  <c r="J71" i="5"/>
  <c r="J79" i="5"/>
  <c r="J87" i="5"/>
  <c r="J95" i="5"/>
  <c r="J103" i="5"/>
  <c r="J111" i="5"/>
  <c r="J119" i="5"/>
  <c r="J127" i="5"/>
  <c r="J135" i="5"/>
  <c r="J143" i="5"/>
  <c r="J151" i="5"/>
  <c r="J159" i="5"/>
  <c r="J167" i="5"/>
  <c r="J175" i="5"/>
  <c r="J183" i="5"/>
  <c r="J191" i="5"/>
  <c r="J199" i="5"/>
  <c r="J207" i="5"/>
  <c r="J215" i="5"/>
  <c r="J223" i="5"/>
  <c r="J231" i="5"/>
  <c r="J239" i="5"/>
  <c r="J247" i="5"/>
  <c r="J255" i="5"/>
  <c r="J263" i="5"/>
  <c r="J96" i="5"/>
  <c r="J176" i="5"/>
  <c r="J224" i="5"/>
  <c r="J256" i="5"/>
  <c r="J65" i="5"/>
  <c r="J105" i="5"/>
  <c r="J145" i="5"/>
  <c r="J201" i="5"/>
  <c r="J257" i="5"/>
  <c r="J66" i="5"/>
  <c r="J98" i="5"/>
  <c r="J138" i="5"/>
  <c r="J186" i="5"/>
  <c r="J226" i="5"/>
  <c r="J258" i="5"/>
  <c r="J56" i="5"/>
  <c r="J152" i="5"/>
  <c r="J232" i="5"/>
  <c r="J57" i="5"/>
  <c r="J121" i="5"/>
  <c r="J169" i="5"/>
  <c r="J217" i="5"/>
  <c r="J249" i="5"/>
  <c r="J74" i="5"/>
  <c r="J130" i="5"/>
  <c r="J178" i="5"/>
  <c r="J218" i="5"/>
  <c r="J266" i="5"/>
  <c r="K81" i="2"/>
  <c r="O81" i="2" s="1"/>
  <c r="F82" i="2"/>
  <c r="G81" i="2"/>
  <c r="G58" i="2"/>
  <c r="K58" i="2"/>
  <c r="O58" i="2" s="1"/>
  <c r="F59" i="2"/>
  <c r="K59" i="4"/>
  <c r="L59" i="4" s="1"/>
  <c r="O59" i="4" s="1"/>
  <c r="N59" i="4"/>
  <c r="J60" i="4"/>
  <c r="M81" i="7"/>
  <c r="I82" i="7"/>
  <c r="I60" i="7"/>
  <c r="M59" i="7"/>
  <c r="J163" i="6"/>
  <c r="M163" i="6"/>
  <c r="I164" i="6"/>
  <c r="J67" i="6"/>
  <c r="M67" i="6"/>
  <c r="I68" i="6"/>
  <c r="I59" i="6"/>
  <c r="M58" i="6"/>
  <c r="J58" i="6"/>
  <c r="T4" i="2"/>
  <c r="T5" i="2" s="1"/>
  <c r="T6" i="2" s="1"/>
  <c r="T7" i="2" s="1"/>
  <c r="T8" i="2" s="1"/>
  <c r="T9" i="2" s="1"/>
  <c r="T10" i="2" s="1"/>
  <c r="T11" i="2" s="1"/>
  <c r="T12" i="2" s="1"/>
  <c r="T13" i="2" s="1"/>
  <c r="T14" i="2" s="1"/>
  <c r="T15" i="2" s="1"/>
  <c r="T16" i="2" s="1"/>
  <c r="T17" i="2" s="1"/>
  <c r="T18" i="2" s="1"/>
  <c r="T19" i="2" s="1"/>
  <c r="T20" i="2" s="1"/>
  <c r="T21" i="2" s="1"/>
  <c r="T22" i="2" s="1"/>
  <c r="T23" i="2" s="1"/>
  <c r="T24" i="2" s="1"/>
  <c r="T25" i="2" s="1"/>
  <c r="T26" i="2" s="1"/>
  <c r="T27" i="2" s="1"/>
  <c r="T28" i="2" s="1"/>
  <c r="T29" i="2" s="1"/>
  <c r="T30" i="2" s="1"/>
  <c r="T31" i="2" s="1"/>
  <c r="T32" i="2" s="1"/>
  <c r="T33" i="2" s="1"/>
  <c r="T34" i="2" s="1"/>
  <c r="T35" i="2" s="1"/>
  <c r="T36" i="2" s="1"/>
  <c r="T37" i="2" s="1"/>
  <c r="T38" i="2" s="1"/>
  <c r="T39" i="2" s="1"/>
  <c r="T40" i="2" s="1"/>
  <c r="T41" i="2" s="1"/>
  <c r="T42" i="2" s="1"/>
  <c r="T43" i="2" s="1"/>
  <c r="T44" i="2" s="1"/>
  <c r="T45" i="2" s="1"/>
  <c r="T46" i="2" s="1"/>
  <c r="T47" i="2" s="1"/>
  <c r="T48" i="2" s="1"/>
  <c r="T49" i="2" s="1"/>
  <c r="T50" i="2" s="1"/>
  <c r="T51" i="2" s="1"/>
  <c r="T52" i="2" s="1"/>
  <c r="T53" i="2" s="1"/>
  <c r="S3" i="2"/>
  <c r="S4" i="2" s="1"/>
  <c r="S5" i="2" s="1"/>
  <c r="S6" i="2" s="1"/>
  <c r="S7" i="2" s="1"/>
  <c r="S8" i="2" s="1"/>
  <c r="S9" i="2" s="1"/>
  <c r="S10" i="2" s="1"/>
  <c r="S11" i="2" s="1"/>
  <c r="S12" i="2" s="1"/>
  <c r="S13" i="2" s="1"/>
  <c r="S14" i="2" s="1"/>
  <c r="S15" i="2" s="1"/>
  <c r="S16" i="2" s="1"/>
  <c r="S17" i="2" s="1"/>
  <c r="S18" i="2" s="1"/>
  <c r="S19" i="2" s="1"/>
  <c r="S20" i="2" s="1"/>
  <c r="S21" i="2" s="1"/>
  <c r="S22" i="2" s="1"/>
  <c r="S23" i="2" s="1"/>
  <c r="S24" i="2" s="1"/>
  <c r="S25" i="2" s="1"/>
  <c r="S26" i="2" s="1"/>
  <c r="S27" i="2" s="1"/>
  <c r="S28" i="2" s="1"/>
  <c r="S29" i="2" s="1"/>
  <c r="S30" i="2" s="1"/>
  <c r="S31" i="2" s="1"/>
  <c r="S32" i="2" s="1"/>
  <c r="S33" i="2" s="1"/>
  <c r="S34" i="2" s="1"/>
  <c r="S35" i="2" s="1"/>
  <c r="S36" i="2" s="1"/>
  <c r="S37" i="2" s="1"/>
  <c r="S38" i="2" s="1"/>
  <c r="S39" i="2" s="1"/>
  <c r="S40" i="2" s="1"/>
  <c r="S41" i="2" s="1"/>
  <c r="S42" i="2" s="1"/>
  <c r="S43" i="2" s="1"/>
  <c r="S44" i="2" s="1"/>
  <c r="S45" i="2" s="1"/>
  <c r="S46" i="2" s="1"/>
  <c r="S47" i="2" s="1"/>
  <c r="S48" i="2" s="1"/>
  <c r="S49" i="2" s="1"/>
  <c r="S50" i="2" s="1"/>
  <c r="S51" i="2" s="1"/>
  <c r="S52" i="2" s="1"/>
  <c r="S53" i="2" s="1"/>
  <c r="S54" i="2" s="1"/>
  <c r="S55" i="2" s="1"/>
  <c r="S56" i="2" s="1"/>
  <c r="S57" i="2" s="1"/>
  <c r="S58" i="2" s="1"/>
  <c r="S59" i="2" s="1"/>
  <c r="S60" i="2" s="1"/>
  <c r="S61" i="2" s="1"/>
  <c r="S62" i="2" s="1"/>
  <c r="S63" i="2" s="1"/>
  <c r="S64" i="2" s="1"/>
  <c r="S65" i="2" s="1"/>
  <c r="S66" i="2" s="1"/>
  <c r="S67" i="2" s="1"/>
  <c r="S68" i="2" s="1"/>
  <c r="S69" i="2" s="1"/>
  <c r="S70" i="2" s="1"/>
  <c r="S71" i="2" s="1"/>
  <c r="S72" i="2" s="1"/>
  <c r="S73" i="2" s="1"/>
  <c r="S74" i="2" s="1"/>
  <c r="S75" i="2" s="1"/>
  <c r="S76" i="2" s="1"/>
  <c r="S77" i="2" s="1"/>
  <c r="S78" i="2" s="1"/>
  <c r="S79" i="2" s="1"/>
  <c r="S80" i="2" s="1"/>
  <c r="S81" i="2" s="1"/>
  <c r="S82" i="2" s="1"/>
  <c r="S83" i="2" s="1"/>
  <c r="S84" i="2" s="1"/>
  <c r="S85" i="2" s="1"/>
  <c r="S86" i="2" s="1"/>
  <c r="S87" i="2" s="1"/>
  <c r="S88" i="2" s="1"/>
  <c r="S89" i="2" s="1"/>
  <c r="S90" i="2" s="1"/>
  <c r="S91" i="2" s="1"/>
  <c r="S92" i="2" s="1"/>
  <c r="S93" i="2" s="1"/>
  <c r="S94" i="2" s="1"/>
  <c r="S95" i="2" s="1"/>
  <c r="S96" i="2" s="1"/>
  <c r="S97" i="2" s="1"/>
  <c r="S98" i="2" s="1"/>
  <c r="S99" i="2" s="1"/>
  <c r="S100" i="2" s="1"/>
  <c r="S101" i="2" s="1"/>
  <c r="S102" i="2" s="1"/>
  <c r="S103" i="2" s="1"/>
  <c r="S104" i="2" s="1"/>
  <c r="S105" i="2" s="1"/>
  <c r="S106" i="2" s="1"/>
  <c r="S107" i="2" s="1"/>
  <c r="S108" i="2" s="1"/>
  <c r="S109" i="2" s="1"/>
  <c r="S110" i="2" s="1"/>
  <c r="S111" i="2" s="1"/>
  <c r="S112" i="2" s="1"/>
  <c r="S113" i="2" s="1"/>
  <c r="S114" i="2" s="1"/>
  <c r="S115" i="2" s="1"/>
  <c r="S116" i="2" s="1"/>
  <c r="S117" i="2" s="1"/>
  <c r="S118" i="2" s="1"/>
  <c r="S119" i="2" s="1"/>
  <c r="S120" i="2" s="1"/>
  <c r="S121" i="2" s="1"/>
  <c r="S122" i="2" s="1"/>
  <c r="S123" i="2" s="1"/>
  <c r="S124" i="2" s="1"/>
  <c r="S125" i="2" s="1"/>
  <c r="S126" i="2" s="1"/>
  <c r="S127" i="2" s="1"/>
  <c r="S128" i="2" s="1"/>
  <c r="S129" i="2" s="1"/>
  <c r="S130" i="2" s="1"/>
  <c r="S131" i="2" s="1"/>
  <c r="S132" i="2" s="1"/>
  <c r="S133" i="2" s="1"/>
  <c r="S134" i="2" s="1"/>
  <c r="S135" i="2" s="1"/>
  <c r="S136" i="2" s="1"/>
  <c r="S137" i="2" s="1"/>
  <c r="S138" i="2" s="1"/>
  <c r="S139" i="2" s="1"/>
  <c r="S140" i="2" s="1"/>
  <c r="S141" i="2" s="1"/>
  <c r="S142" i="2" s="1"/>
  <c r="S143" i="2" s="1"/>
  <c r="S144" i="2" s="1"/>
  <c r="S145" i="2" s="1"/>
  <c r="S146" i="2" s="1"/>
  <c r="S147" i="2" s="1"/>
  <c r="S148" i="2" s="1"/>
  <c r="S149" i="2" s="1"/>
  <c r="S150" i="2" s="1"/>
  <c r="S151" i="2" s="1"/>
  <c r="S152" i="2" s="1"/>
  <c r="S153" i="2" s="1"/>
  <c r="S154" i="2" s="1"/>
  <c r="S155" i="2" s="1"/>
  <c r="S156" i="2" s="1"/>
  <c r="S157" i="2" s="1"/>
  <c r="S158" i="2" s="1"/>
  <c r="S159" i="2" s="1"/>
  <c r="S160" i="2" s="1"/>
  <c r="S161" i="2" s="1"/>
  <c r="S162" i="2" s="1"/>
  <c r="S163" i="2" s="1"/>
  <c r="S164" i="2" s="1"/>
  <c r="S165" i="2" s="1"/>
  <c r="S166" i="2" s="1"/>
  <c r="S167" i="2" s="1"/>
  <c r="S168" i="2" s="1"/>
  <c r="S169" i="2" s="1"/>
  <c r="S170" i="2" s="1"/>
  <c r="S171" i="2" s="1"/>
  <c r="S172" i="2" s="1"/>
  <c r="S173" i="2" s="1"/>
  <c r="S174" i="2" s="1"/>
  <c r="S175" i="2" s="1"/>
  <c r="S176" i="2" s="1"/>
  <c r="S177" i="2" s="1"/>
  <c r="S178" i="2" s="1"/>
  <c r="S179" i="2" s="1"/>
  <c r="S180" i="2" s="1"/>
  <c r="S181" i="2" s="1"/>
  <c r="S182" i="2" s="1"/>
  <c r="S183" i="2" s="1"/>
  <c r="S184" i="2" s="1"/>
  <c r="S185" i="2" s="1"/>
  <c r="S186" i="2" s="1"/>
  <c r="S187" i="2" s="1"/>
  <c r="S188" i="2" s="1"/>
  <c r="S189" i="2" s="1"/>
  <c r="S190" i="2" s="1"/>
  <c r="S191" i="2" s="1"/>
  <c r="S192" i="2" s="1"/>
  <c r="S193" i="2" s="1"/>
  <c r="S194" i="2" s="1"/>
  <c r="S195" i="2" s="1"/>
  <c r="S196" i="2" s="1"/>
  <c r="S197" i="2" s="1"/>
  <c r="S198" i="2" s="1"/>
  <c r="S199" i="2" s="1"/>
  <c r="S200" i="2" s="1"/>
  <c r="S201" i="2" s="1"/>
  <c r="S202" i="2" s="1"/>
  <c r="S203" i="2" s="1"/>
  <c r="S204" i="2" s="1"/>
  <c r="S205" i="2" s="1"/>
  <c r="S206" i="2" s="1"/>
  <c r="S207" i="2" s="1"/>
  <c r="S208" i="2" s="1"/>
  <c r="S209" i="2" s="1"/>
  <c r="S210" i="2" s="1"/>
  <c r="S211" i="2" s="1"/>
  <c r="S212" i="2" s="1"/>
  <c r="S213" i="2" s="1"/>
  <c r="S214" i="2" s="1"/>
  <c r="S215" i="2" s="1"/>
  <c r="S216" i="2" s="1"/>
  <c r="S217" i="2" s="1"/>
  <c r="S218" i="2" s="1"/>
  <c r="S219" i="2" s="1"/>
  <c r="S220" i="2" s="1"/>
  <c r="S221" i="2" s="1"/>
  <c r="S222" i="2" s="1"/>
  <c r="S223" i="2" s="1"/>
  <c r="S224" i="2" s="1"/>
  <c r="S225" i="2" s="1"/>
  <c r="S226" i="2" s="1"/>
  <c r="S227" i="2" s="1"/>
  <c r="S228" i="2" s="1"/>
  <c r="S229" i="2" s="1"/>
  <c r="S230" i="2" s="1"/>
  <c r="S231" i="2" s="1"/>
  <c r="S232" i="2" s="1"/>
  <c r="S233" i="2" s="1"/>
  <c r="S234" i="2" s="1"/>
  <c r="S235" i="2" s="1"/>
  <c r="S236" i="2" s="1"/>
  <c r="S237" i="2" s="1"/>
  <c r="S238" i="2" s="1"/>
  <c r="S239" i="2" s="1"/>
  <c r="S240" i="2" s="1"/>
  <c r="S241" i="2" s="1"/>
  <c r="S242" i="2" s="1"/>
  <c r="S243" i="2" s="1"/>
  <c r="S244" i="2" s="1"/>
  <c r="S245" i="2" s="1"/>
  <c r="S246" i="2" s="1"/>
  <c r="S247" i="2" s="1"/>
  <c r="S248" i="2" s="1"/>
  <c r="S249" i="2" s="1"/>
  <c r="S250" i="2" s="1"/>
  <c r="S251" i="2" s="1"/>
  <c r="S252" i="2" s="1"/>
  <c r="S253" i="2" s="1"/>
  <c r="S254" i="2" s="1"/>
  <c r="S255" i="2" s="1"/>
  <c r="S256" i="2" s="1"/>
  <c r="S257" i="2" s="1"/>
  <c r="S258" i="2" s="1"/>
  <c r="S259" i="2" s="1"/>
  <c r="S260" i="2" s="1"/>
  <c r="S261" i="2" s="1"/>
  <c r="S262" i="2" s="1"/>
  <c r="S263" i="2" s="1"/>
  <c r="S264" i="2" s="1"/>
  <c r="S265" i="2" s="1"/>
  <c r="S266" i="2" s="1"/>
  <c r="S267" i="2" s="1"/>
  <c r="S268" i="2" s="1"/>
  <c r="S269" i="2" s="1"/>
  <c r="S270" i="2" s="1"/>
  <c r="S271" i="2" s="1"/>
  <c r="S272" i="2" s="1"/>
  <c r="S273" i="2" s="1"/>
  <c r="S274" i="2" s="1"/>
  <c r="S275" i="2" s="1"/>
  <c r="S276" i="2" s="1"/>
  <c r="S277" i="2" s="1"/>
  <c r="S278" i="2" s="1"/>
  <c r="S279" i="2" s="1"/>
  <c r="S280" i="2" s="1"/>
  <c r="S281" i="2" s="1"/>
  <c r="S282" i="2" s="1"/>
  <c r="S283" i="2" s="1"/>
  <c r="S284" i="2" s="1"/>
  <c r="S285" i="2" s="1"/>
  <c r="S286" i="2" s="1"/>
  <c r="S287" i="2" s="1"/>
  <c r="S288" i="2" s="1"/>
  <c r="S289" i="2" s="1"/>
  <c r="S290" i="2" s="1"/>
  <c r="S291" i="2" s="1"/>
  <c r="S292" i="2" s="1"/>
  <c r="S293" i="2" s="1"/>
  <c r="S294" i="2" s="1"/>
  <c r="S295" i="2" s="1"/>
  <c r="S296" i="2" s="1"/>
  <c r="S297" i="2" s="1"/>
  <c r="S298" i="2" s="1"/>
  <c r="S299" i="2" s="1"/>
  <c r="S300" i="2" s="1"/>
  <c r="S301" i="2" s="1"/>
  <c r="S302" i="2" s="1"/>
  <c r="S303" i="2" s="1"/>
  <c r="S304" i="2" s="1"/>
  <c r="S305" i="2" s="1"/>
  <c r="S306" i="2" s="1"/>
  <c r="S307" i="2" s="1"/>
  <c r="S308" i="2" s="1"/>
  <c r="S309" i="2" s="1"/>
  <c r="S310" i="2" s="1"/>
  <c r="S311" i="2" s="1"/>
  <c r="S312" i="2" s="1"/>
  <c r="S313" i="2" s="1"/>
  <c r="S314" i="2" s="1"/>
  <c r="S315" i="2" s="1"/>
  <c r="S316" i="2" s="1"/>
  <c r="S317" i="2" s="1"/>
  <c r="S318" i="2" s="1"/>
  <c r="S319" i="2" s="1"/>
  <c r="S320" i="2" s="1"/>
  <c r="S321" i="2" s="1"/>
  <c r="S322" i="2" s="1"/>
  <c r="S323" i="2" s="1"/>
  <c r="S324" i="2" s="1"/>
  <c r="S325" i="2" s="1"/>
  <c r="S326" i="2" s="1"/>
  <c r="S327" i="2" s="1"/>
  <c r="S328" i="2" s="1"/>
  <c r="S329" i="2" s="1"/>
  <c r="S330" i="2" s="1"/>
  <c r="S331" i="2" s="1"/>
  <c r="S332" i="2" s="1"/>
  <c r="S333" i="2" s="1"/>
  <c r="S334" i="2" s="1"/>
  <c r="S335" i="2" s="1"/>
  <c r="S336" i="2" s="1"/>
  <c r="S337" i="2" s="1"/>
  <c r="S338" i="2" s="1"/>
  <c r="S339" i="2" s="1"/>
  <c r="R3" i="2"/>
  <c r="R4" i="2" s="1"/>
  <c r="R5" i="2" s="1"/>
  <c r="R6" i="2" s="1"/>
  <c r="R7" i="2" s="1"/>
  <c r="R8" i="2" s="1"/>
  <c r="R9" i="2" s="1"/>
  <c r="R10" i="2" s="1"/>
  <c r="R11" i="2" s="1"/>
  <c r="R12" i="2" s="1"/>
  <c r="R13" i="2" s="1"/>
  <c r="R14" i="2" s="1"/>
  <c r="R15" i="2" s="1"/>
  <c r="R16" i="2" s="1"/>
  <c r="R17" i="2" s="1"/>
  <c r="R18" i="2" s="1"/>
  <c r="R19" i="2" s="1"/>
  <c r="R20" i="2" s="1"/>
  <c r="R21" i="2" s="1"/>
  <c r="R22" i="2" s="1"/>
  <c r="R23" i="2" s="1"/>
  <c r="R24" i="2" s="1"/>
  <c r="R25" i="2" s="1"/>
  <c r="R26" i="2" s="1"/>
  <c r="R27" i="2" s="1"/>
  <c r="R28" i="2" s="1"/>
  <c r="R29" i="2" s="1"/>
  <c r="R30" i="2" s="1"/>
  <c r="R31" i="2" s="1"/>
  <c r="R32" i="2" s="1"/>
  <c r="R33" i="2" s="1"/>
  <c r="R34" i="2" s="1"/>
  <c r="R35" i="2" s="1"/>
  <c r="R36" i="2" s="1"/>
  <c r="R37" i="2" s="1"/>
  <c r="R38" i="2" s="1"/>
  <c r="R39" i="2" s="1"/>
  <c r="R40" i="2" s="1"/>
  <c r="R41" i="2" s="1"/>
  <c r="R42" i="2" s="1"/>
  <c r="R43" i="2" s="1"/>
  <c r="R44" i="2" s="1"/>
  <c r="R45" i="2" s="1"/>
  <c r="R46" i="2" s="1"/>
  <c r="R47" i="2" s="1"/>
  <c r="R48" i="2" s="1"/>
  <c r="R49" i="2" s="1"/>
  <c r="R50" i="2" s="1"/>
  <c r="R51" i="2" s="1"/>
  <c r="R52" i="2" s="1"/>
  <c r="R53" i="2" s="1"/>
  <c r="R54" i="2" s="1"/>
  <c r="R55" i="2" s="1"/>
  <c r="R56" i="2" s="1"/>
  <c r="R57" i="2" s="1"/>
  <c r="R58" i="2" s="1"/>
  <c r="R59" i="2" s="1"/>
  <c r="R60" i="2" s="1"/>
  <c r="R61" i="2" s="1"/>
  <c r="R62" i="2" s="1"/>
  <c r="R63" i="2" s="1"/>
  <c r="R64" i="2" s="1"/>
  <c r="R65" i="2" s="1"/>
  <c r="R66" i="2" s="1"/>
  <c r="R67" i="2" s="1"/>
  <c r="R68" i="2" s="1"/>
  <c r="R69" i="2" s="1"/>
  <c r="R70" i="2" s="1"/>
  <c r="R71" i="2" s="1"/>
  <c r="R72" i="2" s="1"/>
  <c r="R73" i="2" s="1"/>
  <c r="R74" i="2" s="1"/>
  <c r="R75" i="2" s="1"/>
  <c r="R76" i="2" s="1"/>
  <c r="R77" i="2" s="1"/>
  <c r="R78" i="2" s="1"/>
  <c r="R79" i="2" s="1"/>
  <c r="R80" i="2" s="1"/>
  <c r="R81" i="2" s="1"/>
  <c r="R82" i="2" s="1"/>
  <c r="R83" i="2" s="1"/>
  <c r="R84" i="2" s="1"/>
  <c r="R85" i="2" s="1"/>
  <c r="R86" i="2" s="1"/>
  <c r="R87" i="2" s="1"/>
  <c r="R88" i="2" s="1"/>
  <c r="R89" i="2" s="1"/>
  <c r="R90" i="2" s="1"/>
  <c r="R91" i="2" s="1"/>
  <c r="R92" i="2" s="1"/>
  <c r="R93" i="2" s="1"/>
  <c r="R94" i="2" s="1"/>
  <c r="R95" i="2" s="1"/>
  <c r="R96" i="2" s="1"/>
  <c r="R97" i="2" s="1"/>
  <c r="R98" i="2" s="1"/>
  <c r="R99" i="2" s="1"/>
  <c r="R100" i="2" s="1"/>
  <c r="R101" i="2" s="1"/>
  <c r="R102" i="2" s="1"/>
  <c r="R103" i="2" s="1"/>
  <c r="R104" i="2" s="1"/>
  <c r="R105" i="2" s="1"/>
  <c r="R106" i="2" s="1"/>
  <c r="R107" i="2" s="1"/>
  <c r="R108" i="2" s="1"/>
  <c r="R109" i="2" s="1"/>
  <c r="R110" i="2" s="1"/>
  <c r="R111" i="2" s="1"/>
  <c r="R112" i="2" s="1"/>
  <c r="R113" i="2" s="1"/>
  <c r="R114" i="2" s="1"/>
  <c r="R115" i="2" s="1"/>
  <c r="R116" i="2" s="1"/>
  <c r="R117" i="2" s="1"/>
  <c r="R118" i="2" s="1"/>
  <c r="R119" i="2" s="1"/>
  <c r="R120" i="2" s="1"/>
  <c r="R121" i="2" s="1"/>
  <c r="R122" i="2" s="1"/>
  <c r="R123" i="2" s="1"/>
  <c r="R124" i="2" s="1"/>
  <c r="R125" i="2" s="1"/>
  <c r="R126" i="2" s="1"/>
  <c r="R127" i="2" s="1"/>
  <c r="R128" i="2" s="1"/>
  <c r="R129" i="2" s="1"/>
  <c r="R130" i="2" s="1"/>
  <c r="R131" i="2" s="1"/>
  <c r="R132" i="2" s="1"/>
  <c r="R133" i="2" s="1"/>
  <c r="R134" i="2" s="1"/>
  <c r="R135" i="2" s="1"/>
  <c r="R136" i="2" s="1"/>
  <c r="R137" i="2" s="1"/>
  <c r="R138" i="2" s="1"/>
  <c r="R139" i="2" s="1"/>
  <c r="R140" i="2" s="1"/>
  <c r="R141" i="2" s="1"/>
  <c r="R142" i="2" s="1"/>
  <c r="R143" i="2" s="1"/>
  <c r="R144" i="2" s="1"/>
  <c r="R145" i="2" s="1"/>
  <c r="R146" i="2" s="1"/>
  <c r="R147" i="2" s="1"/>
  <c r="R148" i="2" s="1"/>
  <c r="R149" i="2" s="1"/>
  <c r="R150" i="2" s="1"/>
  <c r="R151" i="2" s="1"/>
  <c r="R152" i="2" s="1"/>
  <c r="R153" i="2" s="1"/>
  <c r="R154" i="2" s="1"/>
  <c r="R155" i="2" s="1"/>
  <c r="R156" i="2" s="1"/>
  <c r="R157" i="2" s="1"/>
  <c r="R158" i="2" s="1"/>
  <c r="R159" i="2" s="1"/>
  <c r="R160" i="2" s="1"/>
  <c r="R161" i="2" s="1"/>
  <c r="R162" i="2" s="1"/>
  <c r="R163" i="2" s="1"/>
  <c r="R164" i="2" s="1"/>
  <c r="R165" i="2" s="1"/>
  <c r="R166" i="2" s="1"/>
  <c r="R167" i="2" s="1"/>
  <c r="R168" i="2" s="1"/>
  <c r="R169" i="2" s="1"/>
  <c r="R170" i="2" s="1"/>
  <c r="R171" i="2" s="1"/>
  <c r="R172" i="2" s="1"/>
  <c r="R173" i="2" s="1"/>
  <c r="R174" i="2" s="1"/>
  <c r="R175" i="2" s="1"/>
  <c r="R176" i="2" s="1"/>
  <c r="R177" i="2" s="1"/>
  <c r="R178" i="2" s="1"/>
  <c r="R179" i="2" s="1"/>
  <c r="R180" i="2" s="1"/>
  <c r="R181" i="2" s="1"/>
  <c r="R182" i="2" s="1"/>
  <c r="R183" i="2" s="1"/>
  <c r="R184" i="2" s="1"/>
  <c r="R185" i="2" s="1"/>
  <c r="R186" i="2" s="1"/>
  <c r="R187" i="2" s="1"/>
  <c r="R188" i="2" s="1"/>
  <c r="R189" i="2" s="1"/>
  <c r="R190" i="2" s="1"/>
  <c r="R191" i="2" s="1"/>
  <c r="R192" i="2" s="1"/>
  <c r="R193" i="2" s="1"/>
  <c r="R194" i="2" s="1"/>
  <c r="R195" i="2" s="1"/>
  <c r="R196" i="2" s="1"/>
  <c r="R197" i="2" s="1"/>
  <c r="R198" i="2" s="1"/>
  <c r="R199" i="2" s="1"/>
  <c r="R200" i="2" s="1"/>
  <c r="R201" i="2" s="1"/>
  <c r="R202" i="2" s="1"/>
  <c r="R203" i="2" s="1"/>
  <c r="R204" i="2" s="1"/>
  <c r="R205" i="2" s="1"/>
  <c r="R206" i="2" s="1"/>
  <c r="R207" i="2" s="1"/>
  <c r="R208" i="2" s="1"/>
  <c r="R209" i="2" s="1"/>
  <c r="R210" i="2" s="1"/>
  <c r="R211" i="2" s="1"/>
  <c r="R212" i="2" s="1"/>
  <c r="R213" i="2" s="1"/>
  <c r="R214" i="2" s="1"/>
  <c r="R215" i="2" s="1"/>
  <c r="R216" i="2" s="1"/>
  <c r="R217" i="2" s="1"/>
  <c r="R218" i="2" s="1"/>
  <c r="R219" i="2" s="1"/>
  <c r="R220" i="2" s="1"/>
  <c r="R221" i="2" s="1"/>
  <c r="R222" i="2" s="1"/>
  <c r="R223" i="2" s="1"/>
  <c r="R224" i="2" s="1"/>
  <c r="R225" i="2" s="1"/>
  <c r="R226" i="2" s="1"/>
  <c r="R227" i="2" s="1"/>
  <c r="R228" i="2" s="1"/>
  <c r="R229" i="2" s="1"/>
  <c r="R230" i="2" s="1"/>
  <c r="R231" i="2" s="1"/>
  <c r="R232" i="2" s="1"/>
  <c r="R233" i="2" s="1"/>
  <c r="R234" i="2" s="1"/>
  <c r="R235" i="2" s="1"/>
  <c r="R236" i="2" s="1"/>
  <c r="R237" i="2" s="1"/>
  <c r="R238" i="2" s="1"/>
  <c r="R239" i="2" s="1"/>
  <c r="R240" i="2" s="1"/>
  <c r="R241" i="2" s="1"/>
  <c r="R242" i="2" s="1"/>
  <c r="R243" i="2" s="1"/>
  <c r="R244" i="2" s="1"/>
  <c r="R245" i="2" s="1"/>
  <c r="R246" i="2" s="1"/>
  <c r="R247" i="2" s="1"/>
  <c r="R248" i="2" s="1"/>
  <c r="R249" i="2" s="1"/>
  <c r="R250" i="2" s="1"/>
  <c r="R251" i="2" s="1"/>
  <c r="R252" i="2" s="1"/>
  <c r="R253" i="2" s="1"/>
  <c r="R254" i="2" s="1"/>
  <c r="R255" i="2" s="1"/>
  <c r="R256" i="2" s="1"/>
  <c r="R257" i="2" s="1"/>
  <c r="R258" i="2" s="1"/>
  <c r="R259" i="2" s="1"/>
  <c r="R260" i="2" s="1"/>
  <c r="R261" i="2" s="1"/>
  <c r="R262" i="2" s="1"/>
  <c r="R263" i="2" s="1"/>
  <c r="R264" i="2" s="1"/>
  <c r="R265" i="2" s="1"/>
  <c r="R266" i="2" s="1"/>
  <c r="R267" i="2" s="1"/>
  <c r="R268" i="2" s="1"/>
  <c r="R269" i="2" s="1"/>
  <c r="R270" i="2" s="1"/>
  <c r="R271" i="2" s="1"/>
  <c r="R272" i="2" s="1"/>
  <c r="R273" i="2" s="1"/>
  <c r="R274" i="2" s="1"/>
  <c r="R275" i="2" s="1"/>
  <c r="R276" i="2" s="1"/>
  <c r="R277" i="2" s="1"/>
  <c r="R278" i="2" s="1"/>
  <c r="R279" i="2" s="1"/>
  <c r="R280" i="2" s="1"/>
  <c r="R281" i="2" s="1"/>
  <c r="R282" i="2" s="1"/>
  <c r="R283" i="2" s="1"/>
  <c r="R284" i="2" s="1"/>
  <c r="R285" i="2" s="1"/>
  <c r="R286" i="2" s="1"/>
  <c r="R287" i="2" s="1"/>
  <c r="R288" i="2" s="1"/>
  <c r="R289" i="2" s="1"/>
  <c r="R290" i="2" s="1"/>
  <c r="R291" i="2" s="1"/>
  <c r="R292" i="2" s="1"/>
  <c r="R293" i="2" s="1"/>
  <c r="R294" i="2" s="1"/>
  <c r="R295" i="2" s="1"/>
  <c r="R296" i="2" s="1"/>
  <c r="R297" i="2" s="1"/>
  <c r="R298" i="2" s="1"/>
  <c r="R299" i="2" s="1"/>
  <c r="R300" i="2" s="1"/>
  <c r="R301" i="2" s="1"/>
  <c r="R302" i="2" s="1"/>
  <c r="R303" i="2" s="1"/>
  <c r="R304" i="2" s="1"/>
  <c r="R305" i="2" s="1"/>
  <c r="R306" i="2" s="1"/>
  <c r="R307" i="2" s="1"/>
  <c r="R308" i="2" s="1"/>
  <c r="R309" i="2" s="1"/>
  <c r="R310" i="2" s="1"/>
  <c r="R311" i="2" s="1"/>
  <c r="R312" i="2" s="1"/>
  <c r="R313" i="2" s="1"/>
  <c r="R314" i="2" s="1"/>
  <c r="R315" i="2" s="1"/>
  <c r="R316" i="2" s="1"/>
  <c r="R317" i="2" s="1"/>
  <c r="R318" i="2" s="1"/>
  <c r="R319" i="2" s="1"/>
  <c r="R320" i="2" s="1"/>
  <c r="R321" i="2" s="1"/>
  <c r="R322" i="2" s="1"/>
  <c r="R323" i="2" s="1"/>
  <c r="R324" i="2" s="1"/>
  <c r="R325" i="2" s="1"/>
  <c r="R326" i="2" s="1"/>
  <c r="R327" i="2" s="1"/>
  <c r="R328" i="2" s="1"/>
  <c r="R329" i="2" s="1"/>
  <c r="R330" i="2" s="1"/>
  <c r="R331" i="2" s="1"/>
  <c r="R332" i="2" s="1"/>
  <c r="R333" i="2" s="1"/>
  <c r="R334" i="2" s="1"/>
  <c r="R335" i="2" s="1"/>
  <c r="R336" i="2" s="1"/>
  <c r="R337" i="2" s="1"/>
  <c r="R338" i="2" s="1"/>
  <c r="R339" i="2" s="1"/>
  <c r="Q3" i="2"/>
  <c r="Q4" i="2" s="1"/>
  <c r="Q5" i="2" s="1"/>
  <c r="Q6" i="2" s="1"/>
  <c r="Q7" i="2" s="1"/>
  <c r="Q8" i="2" s="1"/>
  <c r="Q9" i="2" s="1"/>
  <c r="Q10" i="2" s="1"/>
  <c r="Q11" i="2" s="1"/>
  <c r="Q12" i="2" s="1"/>
  <c r="Q13" i="2" s="1"/>
  <c r="Q14" i="2" s="1"/>
  <c r="Q15" i="2" s="1"/>
  <c r="Q16" i="2" s="1"/>
  <c r="Q17" i="2" s="1"/>
  <c r="Q18" i="2" s="1"/>
  <c r="Q19" i="2" s="1"/>
  <c r="Q20" i="2" s="1"/>
  <c r="Q21" i="2" s="1"/>
  <c r="Q22" i="2" s="1"/>
  <c r="Q23" i="2" s="1"/>
  <c r="Q24" i="2" s="1"/>
  <c r="Q25" i="2" s="1"/>
  <c r="Q26" i="2" s="1"/>
  <c r="Q27" i="2" s="1"/>
  <c r="Q28" i="2" s="1"/>
  <c r="Q29" i="2" s="1"/>
  <c r="Q30" i="2" s="1"/>
  <c r="Q31" i="2" s="1"/>
  <c r="Q32" i="2" s="1"/>
  <c r="Q33" i="2" s="1"/>
  <c r="Q34" i="2" s="1"/>
  <c r="Q35" i="2" s="1"/>
  <c r="Q36" i="2" s="1"/>
  <c r="Q37" i="2" s="1"/>
  <c r="Q38" i="2" s="1"/>
  <c r="Q39" i="2" s="1"/>
  <c r="Q40" i="2" s="1"/>
  <c r="Q41" i="2" s="1"/>
  <c r="Q42" i="2" s="1"/>
  <c r="Q43" i="2" s="1"/>
  <c r="Q44" i="2" s="1"/>
  <c r="Q45" i="2" s="1"/>
  <c r="Q46" i="2" s="1"/>
  <c r="Q47" i="2" s="1"/>
  <c r="Q48" i="2" s="1"/>
  <c r="Q49" i="2" s="1"/>
  <c r="Q50" i="2" s="1"/>
  <c r="Q51" i="2" s="1"/>
  <c r="Q52" i="2" s="1"/>
  <c r="Q53" i="2" s="1"/>
  <c r="Q54" i="2" s="1"/>
  <c r="P3" i="2"/>
  <c r="P4" i="2" s="1"/>
  <c r="P5" i="2" s="1"/>
  <c r="P6" i="2" s="1"/>
  <c r="H46" i="13" l="1"/>
  <c r="K46" i="13"/>
  <c r="J46" i="13" s="1"/>
  <c r="J277" i="5"/>
  <c r="I278" i="5"/>
  <c r="M277" i="5"/>
  <c r="J283" i="3"/>
  <c r="N282" i="3"/>
  <c r="J265" i="3"/>
  <c r="N264" i="3"/>
  <c r="N228" i="3"/>
  <c r="J229" i="3"/>
  <c r="Q55" i="2"/>
  <c r="G82" i="2"/>
  <c r="F83" i="2"/>
  <c r="K82" i="2"/>
  <c r="O82" i="2" s="1"/>
  <c r="K59" i="2"/>
  <c r="O59" i="2" s="1"/>
  <c r="F60" i="2"/>
  <c r="G59" i="2"/>
  <c r="N60" i="4"/>
  <c r="J61" i="4"/>
  <c r="K60" i="4"/>
  <c r="L60" i="4" s="1"/>
  <c r="O60" i="4" s="1"/>
  <c r="M82" i="7"/>
  <c r="I83" i="7"/>
  <c r="M60" i="7"/>
  <c r="I61" i="7"/>
  <c r="M164" i="6"/>
  <c r="I165" i="6"/>
  <c r="J164" i="6"/>
  <c r="M68" i="6"/>
  <c r="I69" i="6"/>
  <c r="J68" i="6"/>
  <c r="J59" i="6"/>
  <c r="M59" i="6"/>
  <c r="I60" i="6"/>
  <c r="P7" i="2"/>
  <c r="U3" i="2"/>
  <c r="U4" i="2" s="1"/>
  <c r="J278" i="5" l="1"/>
  <c r="M278" i="5"/>
  <c r="I279" i="5"/>
  <c r="N283" i="3"/>
  <c r="J284" i="3"/>
  <c r="J266" i="3"/>
  <c r="N265" i="3"/>
  <c r="J230" i="3"/>
  <c r="N229" i="3"/>
  <c r="Q56" i="2"/>
  <c r="G83" i="2"/>
  <c r="K83" i="2"/>
  <c r="O83" i="2" s="1"/>
  <c r="F84" i="2"/>
  <c r="F61" i="2"/>
  <c r="G60" i="2"/>
  <c r="K60" i="2"/>
  <c r="O60" i="2" s="1"/>
  <c r="J62" i="4"/>
  <c r="K61" i="4"/>
  <c r="L61" i="4" s="1"/>
  <c r="O61" i="4" s="1"/>
  <c r="N61" i="4"/>
  <c r="I84" i="7"/>
  <c r="M83" i="7"/>
  <c r="I62" i="7"/>
  <c r="M61" i="7"/>
  <c r="I166" i="6"/>
  <c r="J165" i="6"/>
  <c r="M165" i="6"/>
  <c r="I70" i="6"/>
  <c r="J69" i="6"/>
  <c r="M69" i="6"/>
  <c r="J60" i="6"/>
  <c r="M60" i="6"/>
  <c r="I61" i="6"/>
  <c r="U5" i="2"/>
  <c r="P8" i="2"/>
  <c r="J40" i="1"/>
  <c r="I280" i="5" l="1"/>
  <c r="M279" i="5"/>
  <c r="J279" i="5"/>
  <c r="J285" i="3"/>
  <c r="N284" i="3"/>
  <c r="J267" i="3"/>
  <c r="N266" i="3"/>
  <c r="J231" i="3"/>
  <c r="N230" i="3"/>
  <c r="Q57" i="2"/>
  <c r="G84" i="2"/>
  <c r="K84" i="2"/>
  <c r="O84" i="2" s="1"/>
  <c r="F85" i="2"/>
  <c r="F62" i="2"/>
  <c r="G61" i="2"/>
  <c r="K61" i="2"/>
  <c r="O61" i="2" s="1"/>
  <c r="K62" i="4"/>
  <c r="L62" i="4" s="1"/>
  <c r="O62" i="4" s="1"/>
  <c r="N62" i="4"/>
  <c r="J63" i="4"/>
  <c r="M84" i="7"/>
  <c r="I85" i="7"/>
  <c r="I63" i="7"/>
  <c r="M62" i="7"/>
  <c r="J166" i="6"/>
  <c r="M166" i="6"/>
  <c r="I167" i="6"/>
  <c r="J70" i="6"/>
  <c r="M70" i="6"/>
  <c r="I71" i="6"/>
  <c r="J61" i="6"/>
  <c r="M61" i="6"/>
  <c r="U6" i="2"/>
  <c r="P9" i="2"/>
  <c r="D16" i="1"/>
  <c r="D46" i="1"/>
  <c r="D45" i="1"/>
  <c r="J280" i="5" l="1"/>
  <c r="M280" i="5"/>
  <c r="I281" i="5"/>
  <c r="J286" i="3"/>
  <c r="N285" i="3"/>
  <c r="J268" i="3"/>
  <c r="N267" i="3"/>
  <c r="N231" i="3"/>
  <c r="J232" i="3"/>
  <c r="Q58" i="2"/>
  <c r="K85" i="2"/>
  <c r="O85" i="2" s="1"/>
  <c r="F86" i="2"/>
  <c r="G85" i="2"/>
  <c r="G62" i="2"/>
  <c r="K62" i="2"/>
  <c r="O62" i="2" s="1"/>
  <c r="F63" i="2"/>
  <c r="N63" i="4"/>
  <c r="J64" i="4"/>
  <c r="K63" i="4"/>
  <c r="L63" i="4" s="1"/>
  <c r="O63" i="4" s="1"/>
  <c r="M85" i="7"/>
  <c r="I86" i="7"/>
  <c r="M63" i="7"/>
  <c r="I64" i="7"/>
  <c r="M167" i="6"/>
  <c r="I168" i="6"/>
  <c r="J167" i="6"/>
  <c r="M71" i="6"/>
  <c r="I72" i="6"/>
  <c r="J71" i="6"/>
  <c r="U7" i="2"/>
  <c r="P10" i="2"/>
  <c r="R36" i="1"/>
  <c r="R35" i="1"/>
  <c r="M281" i="5" l="1"/>
  <c r="I282" i="5"/>
  <c r="J281" i="5"/>
  <c r="N286" i="3"/>
  <c r="J287" i="3"/>
  <c r="N268" i="3"/>
  <c r="J269" i="3"/>
  <c r="N232" i="3"/>
  <c r="J233" i="3"/>
  <c r="Q59" i="2"/>
  <c r="G86" i="2"/>
  <c r="K86" i="2"/>
  <c r="O86" i="2" s="1"/>
  <c r="F87" i="2"/>
  <c r="K63" i="2"/>
  <c r="O63" i="2" s="1"/>
  <c r="F64" i="2"/>
  <c r="G63" i="2"/>
  <c r="K64" i="4"/>
  <c r="L64" i="4" s="1"/>
  <c r="O64" i="4" s="1"/>
  <c r="J65" i="4"/>
  <c r="N64" i="4"/>
  <c r="M86" i="7"/>
  <c r="I87" i="7"/>
  <c r="I65" i="7"/>
  <c r="M64" i="7"/>
  <c r="J168" i="6"/>
  <c r="M168" i="6"/>
  <c r="I169" i="6"/>
  <c r="J72" i="6"/>
  <c r="M72" i="6"/>
  <c r="I73" i="6"/>
  <c r="U8" i="2"/>
  <c r="P11" i="2"/>
  <c r="J41" i="1"/>
  <c r="I44" i="1" s="1"/>
  <c r="L38" i="1"/>
  <c r="N38" i="1" s="1"/>
  <c r="D30" i="1"/>
  <c r="I283" i="5" l="1"/>
  <c r="J282" i="5"/>
  <c r="M282" i="5"/>
  <c r="N287" i="3"/>
  <c r="J288" i="3"/>
  <c r="J270" i="3"/>
  <c r="N269" i="3"/>
  <c r="J234" i="3"/>
  <c r="N233" i="3"/>
  <c r="Q60" i="2"/>
  <c r="G87" i="2"/>
  <c r="K87" i="2"/>
  <c r="O87" i="2" s="1"/>
  <c r="F88" i="2"/>
  <c r="F65" i="2"/>
  <c r="G64" i="2"/>
  <c r="K64" i="2"/>
  <c r="O64" i="2" s="1"/>
  <c r="K65" i="4"/>
  <c r="L65" i="4" s="1"/>
  <c r="O65" i="4" s="1"/>
  <c r="N65" i="4"/>
  <c r="J66" i="4"/>
  <c r="M87" i="7"/>
  <c r="I88" i="7"/>
  <c r="M65" i="7"/>
  <c r="I66" i="7"/>
  <c r="J169" i="6"/>
  <c r="M169" i="6"/>
  <c r="I170" i="6"/>
  <c r="J73" i="6"/>
  <c r="M73" i="6"/>
  <c r="I74" i="6"/>
  <c r="U9" i="2"/>
  <c r="P12" i="2"/>
  <c r="I45" i="1"/>
  <c r="F45" i="1"/>
  <c r="D36" i="1"/>
  <c r="J283" i="5" l="1"/>
  <c r="M283" i="5"/>
  <c r="I284" i="5"/>
  <c r="N288" i="3"/>
  <c r="J289" i="3"/>
  <c r="J271" i="3"/>
  <c r="N270" i="3"/>
  <c r="N234" i="3"/>
  <c r="J235" i="3"/>
  <c r="Q61" i="2"/>
  <c r="G88" i="2"/>
  <c r="K88" i="2"/>
  <c r="O88" i="2" s="1"/>
  <c r="F89" i="2"/>
  <c r="F66" i="2"/>
  <c r="G65" i="2"/>
  <c r="K65" i="2"/>
  <c r="O65" i="2" s="1"/>
  <c r="J67" i="4"/>
  <c r="K66" i="4"/>
  <c r="L66" i="4" s="1"/>
  <c r="O66" i="4" s="1"/>
  <c r="N66" i="4"/>
  <c r="I89" i="7"/>
  <c r="M88" i="7"/>
  <c r="M66" i="7"/>
  <c r="I67" i="7"/>
  <c r="I171" i="6"/>
  <c r="J170" i="6"/>
  <c r="M170" i="6"/>
  <c r="I75" i="6"/>
  <c r="J74" i="6"/>
  <c r="M74" i="6"/>
  <c r="U10" i="2"/>
  <c r="P13" i="2"/>
  <c r="P14" i="2" s="1"/>
  <c r="P15" i="2" s="1"/>
  <c r="P16" i="2" s="1"/>
  <c r="P17" i="2" s="1"/>
  <c r="P18" i="2" s="1"/>
  <c r="P19" i="2" s="1"/>
  <c r="P20" i="2" s="1"/>
  <c r="P21" i="2" s="1"/>
  <c r="P22" i="2" s="1"/>
  <c r="P23" i="2" s="1"/>
  <c r="P24" i="2" s="1"/>
  <c r="P25" i="2" s="1"/>
  <c r="P26" i="2" s="1"/>
  <c r="P27" i="2" s="1"/>
  <c r="P28" i="2" s="1"/>
  <c r="P29" i="2" s="1"/>
  <c r="B47" i="1"/>
  <c r="B49" i="1"/>
  <c r="K3" i="4"/>
  <c r="L3" i="4" s="1"/>
  <c r="F16" i="1"/>
  <c r="H22" i="1"/>
  <c r="B18" i="1"/>
  <c r="B17" i="1" s="1"/>
  <c r="M284" i="5" l="1"/>
  <c r="I285" i="5"/>
  <c r="J284" i="5"/>
  <c r="N289" i="3"/>
  <c r="N271" i="3"/>
  <c r="J272" i="3"/>
  <c r="N235" i="3"/>
  <c r="J236" i="3"/>
  <c r="Q62" i="2"/>
  <c r="K89" i="2"/>
  <c r="O89" i="2" s="1"/>
  <c r="F90" i="2"/>
  <c r="G89" i="2"/>
  <c r="G66" i="2"/>
  <c r="K66" i="2"/>
  <c r="O66" i="2" s="1"/>
  <c r="F67" i="2"/>
  <c r="K67" i="4"/>
  <c r="L67" i="4" s="1"/>
  <c r="O67" i="4" s="1"/>
  <c r="N67" i="4"/>
  <c r="J68" i="4"/>
  <c r="M89" i="7"/>
  <c r="I90" i="7"/>
  <c r="I68" i="7"/>
  <c r="M67" i="7"/>
  <c r="J171" i="6"/>
  <c r="M171" i="6"/>
  <c r="I172" i="6"/>
  <c r="J75" i="6"/>
  <c r="M75" i="6"/>
  <c r="I76" i="6"/>
  <c r="U11" i="2"/>
  <c r="P30" i="2"/>
  <c r="G3" i="2"/>
  <c r="O3" i="3"/>
  <c r="N3" i="3"/>
  <c r="N3" i="4"/>
  <c r="M3" i="5"/>
  <c r="M3" i="6"/>
  <c r="N3" i="7"/>
  <c r="M3" i="7"/>
  <c r="K3" i="2"/>
  <c r="O3" i="2" s="1"/>
  <c r="W3" i="2" s="1"/>
  <c r="Y3" i="2" s="1"/>
  <c r="H3" i="2" s="1"/>
  <c r="L3" i="2" s="1"/>
  <c r="J285" i="5" l="1"/>
  <c r="I286" i="5"/>
  <c r="M285" i="5"/>
  <c r="N272" i="3"/>
  <c r="N236" i="3"/>
  <c r="J237" i="3"/>
  <c r="Q63" i="2"/>
  <c r="F91" i="2"/>
  <c r="K90" i="2"/>
  <c r="O90" i="2" s="1"/>
  <c r="G90" i="2"/>
  <c r="K67" i="2"/>
  <c r="O67" i="2" s="1"/>
  <c r="F68" i="2"/>
  <c r="G67" i="2"/>
  <c r="N68" i="4"/>
  <c r="J69" i="4"/>
  <c r="K68" i="4"/>
  <c r="L68" i="4" s="1"/>
  <c r="O68" i="4" s="1"/>
  <c r="M90" i="7"/>
  <c r="I91" i="7"/>
  <c r="M68" i="7"/>
  <c r="I69" i="7"/>
  <c r="M172" i="6"/>
  <c r="I173" i="6"/>
  <c r="J172" i="6"/>
  <c r="M76" i="6"/>
  <c r="I77" i="6"/>
  <c r="J76" i="6"/>
  <c r="U12" i="2"/>
  <c r="P31" i="2"/>
  <c r="I4" i="5"/>
  <c r="I4" i="7"/>
  <c r="I4" i="6"/>
  <c r="M4" i="6" s="1"/>
  <c r="J286" i="5" l="1"/>
  <c r="M286" i="5"/>
  <c r="I287" i="5"/>
  <c r="N237" i="3"/>
  <c r="J238" i="3"/>
  <c r="Q64" i="2"/>
  <c r="G91" i="2"/>
  <c r="K91" i="2"/>
  <c r="O91" i="2" s="1"/>
  <c r="F92" i="2"/>
  <c r="F69" i="2"/>
  <c r="G68" i="2"/>
  <c r="K68" i="2"/>
  <c r="O68" i="2" s="1"/>
  <c r="J70" i="4"/>
  <c r="K69" i="4"/>
  <c r="L69" i="4" s="1"/>
  <c r="O69" i="4" s="1"/>
  <c r="N69" i="4"/>
  <c r="I92" i="7"/>
  <c r="M91" i="7"/>
  <c r="I70" i="7"/>
  <c r="M69" i="7"/>
  <c r="I174" i="6"/>
  <c r="J173" i="6"/>
  <c r="M173" i="6"/>
  <c r="I78" i="6"/>
  <c r="J77" i="6"/>
  <c r="M77" i="6"/>
  <c r="U13" i="2"/>
  <c r="P32" i="2"/>
  <c r="I5" i="6"/>
  <c r="I5" i="5"/>
  <c r="M4" i="5"/>
  <c r="I5" i="7"/>
  <c r="M4" i="7"/>
  <c r="O3" i="4"/>
  <c r="J4" i="4"/>
  <c r="K4" i="4" s="1"/>
  <c r="L4" i="4" s="1"/>
  <c r="I288" i="5" l="1"/>
  <c r="M287" i="5"/>
  <c r="J287" i="5"/>
  <c r="J239" i="3"/>
  <c r="N238" i="3"/>
  <c r="Q65" i="2"/>
  <c r="G92" i="2"/>
  <c r="K92" i="2"/>
  <c r="O92" i="2" s="1"/>
  <c r="F93" i="2"/>
  <c r="F70" i="2"/>
  <c r="G69" i="2"/>
  <c r="K69" i="2"/>
  <c r="O69" i="2" s="1"/>
  <c r="K70" i="4"/>
  <c r="L70" i="4" s="1"/>
  <c r="O70" i="4" s="1"/>
  <c r="N70" i="4"/>
  <c r="J71" i="4"/>
  <c r="M92" i="7"/>
  <c r="I93" i="7"/>
  <c r="I71" i="7"/>
  <c r="M70" i="7"/>
  <c r="J174" i="6"/>
  <c r="M174" i="6"/>
  <c r="I175" i="6"/>
  <c r="J78" i="6"/>
  <c r="M78" i="6"/>
  <c r="I79" i="6"/>
  <c r="U14" i="2"/>
  <c r="P33" i="2"/>
  <c r="J5" i="4"/>
  <c r="K5" i="4" s="1"/>
  <c r="L5" i="4" s="1"/>
  <c r="N4" i="4"/>
  <c r="I6" i="5"/>
  <c r="M5" i="5"/>
  <c r="I6" i="6"/>
  <c r="M5" i="6"/>
  <c r="I6" i="7"/>
  <c r="M5" i="7"/>
  <c r="O4" i="4"/>
  <c r="J288" i="5" l="1"/>
  <c r="M288" i="5"/>
  <c r="I289" i="5"/>
  <c r="N239" i="3"/>
  <c r="J240" i="3"/>
  <c r="Q66" i="2"/>
  <c r="K93" i="2"/>
  <c r="O93" i="2" s="1"/>
  <c r="F94" i="2"/>
  <c r="G93" i="2"/>
  <c r="G70" i="2"/>
  <c r="K70" i="2"/>
  <c r="O70" i="2" s="1"/>
  <c r="F71" i="2"/>
  <c r="N71" i="4"/>
  <c r="J72" i="4"/>
  <c r="K71" i="4"/>
  <c r="L71" i="4" s="1"/>
  <c r="O71" i="4" s="1"/>
  <c r="M93" i="7"/>
  <c r="I94" i="7"/>
  <c r="M71" i="7"/>
  <c r="I72" i="7"/>
  <c r="M175" i="6"/>
  <c r="I176" i="6"/>
  <c r="J175" i="6"/>
  <c r="M79" i="6"/>
  <c r="I80" i="6"/>
  <c r="J79" i="6"/>
  <c r="U15" i="2"/>
  <c r="P34" i="2"/>
  <c r="J12" i="3"/>
  <c r="I7" i="5"/>
  <c r="M6" i="5"/>
  <c r="I7" i="6"/>
  <c r="M6" i="6"/>
  <c r="J6" i="4"/>
  <c r="K6" i="4" s="1"/>
  <c r="L6" i="4" s="1"/>
  <c r="N5" i="4"/>
  <c r="O5" i="4"/>
  <c r="I7" i="7"/>
  <c r="M6" i="7"/>
  <c r="F4" i="2"/>
  <c r="B11" i="1"/>
  <c r="K239" i="3" s="1"/>
  <c r="L239" i="3" s="1"/>
  <c r="O239" i="3" s="1"/>
  <c r="E2" i="1"/>
  <c r="D2" i="1"/>
  <c r="J93" i="7" l="1"/>
  <c r="K93" i="7" s="1"/>
  <c r="N93" i="7" s="1"/>
  <c r="K218" i="3"/>
  <c r="L218" i="3" s="1"/>
  <c r="O218" i="3" s="1"/>
  <c r="K255" i="3"/>
  <c r="L255" i="3" s="1"/>
  <c r="O255" i="3" s="1"/>
  <c r="K254" i="3"/>
  <c r="L254" i="3" s="1"/>
  <c r="O254" i="3" s="1"/>
  <c r="K273" i="3"/>
  <c r="L273" i="3" s="1"/>
  <c r="O273" i="3" s="1"/>
  <c r="K219" i="3"/>
  <c r="L219" i="3" s="1"/>
  <c r="O219" i="3" s="1"/>
  <c r="K274" i="3"/>
  <c r="L274" i="3" s="1"/>
  <c r="O274" i="3" s="1"/>
  <c r="K256" i="3"/>
  <c r="L256" i="3" s="1"/>
  <c r="O256" i="3" s="1"/>
  <c r="K220" i="3"/>
  <c r="L220" i="3" s="1"/>
  <c r="O220" i="3" s="1"/>
  <c r="K275" i="3"/>
  <c r="L275" i="3" s="1"/>
  <c r="O275" i="3" s="1"/>
  <c r="K257" i="3"/>
  <c r="L257" i="3" s="1"/>
  <c r="O257" i="3" s="1"/>
  <c r="K221" i="3"/>
  <c r="L221" i="3" s="1"/>
  <c r="O221" i="3" s="1"/>
  <c r="K258" i="3"/>
  <c r="L258" i="3" s="1"/>
  <c r="O258" i="3" s="1"/>
  <c r="K222" i="3"/>
  <c r="L222" i="3" s="1"/>
  <c r="O222" i="3" s="1"/>
  <c r="K276" i="3"/>
  <c r="L276" i="3" s="1"/>
  <c r="O276" i="3" s="1"/>
  <c r="K277" i="3"/>
  <c r="L277" i="3" s="1"/>
  <c r="O277" i="3" s="1"/>
  <c r="K259" i="3"/>
  <c r="L259" i="3" s="1"/>
  <c r="O259" i="3" s="1"/>
  <c r="K223" i="3"/>
  <c r="L223" i="3" s="1"/>
  <c r="O223" i="3" s="1"/>
  <c r="K260" i="3"/>
  <c r="L260" i="3" s="1"/>
  <c r="O260" i="3" s="1"/>
  <c r="K224" i="3"/>
  <c r="L224" i="3" s="1"/>
  <c r="O224" i="3" s="1"/>
  <c r="K278" i="3"/>
  <c r="L278" i="3" s="1"/>
  <c r="O278" i="3" s="1"/>
  <c r="K225" i="3"/>
  <c r="L225" i="3" s="1"/>
  <c r="O225" i="3" s="1"/>
  <c r="K279" i="3"/>
  <c r="L279" i="3" s="1"/>
  <c r="O279" i="3" s="1"/>
  <c r="K261" i="3"/>
  <c r="L261" i="3" s="1"/>
  <c r="O261" i="3" s="1"/>
  <c r="K280" i="3"/>
  <c r="L280" i="3" s="1"/>
  <c r="O280" i="3" s="1"/>
  <c r="K226" i="3"/>
  <c r="L226" i="3" s="1"/>
  <c r="O226" i="3" s="1"/>
  <c r="K262" i="3"/>
  <c r="L262" i="3" s="1"/>
  <c r="O262" i="3" s="1"/>
  <c r="K263" i="3"/>
  <c r="L263" i="3" s="1"/>
  <c r="O263" i="3" s="1"/>
  <c r="K281" i="3"/>
  <c r="L281" i="3" s="1"/>
  <c r="O281" i="3" s="1"/>
  <c r="K227" i="3"/>
  <c r="L227" i="3" s="1"/>
  <c r="O227" i="3" s="1"/>
  <c r="K264" i="3"/>
  <c r="L264" i="3" s="1"/>
  <c r="O264" i="3" s="1"/>
  <c r="K228" i="3"/>
  <c r="L228" i="3" s="1"/>
  <c r="O228" i="3" s="1"/>
  <c r="K282" i="3"/>
  <c r="L282" i="3" s="1"/>
  <c r="O282" i="3" s="1"/>
  <c r="K229" i="3"/>
  <c r="L229" i="3" s="1"/>
  <c r="O229" i="3" s="1"/>
  <c r="K283" i="3"/>
  <c r="L283" i="3" s="1"/>
  <c r="O283" i="3" s="1"/>
  <c r="K265" i="3"/>
  <c r="L265" i="3" s="1"/>
  <c r="O265" i="3" s="1"/>
  <c r="K266" i="3"/>
  <c r="L266" i="3" s="1"/>
  <c r="O266" i="3" s="1"/>
  <c r="K230" i="3"/>
  <c r="L230" i="3" s="1"/>
  <c r="O230" i="3" s="1"/>
  <c r="K284" i="3"/>
  <c r="L284" i="3" s="1"/>
  <c r="O284" i="3" s="1"/>
  <c r="K267" i="3"/>
  <c r="L267" i="3" s="1"/>
  <c r="O267" i="3" s="1"/>
  <c r="K231" i="3"/>
  <c r="L231" i="3" s="1"/>
  <c r="O231" i="3" s="1"/>
  <c r="K285" i="3"/>
  <c r="L285" i="3" s="1"/>
  <c r="O285" i="3" s="1"/>
  <c r="K286" i="3"/>
  <c r="L286" i="3" s="1"/>
  <c r="O286" i="3" s="1"/>
  <c r="K268" i="3"/>
  <c r="L268" i="3" s="1"/>
  <c r="O268" i="3" s="1"/>
  <c r="K232" i="3"/>
  <c r="L232" i="3" s="1"/>
  <c r="O232" i="3" s="1"/>
  <c r="K269" i="3"/>
  <c r="L269" i="3" s="1"/>
  <c r="O269" i="3" s="1"/>
  <c r="K233" i="3"/>
  <c r="L233" i="3" s="1"/>
  <c r="O233" i="3" s="1"/>
  <c r="K287" i="3"/>
  <c r="L287" i="3" s="1"/>
  <c r="O287" i="3" s="1"/>
  <c r="K234" i="3"/>
  <c r="L234" i="3" s="1"/>
  <c r="O234" i="3" s="1"/>
  <c r="K288" i="3"/>
  <c r="L288" i="3" s="1"/>
  <c r="O288" i="3" s="1"/>
  <c r="K270" i="3"/>
  <c r="L270" i="3" s="1"/>
  <c r="O270" i="3" s="1"/>
  <c r="K271" i="3"/>
  <c r="L271" i="3" s="1"/>
  <c r="O271" i="3" s="1"/>
  <c r="K289" i="3"/>
  <c r="L289" i="3" s="1"/>
  <c r="O289" i="3" s="1"/>
  <c r="K235" i="3"/>
  <c r="L235" i="3" s="1"/>
  <c r="O235" i="3" s="1"/>
  <c r="K272" i="3"/>
  <c r="L272" i="3" s="1"/>
  <c r="O272" i="3" s="1"/>
  <c r="K236" i="3"/>
  <c r="L236" i="3" s="1"/>
  <c r="O236" i="3" s="1"/>
  <c r="K237" i="3"/>
  <c r="L237" i="3" s="1"/>
  <c r="O237" i="3" s="1"/>
  <c r="K238" i="3"/>
  <c r="L238" i="3" s="1"/>
  <c r="O238" i="3" s="1"/>
  <c r="M289" i="5"/>
  <c r="I290" i="5"/>
  <c r="J289" i="5"/>
  <c r="N240" i="3"/>
  <c r="J241" i="3"/>
  <c r="K240" i="3"/>
  <c r="L240" i="3" s="1"/>
  <c r="O240" i="3" s="1"/>
  <c r="Q67" i="2"/>
  <c r="J71" i="7"/>
  <c r="K71" i="7" s="1"/>
  <c r="N71" i="7" s="1"/>
  <c r="K11" i="3"/>
  <c r="L11" i="3" s="1"/>
  <c r="J54" i="7"/>
  <c r="K54" i="7" s="1"/>
  <c r="N54" i="7" s="1"/>
  <c r="J55" i="7"/>
  <c r="K55" i="7" s="1"/>
  <c r="N55" i="7" s="1"/>
  <c r="J76" i="7"/>
  <c r="K76" i="7" s="1"/>
  <c r="N76" i="7" s="1"/>
  <c r="J77" i="7"/>
  <c r="K77" i="7" s="1"/>
  <c r="N77" i="7" s="1"/>
  <c r="J56" i="7"/>
  <c r="K56" i="7" s="1"/>
  <c r="N56" i="7" s="1"/>
  <c r="J78" i="7"/>
  <c r="K78" i="7" s="1"/>
  <c r="N78" i="7" s="1"/>
  <c r="J79" i="7"/>
  <c r="K79" i="7" s="1"/>
  <c r="N79" i="7" s="1"/>
  <c r="J57" i="7"/>
  <c r="K57" i="7" s="1"/>
  <c r="N57" i="7" s="1"/>
  <c r="J80" i="7"/>
  <c r="K80" i="7" s="1"/>
  <c r="N80" i="7" s="1"/>
  <c r="J58" i="7"/>
  <c r="K58" i="7" s="1"/>
  <c r="N58" i="7" s="1"/>
  <c r="J81" i="7"/>
  <c r="K81" i="7" s="1"/>
  <c r="N81" i="7" s="1"/>
  <c r="J59" i="7"/>
  <c r="K59" i="7" s="1"/>
  <c r="N59" i="7" s="1"/>
  <c r="J82" i="7"/>
  <c r="K82" i="7" s="1"/>
  <c r="N82" i="7" s="1"/>
  <c r="J60" i="7"/>
  <c r="K60" i="7" s="1"/>
  <c r="N60" i="7" s="1"/>
  <c r="J61" i="7"/>
  <c r="K61" i="7" s="1"/>
  <c r="N61" i="7" s="1"/>
  <c r="J83" i="7"/>
  <c r="K83" i="7" s="1"/>
  <c r="N83" i="7" s="1"/>
  <c r="J62" i="7"/>
  <c r="K62" i="7" s="1"/>
  <c r="N62" i="7" s="1"/>
  <c r="J84" i="7"/>
  <c r="K84" i="7" s="1"/>
  <c r="N84" i="7" s="1"/>
  <c r="J63" i="7"/>
  <c r="K63" i="7" s="1"/>
  <c r="N63" i="7" s="1"/>
  <c r="J85" i="7"/>
  <c r="K85" i="7" s="1"/>
  <c r="N85" i="7" s="1"/>
  <c r="J64" i="7"/>
  <c r="K64" i="7" s="1"/>
  <c r="N64" i="7" s="1"/>
  <c r="J86" i="7"/>
  <c r="K86" i="7" s="1"/>
  <c r="N86" i="7" s="1"/>
  <c r="J65" i="7"/>
  <c r="K65" i="7" s="1"/>
  <c r="N65" i="7" s="1"/>
  <c r="J87" i="7"/>
  <c r="K87" i="7" s="1"/>
  <c r="N87" i="7" s="1"/>
  <c r="J88" i="7"/>
  <c r="K88" i="7" s="1"/>
  <c r="N88" i="7" s="1"/>
  <c r="J66" i="7"/>
  <c r="K66" i="7" s="1"/>
  <c r="N66" i="7" s="1"/>
  <c r="K75" i="3"/>
  <c r="L75" i="3" s="1"/>
  <c r="O75" i="3" s="1"/>
  <c r="K139" i="3"/>
  <c r="L139" i="3" s="1"/>
  <c r="O139" i="3" s="1"/>
  <c r="K203" i="3"/>
  <c r="L203" i="3" s="1"/>
  <c r="O203" i="3" s="1"/>
  <c r="K76" i="3"/>
  <c r="L76" i="3" s="1"/>
  <c r="O76" i="3" s="1"/>
  <c r="K77" i="3"/>
  <c r="L77" i="3" s="1"/>
  <c r="O77" i="3" s="1"/>
  <c r="K54" i="3"/>
  <c r="L54" i="3" s="1"/>
  <c r="O54" i="3" s="1"/>
  <c r="K118" i="3"/>
  <c r="L118" i="3" s="1"/>
  <c r="O118" i="3" s="1"/>
  <c r="K182" i="3"/>
  <c r="L182" i="3" s="1"/>
  <c r="O182" i="3" s="1"/>
  <c r="K156" i="3"/>
  <c r="L156" i="3" s="1"/>
  <c r="O156" i="3" s="1"/>
  <c r="K95" i="3"/>
  <c r="L95" i="3" s="1"/>
  <c r="O95" i="3" s="1"/>
  <c r="K159" i="3"/>
  <c r="L159" i="3" s="1"/>
  <c r="O159" i="3" s="1"/>
  <c r="K133" i="3"/>
  <c r="L133" i="3" s="1"/>
  <c r="O133" i="3" s="1"/>
  <c r="K112" i="3"/>
  <c r="L112" i="3" s="1"/>
  <c r="O112" i="3" s="1"/>
  <c r="K176" i="3"/>
  <c r="L176" i="3" s="1"/>
  <c r="O176" i="3" s="1"/>
  <c r="K165" i="3"/>
  <c r="L165" i="3" s="1"/>
  <c r="O165" i="3" s="1"/>
  <c r="K113" i="3"/>
  <c r="L113" i="3" s="1"/>
  <c r="O113" i="3" s="1"/>
  <c r="K177" i="3"/>
  <c r="L177" i="3" s="1"/>
  <c r="O177" i="3" s="1"/>
  <c r="K148" i="3"/>
  <c r="L148" i="3" s="1"/>
  <c r="O148" i="3" s="1"/>
  <c r="K90" i="3"/>
  <c r="L90" i="3" s="1"/>
  <c r="O90" i="3" s="1"/>
  <c r="K154" i="3"/>
  <c r="L154" i="3" s="1"/>
  <c r="O154" i="3" s="1"/>
  <c r="K172" i="3"/>
  <c r="L172" i="3" s="1"/>
  <c r="O172" i="3" s="1"/>
  <c r="K83" i="3"/>
  <c r="L83" i="3" s="1"/>
  <c r="O83" i="3" s="1"/>
  <c r="K147" i="3"/>
  <c r="L147" i="3" s="1"/>
  <c r="O147" i="3" s="1"/>
  <c r="K211" i="3"/>
  <c r="L211" i="3" s="1"/>
  <c r="O211" i="3" s="1"/>
  <c r="K100" i="3"/>
  <c r="L100" i="3" s="1"/>
  <c r="O100" i="3" s="1"/>
  <c r="K85" i="3"/>
  <c r="L85" i="3" s="1"/>
  <c r="O85" i="3" s="1"/>
  <c r="K62" i="3"/>
  <c r="L62" i="3" s="1"/>
  <c r="O62" i="3" s="1"/>
  <c r="K126" i="3"/>
  <c r="L126" i="3" s="1"/>
  <c r="O126" i="3" s="1"/>
  <c r="K190" i="3"/>
  <c r="L190" i="3" s="1"/>
  <c r="O190" i="3" s="1"/>
  <c r="K141" i="3"/>
  <c r="L141" i="3" s="1"/>
  <c r="O141" i="3" s="1"/>
  <c r="K103" i="3"/>
  <c r="L103" i="3" s="1"/>
  <c r="O103" i="3" s="1"/>
  <c r="K167" i="3"/>
  <c r="L167" i="3" s="1"/>
  <c r="O167" i="3" s="1"/>
  <c r="K56" i="3"/>
  <c r="L56" i="3" s="1"/>
  <c r="O56" i="3" s="1"/>
  <c r="K120" i="3"/>
  <c r="L120" i="3" s="1"/>
  <c r="O120" i="3" s="1"/>
  <c r="K184" i="3"/>
  <c r="L184" i="3" s="1"/>
  <c r="O184" i="3" s="1"/>
  <c r="K57" i="3"/>
  <c r="L57" i="3" s="1"/>
  <c r="O57" i="3" s="1"/>
  <c r="K121" i="3"/>
  <c r="L121" i="3" s="1"/>
  <c r="O121" i="3" s="1"/>
  <c r="K185" i="3"/>
  <c r="L185" i="3" s="1"/>
  <c r="O185" i="3" s="1"/>
  <c r="K180" i="3"/>
  <c r="L180" i="3" s="1"/>
  <c r="O180" i="3" s="1"/>
  <c r="K98" i="3"/>
  <c r="L98" i="3" s="1"/>
  <c r="O98" i="3" s="1"/>
  <c r="K162" i="3"/>
  <c r="L162" i="3" s="1"/>
  <c r="O162" i="3" s="1"/>
  <c r="K173" i="3"/>
  <c r="L173" i="3" s="1"/>
  <c r="O173" i="3" s="1"/>
  <c r="K155" i="3"/>
  <c r="L155" i="3" s="1"/>
  <c r="O155" i="3" s="1"/>
  <c r="K134" i="3"/>
  <c r="L134" i="3" s="1"/>
  <c r="O134" i="3" s="1"/>
  <c r="K111" i="3"/>
  <c r="L111" i="3" s="1"/>
  <c r="O111" i="3" s="1"/>
  <c r="K64" i="3"/>
  <c r="L64" i="3" s="1"/>
  <c r="O64" i="3" s="1"/>
  <c r="K192" i="3"/>
  <c r="L192" i="3" s="1"/>
  <c r="O192" i="3" s="1"/>
  <c r="K65" i="3"/>
  <c r="L65" i="3" s="1"/>
  <c r="O65" i="3" s="1"/>
  <c r="K193" i="3"/>
  <c r="L193" i="3" s="1"/>
  <c r="O193" i="3" s="1"/>
  <c r="K106" i="3"/>
  <c r="L106" i="3" s="1"/>
  <c r="O106" i="3" s="1"/>
  <c r="K91" i="3"/>
  <c r="L91" i="3" s="1"/>
  <c r="O91" i="3" s="1"/>
  <c r="K108" i="3"/>
  <c r="L108" i="3" s="1"/>
  <c r="O108" i="3" s="1"/>
  <c r="K140" i="3"/>
  <c r="L140" i="3" s="1"/>
  <c r="O140" i="3" s="1"/>
  <c r="K93" i="3"/>
  <c r="L93" i="3" s="1"/>
  <c r="O93" i="3" s="1"/>
  <c r="K70" i="3"/>
  <c r="L70" i="3" s="1"/>
  <c r="O70" i="3" s="1"/>
  <c r="K198" i="3"/>
  <c r="L198" i="3" s="1"/>
  <c r="O198" i="3" s="1"/>
  <c r="K205" i="3"/>
  <c r="L205" i="3" s="1"/>
  <c r="O205" i="3" s="1"/>
  <c r="K183" i="3"/>
  <c r="L183" i="3" s="1"/>
  <c r="O183" i="3" s="1"/>
  <c r="K128" i="3"/>
  <c r="L128" i="3" s="1"/>
  <c r="O128" i="3" s="1"/>
  <c r="K129" i="3"/>
  <c r="L129" i="3" s="1"/>
  <c r="O129" i="3" s="1"/>
  <c r="K149" i="3"/>
  <c r="L149" i="3" s="1"/>
  <c r="O149" i="3" s="1"/>
  <c r="K170" i="3"/>
  <c r="L170" i="3" s="1"/>
  <c r="O170" i="3" s="1"/>
  <c r="K99" i="3"/>
  <c r="L99" i="3" s="1"/>
  <c r="O99" i="3" s="1"/>
  <c r="K163" i="3"/>
  <c r="L163" i="3" s="1"/>
  <c r="O163" i="3" s="1"/>
  <c r="K164" i="3"/>
  <c r="L164" i="3" s="1"/>
  <c r="O164" i="3" s="1"/>
  <c r="K196" i="3"/>
  <c r="L196" i="3" s="1"/>
  <c r="O196" i="3" s="1"/>
  <c r="K101" i="3"/>
  <c r="L101" i="3" s="1"/>
  <c r="O101" i="3" s="1"/>
  <c r="K78" i="3"/>
  <c r="L78" i="3" s="1"/>
  <c r="O78" i="3" s="1"/>
  <c r="K142" i="3"/>
  <c r="L142" i="3" s="1"/>
  <c r="O142" i="3" s="1"/>
  <c r="K206" i="3"/>
  <c r="L206" i="3" s="1"/>
  <c r="O206" i="3" s="1"/>
  <c r="K55" i="3"/>
  <c r="L55" i="3" s="1"/>
  <c r="O55" i="3" s="1"/>
  <c r="K119" i="3"/>
  <c r="L119" i="3" s="1"/>
  <c r="O119" i="3" s="1"/>
  <c r="K191" i="3"/>
  <c r="L191" i="3" s="1"/>
  <c r="O191" i="3" s="1"/>
  <c r="K72" i="3"/>
  <c r="L72" i="3" s="1"/>
  <c r="O72" i="3" s="1"/>
  <c r="K136" i="3"/>
  <c r="L136" i="3" s="1"/>
  <c r="O136" i="3" s="1"/>
  <c r="K200" i="3"/>
  <c r="L200" i="3" s="1"/>
  <c r="O200" i="3" s="1"/>
  <c r="K73" i="3"/>
  <c r="L73" i="3" s="1"/>
  <c r="O73" i="3" s="1"/>
  <c r="K137" i="3"/>
  <c r="L137" i="3" s="1"/>
  <c r="O137" i="3" s="1"/>
  <c r="K201" i="3"/>
  <c r="L201" i="3" s="1"/>
  <c r="O201" i="3" s="1"/>
  <c r="K197" i="3"/>
  <c r="L197" i="3" s="1"/>
  <c r="O197" i="3" s="1"/>
  <c r="K114" i="3"/>
  <c r="L114" i="3" s="1"/>
  <c r="O114" i="3" s="1"/>
  <c r="K178" i="3"/>
  <c r="L178" i="3" s="1"/>
  <c r="O178" i="3" s="1"/>
  <c r="J89" i="7"/>
  <c r="K89" i="7" s="1"/>
  <c r="N89" i="7" s="1"/>
  <c r="K107" i="3"/>
  <c r="L107" i="3" s="1"/>
  <c r="O107" i="3" s="1"/>
  <c r="K171" i="3"/>
  <c r="L171" i="3" s="1"/>
  <c r="O171" i="3" s="1"/>
  <c r="K212" i="3"/>
  <c r="L212" i="3" s="1"/>
  <c r="O212" i="3" s="1"/>
  <c r="K181" i="3"/>
  <c r="L181" i="3" s="1"/>
  <c r="O181" i="3" s="1"/>
  <c r="K109" i="3"/>
  <c r="L109" i="3" s="1"/>
  <c r="O109" i="3" s="1"/>
  <c r="K86" i="3"/>
  <c r="L86" i="3" s="1"/>
  <c r="O86" i="3" s="1"/>
  <c r="K150" i="3"/>
  <c r="L150" i="3" s="1"/>
  <c r="O150" i="3" s="1"/>
  <c r="K214" i="3"/>
  <c r="L214" i="3" s="1"/>
  <c r="O214" i="3" s="1"/>
  <c r="K63" i="3"/>
  <c r="L63" i="3" s="1"/>
  <c r="O63" i="3" s="1"/>
  <c r="K127" i="3"/>
  <c r="L127" i="3" s="1"/>
  <c r="O127" i="3" s="1"/>
  <c r="K199" i="3"/>
  <c r="L199" i="3" s="1"/>
  <c r="O199" i="3" s="1"/>
  <c r="K80" i="3"/>
  <c r="L80" i="3" s="1"/>
  <c r="O80" i="3" s="1"/>
  <c r="K144" i="3"/>
  <c r="L144" i="3" s="1"/>
  <c r="O144" i="3" s="1"/>
  <c r="K208" i="3"/>
  <c r="L208" i="3" s="1"/>
  <c r="O208" i="3" s="1"/>
  <c r="K81" i="3"/>
  <c r="L81" i="3" s="1"/>
  <c r="O81" i="3" s="1"/>
  <c r="K145" i="3"/>
  <c r="L145" i="3" s="1"/>
  <c r="O145" i="3" s="1"/>
  <c r="K209" i="3"/>
  <c r="L209" i="3" s="1"/>
  <c r="O209" i="3" s="1"/>
  <c r="K58" i="3"/>
  <c r="L58" i="3" s="1"/>
  <c r="O58" i="3" s="1"/>
  <c r="K122" i="3"/>
  <c r="L122" i="3" s="1"/>
  <c r="O122" i="3" s="1"/>
  <c r="K186" i="3"/>
  <c r="L186" i="3" s="1"/>
  <c r="O186" i="3" s="1"/>
  <c r="K115" i="3"/>
  <c r="L115" i="3" s="1"/>
  <c r="O115" i="3" s="1"/>
  <c r="K179" i="3"/>
  <c r="L179" i="3" s="1"/>
  <c r="O179" i="3" s="1"/>
  <c r="K125" i="3"/>
  <c r="L125" i="3" s="1"/>
  <c r="O125" i="3" s="1"/>
  <c r="K213" i="3"/>
  <c r="L213" i="3" s="1"/>
  <c r="O213" i="3" s="1"/>
  <c r="K117" i="3"/>
  <c r="L117" i="3" s="1"/>
  <c r="O117" i="3" s="1"/>
  <c r="K94" i="3"/>
  <c r="L94" i="3" s="1"/>
  <c r="O94" i="3" s="1"/>
  <c r="K158" i="3"/>
  <c r="L158" i="3" s="1"/>
  <c r="O158" i="3" s="1"/>
  <c r="K175" i="3"/>
  <c r="L175" i="3" s="1"/>
  <c r="O175" i="3" s="1"/>
  <c r="K71" i="3"/>
  <c r="L71" i="3" s="1"/>
  <c r="O71" i="3" s="1"/>
  <c r="K135" i="3"/>
  <c r="L135" i="3" s="1"/>
  <c r="O135" i="3" s="1"/>
  <c r="K215" i="3"/>
  <c r="L215" i="3" s="1"/>
  <c r="O215" i="3" s="1"/>
  <c r="K88" i="3"/>
  <c r="L88" i="3" s="1"/>
  <c r="O88" i="3" s="1"/>
  <c r="K152" i="3"/>
  <c r="L152" i="3" s="1"/>
  <c r="O152" i="3" s="1"/>
  <c r="K216" i="3"/>
  <c r="L216" i="3" s="1"/>
  <c r="O216" i="3" s="1"/>
  <c r="K89" i="3"/>
  <c r="L89" i="3" s="1"/>
  <c r="O89" i="3" s="1"/>
  <c r="K153" i="3"/>
  <c r="L153" i="3" s="1"/>
  <c r="O153" i="3" s="1"/>
  <c r="K217" i="3"/>
  <c r="L217" i="3" s="1"/>
  <c r="O217" i="3" s="1"/>
  <c r="K66" i="3"/>
  <c r="L66" i="3" s="1"/>
  <c r="O66" i="3" s="1"/>
  <c r="K130" i="3"/>
  <c r="L130" i="3" s="1"/>
  <c r="O130" i="3" s="1"/>
  <c r="K194" i="3"/>
  <c r="L194" i="3" s="1"/>
  <c r="O194" i="3" s="1"/>
  <c r="K59" i="3"/>
  <c r="L59" i="3" s="1"/>
  <c r="O59" i="3" s="1"/>
  <c r="K123" i="3"/>
  <c r="L123" i="3" s="1"/>
  <c r="O123" i="3" s="1"/>
  <c r="K187" i="3"/>
  <c r="L187" i="3" s="1"/>
  <c r="O187" i="3" s="1"/>
  <c r="K60" i="3"/>
  <c r="L60" i="3" s="1"/>
  <c r="O60" i="3" s="1"/>
  <c r="K61" i="3"/>
  <c r="L61" i="3" s="1"/>
  <c r="O61" i="3" s="1"/>
  <c r="K157" i="3"/>
  <c r="L157" i="3" s="1"/>
  <c r="O157" i="3" s="1"/>
  <c r="K102" i="3"/>
  <c r="L102" i="3" s="1"/>
  <c r="O102" i="3" s="1"/>
  <c r="K166" i="3"/>
  <c r="L166" i="3" s="1"/>
  <c r="O166" i="3" s="1"/>
  <c r="K207" i="3"/>
  <c r="L207" i="3" s="1"/>
  <c r="O207" i="3" s="1"/>
  <c r="K79" i="3"/>
  <c r="L79" i="3" s="1"/>
  <c r="O79" i="3" s="1"/>
  <c r="K143" i="3"/>
  <c r="L143" i="3" s="1"/>
  <c r="O143" i="3" s="1"/>
  <c r="K116" i="3"/>
  <c r="L116" i="3" s="1"/>
  <c r="O116" i="3" s="1"/>
  <c r="K96" i="3"/>
  <c r="L96" i="3" s="1"/>
  <c r="O96" i="3" s="1"/>
  <c r="K160" i="3"/>
  <c r="L160" i="3" s="1"/>
  <c r="O160" i="3" s="1"/>
  <c r="K132" i="3"/>
  <c r="L132" i="3" s="1"/>
  <c r="O132" i="3" s="1"/>
  <c r="K97" i="3"/>
  <c r="L97" i="3" s="1"/>
  <c r="O97" i="3" s="1"/>
  <c r="K161" i="3"/>
  <c r="L161" i="3" s="1"/>
  <c r="O161" i="3" s="1"/>
  <c r="K84" i="3"/>
  <c r="L84" i="3" s="1"/>
  <c r="O84" i="3" s="1"/>
  <c r="K74" i="3"/>
  <c r="L74" i="3" s="1"/>
  <c r="O74" i="3" s="1"/>
  <c r="K138" i="3"/>
  <c r="L138" i="3" s="1"/>
  <c r="O138" i="3" s="1"/>
  <c r="K202" i="3"/>
  <c r="L202" i="3" s="1"/>
  <c r="O202" i="3" s="1"/>
  <c r="K67" i="3"/>
  <c r="L67" i="3" s="1"/>
  <c r="O67" i="3" s="1"/>
  <c r="K131" i="3"/>
  <c r="L131" i="3" s="1"/>
  <c r="O131" i="3" s="1"/>
  <c r="K195" i="3"/>
  <c r="L195" i="3" s="1"/>
  <c r="O195" i="3" s="1"/>
  <c r="K68" i="3"/>
  <c r="L68" i="3" s="1"/>
  <c r="O68" i="3" s="1"/>
  <c r="K69" i="3"/>
  <c r="L69" i="3" s="1"/>
  <c r="O69" i="3" s="1"/>
  <c r="K189" i="3"/>
  <c r="L189" i="3" s="1"/>
  <c r="O189" i="3" s="1"/>
  <c r="K110" i="3"/>
  <c r="L110" i="3" s="1"/>
  <c r="O110" i="3" s="1"/>
  <c r="K174" i="3"/>
  <c r="L174" i="3" s="1"/>
  <c r="O174" i="3" s="1"/>
  <c r="K92" i="3"/>
  <c r="L92" i="3" s="1"/>
  <c r="O92" i="3" s="1"/>
  <c r="K87" i="3"/>
  <c r="L87" i="3" s="1"/>
  <c r="O87" i="3" s="1"/>
  <c r="K151" i="3"/>
  <c r="L151" i="3" s="1"/>
  <c r="O151" i="3" s="1"/>
  <c r="K188" i="3"/>
  <c r="L188" i="3" s="1"/>
  <c r="O188" i="3" s="1"/>
  <c r="K104" i="3"/>
  <c r="L104" i="3" s="1"/>
  <c r="O104" i="3" s="1"/>
  <c r="K168" i="3"/>
  <c r="L168" i="3" s="1"/>
  <c r="O168" i="3" s="1"/>
  <c r="K204" i="3"/>
  <c r="L204" i="3" s="1"/>
  <c r="O204" i="3" s="1"/>
  <c r="K105" i="3"/>
  <c r="L105" i="3" s="1"/>
  <c r="O105" i="3" s="1"/>
  <c r="K169" i="3"/>
  <c r="L169" i="3" s="1"/>
  <c r="O169" i="3" s="1"/>
  <c r="K124" i="3"/>
  <c r="L124" i="3" s="1"/>
  <c r="O124" i="3" s="1"/>
  <c r="K82" i="3"/>
  <c r="L82" i="3" s="1"/>
  <c r="O82" i="3" s="1"/>
  <c r="K146" i="3"/>
  <c r="L146" i="3" s="1"/>
  <c r="O146" i="3" s="1"/>
  <c r="K210" i="3"/>
  <c r="L210" i="3" s="1"/>
  <c r="O210" i="3" s="1"/>
  <c r="J67" i="7"/>
  <c r="K67" i="7" s="1"/>
  <c r="N67" i="7" s="1"/>
  <c r="J90" i="7"/>
  <c r="K90" i="7" s="1"/>
  <c r="N90" i="7" s="1"/>
  <c r="J68" i="7"/>
  <c r="K68" i="7" s="1"/>
  <c r="N68" i="7" s="1"/>
  <c r="J91" i="7"/>
  <c r="K91" i="7" s="1"/>
  <c r="N91" i="7" s="1"/>
  <c r="J69" i="7"/>
  <c r="K69" i="7" s="1"/>
  <c r="N69" i="7" s="1"/>
  <c r="J92" i="7"/>
  <c r="K92" i="7" s="1"/>
  <c r="N92" i="7" s="1"/>
  <c r="J70" i="7"/>
  <c r="K70" i="7" s="1"/>
  <c r="N70" i="7" s="1"/>
  <c r="K94" i="2"/>
  <c r="O94" i="2" s="1"/>
  <c r="F95" i="2"/>
  <c r="G94" i="2"/>
  <c r="K71" i="2"/>
  <c r="O71" i="2" s="1"/>
  <c r="F72" i="2"/>
  <c r="G71" i="2"/>
  <c r="K72" i="4"/>
  <c r="L72" i="4" s="1"/>
  <c r="O72" i="4" s="1"/>
  <c r="N72" i="4"/>
  <c r="J73" i="4"/>
  <c r="J94" i="7"/>
  <c r="K94" i="7" s="1"/>
  <c r="N94" i="7" s="1"/>
  <c r="M94" i="7"/>
  <c r="I95" i="7"/>
  <c r="I73" i="7"/>
  <c r="J72" i="7"/>
  <c r="K72" i="7" s="1"/>
  <c r="N72" i="7" s="1"/>
  <c r="M72" i="7"/>
  <c r="J176" i="6"/>
  <c r="M176" i="6"/>
  <c r="I177" i="6"/>
  <c r="J80" i="6"/>
  <c r="I81" i="6"/>
  <c r="M80" i="6"/>
  <c r="U16" i="2"/>
  <c r="P35" i="2"/>
  <c r="G4" i="2"/>
  <c r="O4" i="3"/>
  <c r="J13" i="3"/>
  <c r="K12" i="3"/>
  <c r="L12" i="3" s="1"/>
  <c r="K4" i="2"/>
  <c r="O4" i="2" s="1"/>
  <c r="W4" i="2" s="1"/>
  <c r="Y4" i="2" s="1"/>
  <c r="H4" i="2" s="1"/>
  <c r="I8" i="6"/>
  <c r="M7" i="6"/>
  <c r="N4" i="3"/>
  <c r="J7" i="4"/>
  <c r="K7" i="4" s="1"/>
  <c r="L7" i="4" s="1"/>
  <c r="N6" i="4"/>
  <c r="O6" i="4"/>
  <c r="I8" i="5"/>
  <c r="M7" i="5"/>
  <c r="I8" i="7"/>
  <c r="J8" i="7" s="1"/>
  <c r="K8" i="7" s="1"/>
  <c r="N8" i="7" s="1"/>
  <c r="M7" i="7"/>
  <c r="B12" i="1"/>
  <c r="K3" i="6" s="1"/>
  <c r="J4" i="7"/>
  <c r="K4" i="7" s="1"/>
  <c r="N4" i="7" s="1"/>
  <c r="J6" i="7"/>
  <c r="K6" i="7" s="1"/>
  <c r="N6" i="7" s="1"/>
  <c r="J7" i="7"/>
  <c r="K7" i="7" s="1"/>
  <c r="N7" i="7" s="1"/>
  <c r="J5" i="7"/>
  <c r="K5" i="7" s="1"/>
  <c r="N5" i="7" s="1"/>
  <c r="F5" i="2"/>
  <c r="G5" i="2" s="1"/>
  <c r="O5" i="3"/>
  <c r="K289" i="5" l="1"/>
  <c r="N289" i="5" s="1"/>
  <c r="K267" i="5"/>
  <c r="N267" i="5" s="1"/>
  <c r="K268" i="5"/>
  <c r="N268" i="5" s="1"/>
  <c r="K269" i="5"/>
  <c r="N269" i="5" s="1"/>
  <c r="K270" i="5"/>
  <c r="N270" i="5" s="1"/>
  <c r="K271" i="5"/>
  <c r="N271" i="5" s="1"/>
  <c r="K272" i="5"/>
  <c r="N272" i="5" s="1"/>
  <c r="K273" i="5"/>
  <c r="N273" i="5" s="1"/>
  <c r="K274" i="5"/>
  <c r="N274" i="5" s="1"/>
  <c r="K275" i="5"/>
  <c r="N275" i="5" s="1"/>
  <c r="K276" i="5"/>
  <c r="N276" i="5" s="1"/>
  <c r="K277" i="5"/>
  <c r="N277" i="5" s="1"/>
  <c r="K278" i="5"/>
  <c r="N278" i="5" s="1"/>
  <c r="K279" i="5"/>
  <c r="N279" i="5" s="1"/>
  <c r="K280" i="5"/>
  <c r="N280" i="5" s="1"/>
  <c r="K281" i="5"/>
  <c r="N281" i="5" s="1"/>
  <c r="K282" i="5"/>
  <c r="N282" i="5" s="1"/>
  <c r="K283" i="5"/>
  <c r="N283" i="5" s="1"/>
  <c r="K284" i="5"/>
  <c r="N284" i="5" s="1"/>
  <c r="K285" i="5"/>
  <c r="N285" i="5" s="1"/>
  <c r="K286" i="5"/>
  <c r="N286" i="5" s="1"/>
  <c r="K287" i="5"/>
  <c r="N287" i="5" s="1"/>
  <c r="K288" i="5"/>
  <c r="N288" i="5" s="1"/>
  <c r="I291" i="5"/>
  <c r="J290" i="5"/>
  <c r="K290" i="5" s="1"/>
  <c r="N290" i="5" s="1"/>
  <c r="M290" i="5"/>
  <c r="J242" i="3"/>
  <c r="K241" i="3"/>
  <c r="L241" i="3" s="1"/>
  <c r="O241" i="3" s="1"/>
  <c r="N241" i="3"/>
  <c r="K176" i="6"/>
  <c r="N176" i="6" s="1"/>
  <c r="K60" i="5"/>
  <c r="N60" i="5" s="1"/>
  <c r="K68" i="5"/>
  <c r="N68" i="5" s="1"/>
  <c r="K84" i="5"/>
  <c r="N84" i="5" s="1"/>
  <c r="K92" i="5"/>
  <c r="N92" i="5" s="1"/>
  <c r="K108" i="5"/>
  <c r="N108" i="5" s="1"/>
  <c r="K124" i="5"/>
  <c r="N124" i="5" s="1"/>
  <c r="K140" i="5"/>
  <c r="N140" i="5" s="1"/>
  <c r="K156" i="5"/>
  <c r="N156" i="5" s="1"/>
  <c r="K172" i="5"/>
  <c r="N172" i="5" s="1"/>
  <c r="K188" i="5"/>
  <c r="N188" i="5" s="1"/>
  <c r="K204" i="5"/>
  <c r="N204" i="5" s="1"/>
  <c r="K220" i="5"/>
  <c r="N220" i="5" s="1"/>
  <c r="K236" i="5"/>
  <c r="N236" i="5" s="1"/>
  <c r="K244" i="5"/>
  <c r="N244" i="5" s="1"/>
  <c r="K260" i="5"/>
  <c r="N260" i="5" s="1"/>
  <c r="K253" i="5"/>
  <c r="N253" i="5" s="1"/>
  <c r="K61" i="5"/>
  <c r="N61" i="5" s="1"/>
  <c r="K69" i="5"/>
  <c r="N69" i="5" s="1"/>
  <c r="K77" i="5"/>
  <c r="N77" i="5" s="1"/>
  <c r="K85" i="5"/>
  <c r="N85" i="5" s="1"/>
  <c r="K93" i="5"/>
  <c r="N93" i="5" s="1"/>
  <c r="K101" i="5"/>
  <c r="N101" i="5" s="1"/>
  <c r="K109" i="5"/>
  <c r="N109" i="5" s="1"/>
  <c r="K117" i="5"/>
  <c r="N117" i="5" s="1"/>
  <c r="K125" i="5"/>
  <c r="N125" i="5" s="1"/>
  <c r="K133" i="5"/>
  <c r="N133" i="5" s="1"/>
  <c r="K141" i="5"/>
  <c r="N141" i="5" s="1"/>
  <c r="K149" i="5"/>
  <c r="N149" i="5" s="1"/>
  <c r="K157" i="5"/>
  <c r="N157" i="5" s="1"/>
  <c r="K165" i="5"/>
  <c r="N165" i="5" s="1"/>
  <c r="K173" i="5"/>
  <c r="N173" i="5" s="1"/>
  <c r="K181" i="5"/>
  <c r="N181" i="5" s="1"/>
  <c r="K189" i="5"/>
  <c r="N189" i="5" s="1"/>
  <c r="K197" i="5"/>
  <c r="N197" i="5" s="1"/>
  <c r="K205" i="5"/>
  <c r="N205" i="5" s="1"/>
  <c r="K213" i="5"/>
  <c r="N213" i="5" s="1"/>
  <c r="K221" i="5"/>
  <c r="N221" i="5" s="1"/>
  <c r="K229" i="5"/>
  <c r="N229" i="5" s="1"/>
  <c r="K245" i="5"/>
  <c r="N245" i="5" s="1"/>
  <c r="K261" i="5"/>
  <c r="N261" i="5" s="1"/>
  <c r="K54" i="5"/>
  <c r="N54" i="5" s="1"/>
  <c r="K62" i="5"/>
  <c r="N62" i="5" s="1"/>
  <c r="K70" i="5"/>
  <c r="N70" i="5" s="1"/>
  <c r="K78" i="5"/>
  <c r="N78" i="5" s="1"/>
  <c r="K86" i="5"/>
  <c r="N86" i="5" s="1"/>
  <c r="K94" i="5"/>
  <c r="N94" i="5" s="1"/>
  <c r="K102" i="5"/>
  <c r="N102" i="5" s="1"/>
  <c r="K110" i="5"/>
  <c r="N110" i="5" s="1"/>
  <c r="K118" i="5"/>
  <c r="N118" i="5" s="1"/>
  <c r="K126" i="5"/>
  <c r="N126" i="5" s="1"/>
  <c r="K134" i="5"/>
  <c r="N134" i="5" s="1"/>
  <c r="K142" i="5"/>
  <c r="N142" i="5" s="1"/>
  <c r="K150" i="5"/>
  <c r="N150" i="5" s="1"/>
  <c r="K158" i="5"/>
  <c r="N158" i="5" s="1"/>
  <c r="K166" i="5"/>
  <c r="N166" i="5" s="1"/>
  <c r="K174" i="5"/>
  <c r="N174" i="5" s="1"/>
  <c r="K182" i="5"/>
  <c r="N182" i="5" s="1"/>
  <c r="K190" i="5"/>
  <c r="N190" i="5" s="1"/>
  <c r="K198" i="5"/>
  <c r="N198" i="5" s="1"/>
  <c r="K206" i="5"/>
  <c r="N206" i="5" s="1"/>
  <c r="K214" i="5"/>
  <c r="N214" i="5" s="1"/>
  <c r="K222" i="5"/>
  <c r="N222" i="5" s="1"/>
  <c r="K230" i="5"/>
  <c r="N230" i="5" s="1"/>
  <c r="K238" i="5"/>
  <c r="N238" i="5" s="1"/>
  <c r="K246" i="5"/>
  <c r="N246" i="5" s="1"/>
  <c r="K254" i="5"/>
  <c r="N254" i="5" s="1"/>
  <c r="K262" i="5"/>
  <c r="N262" i="5" s="1"/>
  <c r="K55" i="5"/>
  <c r="N55" i="5" s="1"/>
  <c r="K63" i="5"/>
  <c r="N63" i="5" s="1"/>
  <c r="K71" i="5"/>
  <c r="N71" i="5" s="1"/>
  <c r="K79" i="5"/>
  <c r="N79" i="5" s="1"/>
  <c r="K87" i="5"/>
  <c r="N87" i="5" s="1"/>
  <c r="K95" i="5"/>
  <c r="N95" i="5" s="1"/>
  <c r="K103" i="5"/>
  <c r="N103" i="5" s="1"/>
  <c r="K111" i="5"/>
  <c r="N111" i="5" s="1"/>
  <c r="K119" i="5"/>
  <c r="N119" i="5" s="1"/>
  <c r="K127" i="5"/>
  <c r="N127" i="5" s="1"/>
  <c r="K135" i="5"/>
  <c r="N135" i="5" s="1"/>
  <c r="K143" i="5"/>
  <c r="N143" i="5" s="1"/>
  <c r="K151" i="5"/>
  <c r="N151" i="5" s="1"/>
  <c r="K159" i="5"/>
  <c r="N159" i="5" s="1"/>
  <c r="K167" i="5"/>
  <c r="N167" i="5" s="1"/>
  <c r="K175" i="5"/>
  <c r="N175" i="5" s="1"/>
  <c r="K183" i="5"/>
  <c r="N183" i="5" s="1"/>
  <c r="K191" i="5"/>
  <c r="N191" i="5" s="1"/>
  <c r="K199" i="5"/>
  <c r="N199" i="5" s="1"/>
  <c r="K207" i="5"/>
  <c r="N207" i="5" s="1"/>
  <c r="K215" i="5"/>
  <c r="N215" i="5" s="1"/>
  <c r="K223" i="5"/>
  <c r="N223" i="5" s="1"/>
  <c r="K231" i="5"/>
  <c r="N231" i="5" s="1"/>
  <c r="K239" i="5"/>
  <c r="N239" i="5" s="1"/>
  <c r="K247" i="5"/>
  <c r="N247" i="5" s="1"/>
  <c r="K255" i="5"/>
  <c r="N255" i="5" s="1"/>
  <c r="K263" i="5"/>
  <c r="N263" i="5" s="1"/>
  <c r="K56" i="5"/>
  <c r="N56" i="5" s="1"/>
  <c r="K64" i="5"/>
  <c r="N64" i="5" s="1"/>
  <c r="K72" i="5"/>
  <c r="N72" i="5" s="1"/>
  <c r="K80" i="5"/>
  <c r="N80" i="5" s="1"/>
  <c r="K88" i="5"/>
  <c r="N88" i="5" s="1"/>
  <c r="K96" i="5"/>
  <c r="N96" i="5" s="1"/>
  <c r="K104" i="5"/>
  <c r="N104" i="5" s="1"/>
  <c r="K112" i="5"/>
  <c r="N112" i="5" s="1"/>
  <c r="K120" i="5"/>
  <c r="N120" i="5" s="1"/>
  <c r="K128" i="5"/>
  <c r="N128" i="5" s="1"/>
  <c r="K136" i="5"/>
  <c r="N136" i="5" s="1"/>
  <c r="K144" i="5"/>
  <c r="N144" i="5" s="1"/>
  <c r="K152" i="5"/>
  <c r="N152" i="5" s="1"/>
  <c r="K160" i="5"/>
  <c r="N160" i="5" s="1"/>
  <c r="K168" i="5"/>
  <c r="N168" i="5" s="1"/>
  <c r="K176" i="5"/>
  <c r="N176" i="5" s="1"/>
  <c r="K184" i="5"/>
  <c r="N184" i="5" s="1"/>
  <c r="K192" i="5"/>
  <c r="N192" i="5" s="1"/>
  <c r="K200" i="5"/>
  <c r="N200" i="5" s="1"/>
  <c r="K208" i="5"/>
  <c r="N208" i="5" s="1"/>
  <c r="K216" i="5"/>
  <c r="N216" i="5" s="1"/>
  <c r="K224" i="5"/>
  <c r="N224" i="5" s="1"/>
  <c r="K232" i="5"/>
  <c r="N232" i="5" s="1"/>
  <c r="K240" i="5"/>
  <c r="N240" i="5" s="1"/>
  <c r="K248" i="5"/>
  <c r="N248" i="5" s="1"/>
  <c r="K256" i="5"/>
  <c r="N256" i="5" s="1"/>
  <c r="K264" i="5"/>
  <c r="N264" i="5" s="1"/>
  <c r="K57" i="5"/>
  <c r="N57" i="5" s="1"/>
  <c r="K65" i="5"/>
  <c r="N65" i="5" s="1"/>
  <c r="K73" i="5"/>
  <c r="N73" i="5" s="1"/>
  <c r="K81" i="5"/>
  <c r="N81" i="5" s="1"/>
  <c r="K89" i="5"/>
  <c r="N89" i="5" s="1"/>
  <c r="K97" i="5"/>
  <c r="N97" i="5" s="1"/>
  <c r="K105" i="5"/>
  <c r="N105" i="5" s="1"/>
  <c r="K113" i="5"/>
  <c r="N113" i="5" s="1"/>
  <c r="K121" i="5"/>
  <c r="N121" i="5" s="1"/>
  <c r="K129" i="5"/>
  <c r="N129" i="5" s="1"/>
  <c r="K137" i="5"/>
  <c r="N137" i="5" s="1"/>
  <c r="K145" i="5"/>
  <c r="N145" i="5" s="1"/>
  <c r="K153" i="5"/>
  <c r="N153" i="5" s="1"/>
  <c r="K161" i="5"/>
  <c r="N161" i="5" s="1"/>
  <c r="K169" i="5"/>
  <c r="N169" i="5" s="1"/>
  <c r="K177" i="5"/>
  <c r="N177" i="5" s="1"/>
  <c r="K185" i="5"/>
  <c r="N185" i="5" s="1"/>
  <c r="K193" i="5"/>
  <c r="N193" i="5" s="1"/>
  <c r="K201" i="5"/>
  <c r="N201" i="5" s="1"/>
  <c r="K209" i="5"/>
  <c r="N209" i="5" s="1"/>
  <c r="K217" i="5"/>
  <c r="N217" i="5" s="1"/>
  <c r="K225" i="5"/>
  <c r="N225" i="5" s="1"/>
  <c r="K233" i="5"/>
  <c r="N233" i="5" s="1"/>
  <c r="K241" i="5"/>
  <c r="N241" i="5" s="1"/>
  <c r="K249" i="5"/>
  <c r="N249" i="5" s="1"/>
  <c r="K257" i="5"/>
  <c r="N257" i="5" s="1"/>
  <c r="K265" i="5"/>
  <c r="N265" i="5" s="1"/>
  <c r="K66" i="5"/>
  <c r="N66" i="5" s="1"/>
  <c r="K82" i="5"/>
  <c r="N82" i="5" s="1"/>
  <c r="K98" i="5"/>
  <c r="N98" i="5" s="1"/>
  <c r="K114" i="5"/>
  <c r="N114" i="5" s="1"/>
  <c r="K130" i="5"/>
  <c r="N130" i="5" s="1"/>
  <c r="K146" i="5"/>
  <c r="N146" i="5" s="1"/>
  <c r="K162" i="5"/>
  <c r="N162" i="5" s="1"/>
  <c r="K178" i="5"/>
  <c r="N178" i="5" s="1"/>
  <c r="K194" i="5"/>
  <c r="N194" i="5" s="1"/>
  <c r="K210" i="5"/>
  <c r="N210" i="5" s="1"/>
  <c r="K226" i="5"/>
  <c r="N226" i="5" s="1"/>
  <c r="K242" i="5"/>
  <c r="N242" i="5" s="1"/>
  <c r="K258" i="5"/>
  <c r="N258" i="5" s="1"/>
  <c r="K63" i="6"/>
  <c r="N63" i="6" s="1"/>
  <c r="K58" i="5"/>
  <c r="N58" i="5" s="1"/>
  <c r="K74" i="5"/>
  <c r="N74" i="5" s="1"/>
  <c r="K90" i="5"/>
  <c r="N90" i="5" s="1"/>
  <c r="K106" i="5"/>
  <c r="N106" i="5" s="1"/>
  <c r="K122" i="5"/>
  <c r="N122" i="5" s="1"/>
  <c r="K138" i="5"/>
  <c r="N138" i="5" s="1"/>
  <c r="K154" i="5"/>
  <c r="N154" i="5" s="1"/>
  <c r="K170" i="5"/>
  <c r="N170" i="5" s="1"/>
  <c r="K186" i="5"/>
  <c r="N186" i="5" s="1"/>
  <c r="K202" i="5"/>
  <c r="N202" i="5" s="1"/>
  <c r="K218" i="5"/>
  <c r="N218" i="5" s="1"/>
  <c r="K234" i="5"/>
  <c r="N234" i="5" s="1"/>
  <c r="K250" i="5"/>
  <c r="N250" i="5" s="1"/>
  <c r="K266" i="5"/>
  <c r="N266" i="5" s="1"/>
  <c r="K158" i="6"/>
  <c r="N158" i="6" s="1"/>
  <c r="K59" i="5"/>
  <c r="N59" i="5" s="1"/>
  <c r="K67" i="5"/>
  <c r="N67" i="5" s="1"/>
  <c r="K75" i="5"/>
  <c r="N75" i="5" s="1"/>
  <c r="K83" i="5"/>
  <c r="N83" i="5" s="1"/>
  <c r="K91" i="5"/>
  <c r="N91" i="5" s="1"/>
  <c r="K99" i="5"/>
  <c r="N99" i="5" s="1"/>
  <c r="K107" i="5"/>
  <c r="N107" i="5" s="1"/>
  <c r="K115" i="5"/>
  <c r="N115" i="5" s="1"/>
  <c r="K123" i="5"/>
  <c r="N123" i="5" s="1"/>
  <c r="K131" i="5"/>
  <c r="N131" i="5" s="1"/>
  <c r="K139" i="5"/>
  <c r="N139" i="5" s="1"/>
  <c r="K147" i="5"/>
  <c r="N147" i="5" s="1"/>
  <c r="K155" i="5"/>
  <c r="N155" i="5" s="1"/>
  <c r="K163" i="5"/>
  <c r="N163" i="5" s="1"/>
  <c r="K171" i="5"/>
  <c r="N171" i="5" s="1"/>
  <c r="K179" i="5"/>
  <c r="N179" i="5" s="1"/>
  <c r="K187" i="5"/>
  <c r="N187" i="5" s="1"/>
  <c r="K195" i="5"/>
  <c r="N195" i="5" s="1"/>
  <c r="K203" i="5"/>
  <c r="N203" i="5" s="1"/>
  <c r="K211" i="5"/>
  <c r="N211" i="5" s="1"/>
  <c r="K219" i="5"/>
  <c r="N219" i="5" s="1"/>
  <c r="K227" i="5"/>
  <c r="N227" i="5" s="1"/>
  <c r="K235" i="5"/>
  <c r="N235" i="5" s="1"/>
  <c r="K243" i="5"/>
  <c r="N243" i="5" s="1"/>
  <c r="K251" i="5"/>
  <c r="N251" i="5" s="1"/>
  <c r="K259" i="5"/>
  <c r="N259" i="5" s="1"/>
  <c r="K76" i="5"/>
  <c r="N76" i="5" s="1"/>
  <c r="K100" i="5"/>
  <c r="N100" i="5" s="1"/>
  <c r="K116" i="5"/>
  <c r="N116" i="5" s="1"/>
  <c r="K132" i="5"/>
  <c r="N132" i="5" s="1"/>
  <c r="K148" i="5"/>
  <c r="N148" i="5" s="1"/>
  <c r="K164" i="5"/>
  <c r="N164" i="5" s="1"/>
  <c r="K180" i="5"/>
  <c r="N180" i="5" s="1"/>
  <c r="K196" i="5"/>
  <c r="N196" i="5" s="1"/>
  <c r="K212" i="5"/>
  <c r="N212" i="5" s="1"/>
  <c r="K228" i="5"/>
  <c r="N228" i="5" s="1"/>
  <c r="K252" i="5"/>
  <c r="N252" i="5" s="1"/>
  <c r="K237" i="5"/>
  <c r="N237" i="5" s="1"/>
  <c r="K54" i="6"/>
  <c r="N54" i="6" s="1"/>
  <c r="K62" i="6"/>
  <c r="N62" i="6" s="1"/>
  <c r="K159" i="6"/>
  <c r="N159" i="6" s="1"/>
  <c r="K160" i="6"/>
  <c r="N160" i="6" s="1"/>
  <c r="K55" i="6"/>
  <c r="N55" i="6" s="1"/>
  <c r="K64" i="6"/>
  <c r="N64" i="6" s="1"/>
  <c r="K56" i="6"/>
  <c r="N56" i="6" s="1"/>
  <c r="K65" i="6"/>
  <c r="N65" i="6" s="1"/>
  <c r="K161" i="6"/>
  <c r="N161" i="6" s="1"/>
  <c r="K57" i="6"/>
  <c r="N57" i="6" s="1"/>
  <c r="K66" i="6"/>
  <c r="N66" i="6" s="1"/>
  <c r="K162" i="6"/>
  <c r="N162" i="6" s="1"/>
  <c r="K163" i="6"/>
  <c r="N163" i="6" s="1"/>
  <c r="K58" i="6"/>
  <c r="N58" i="6" s="1"/>
  <c r="K67" i="6"/>
  <c r="N67" i="6" s="1"/>
  <c r="K164" i="6"/>
  <c r="N164" i="6" s="1"/>
  <c r="K59" i="6"/>
  <c r="N59" i="6" s="1"/>
  <c r="K68" i="6"/>
  <c r="N68" i="6" s="1"/>
  <c r="K69" i="6"/>
  <c r="N69" i="6" s="1"/>
  <c r="K165" i="6"/>
  <c r="N165" i="6" s="1"/>
  <c r="K60" i="6"/>
  <c r="N60" i="6" s="1"/>
  <c r="K70" i="6"/>
  <c r="N70" i="6" s="1"/>
  <c r="K61" i="6"/>
  <c r="N61" i="6" s="1"/>
  <c r="K166" i="6"/>
  <c r="N166" i="6" s="1"/>
  <c r="K167" i="6"/>
  <c r="N167" i="6" s="1"/>
  <c r="K71" i="6"/>
  <c r="N71" i="6" s="1"/>
  <c r="K168" i="6"/>
  <c r="N168" i="6" s="1"/>
  <c r="K72" i="6"/>
  <c r="N72" i="6" s="1"/>
  <c r="K169" i="6"/>
  <c r="N169" i="6" s="1"/>
  <c r="K73" i="6"/>
  <c r="N73" i="6" s="1"/>
  <c r="K170" i="6"/>
  <c r="N170" i="6" s="1"/>
  <c r="K74" i="6"/>
  <c r="N74" i="6" s="1"/>
  <c r="K75" i="6"/>
  <c r="N75" i="6" s="1"/>
  <c r="K171" i="6"/>
  <c r="N171" i="6" s="1"/>
  <c r="K172" i="6"/>
  <c r="N172" i="6" s="1"/>
  <c r="K76" i="6"/>
  <c r="N76" i="6" s="1"/>
  <c r="K173" i="6"/>
  <c r="N173" i="6" s="1"/>
  <c r="K77" i="6"/>
  <c r="N77" i="6" s="1"/>
  <c r="K174" i="6"/>
  <c r="N174" i="6" s="1"/>
  <c r="K78" i="6"/>
  <c r="N78" i="6" s="1"/>
  <c r="K79" i="6"/>
  <c r="N79" i="6" s="1"/>
  <c r="Q68" i="2"/>
  <c r="K80" i="6"/>
  <c r="N80" i="6" s="1"/>
  <c r="K175" i="6"/>
  <c r="N175" i="6" s="1"/>
  <c r="G95" i="2"/>
  <c r="K95" i="2"/>
  <c r="O95" i="2" s="1"/>
  <c r="F96" i="2"/>
  <c r="F73" i="2"/>
  <c r="G72" i="2"/>
  <c r="K72" i="2"/>
  <c r="O72" i="2" s="1"/>
  <c r="K73" i="4"/>
  <c r="L73" i="4" s="1"/>
  <c r="O73" i="4" s="1"/>
  <c r="N73" i="4"/>
  <c r="J74" i="4"/>
  <c r="J95" i="7"/>
  <c r="K95" i="7" s="1"/>
  <c r="N95" i="7" s="1"/>
  <c r="M95" i="7"/>
  <c r="I96" i="7"/>
  <c r="J73" i="7"/>
  <c r="K73" i="7" s="1"/>
  <c r="N73" i="7" s="1"/>
  <c r="M73" i="7"/>
  <c r="I74" i="7"/>
  <c r="J177" i="6"/>
  <c r="K177" i="6" s="1"/>
  <c r="N177" i="6" s="1"/>
  <c r="M177" i="6"/>
  <c r="I178" i="6"/>
  <c r="J81" i="6"/>
  <c r="K81" i="6" s="1"/>
  <c r="N81" i="6" s="1"/>
  <c r="M81" i="6"/>
  <c r="I82" i="6"/>
  <c r="L4" i="2"/>
  <c r="U17" i="2"/>
  <c r="P36" i="2"/>
  <c r="J8" i="5"/>
  <c r="K8" i="5" s="1"/>
  <c r="N8" i="5" s="1"/>
  <c r="J3" i="5"/>
  <c r="K3" i="5" s="1"/>
  <c r="N3" i="5" s="1"/>
  <c r="J4" i="5"/>
  <c r="K4" i="5" s="1"/>
  <c r="N4" i="5" s="1"/>
  <c r="J5" i="5"/>
  <c r="K5" i="5" s="1"/>
  <c r="N5" i="5" s="1"/>
  <c r="J6" i="5"/>
  <c r="K6" i="5" s="1"/>
  <c r="N6" i="5" s="1"/>
  <c r="J7" i="5"/>
  <c r="K7" i="5" s="1"/>
  <c r="N7" i="5" s="1"/>
  <c r="K5" i="2"/>
  <c r="O5" i="2" s="1"/>
  <c r="W5" i="2" s="1"/>
  <c r="Y5" i="2" s="1"/>
  <c r="H5" i="2" s="1"/>
  <c r="L5" i="2" s="1"/>
  <c r="K13" i="3"/>
  <c r="L13" i="3" s="1"/>
  <c r="J14" i="3"/>
  <c r="J8" i="4"/>
  <c r="K8" i="4" s="1"/>
  <c r="L8" i="4" s="1"/>
  <c r="N7" i="4"/>
  <c r="O7" i="4"/>
  <c r="I9" i="6"/>
  <c r="J9" i="6" s="1"/>
  <c r="K9" i="6" s="1"/>
  <c r="N9" i="6" s="1"/>
  <c r="M8" i="6"/>
  <c r="I9" i="5"/>
  <c r="J9" i="5" s="1"/>
  <c r="K9" i="5" s="1"/>
  <c r="N9" i="5" s="1"/>
  <c r="M8" i="5"/>
  <c r="N5" i="3"/>
  <c r="I9" i="7"/>
  <c r="M8" i="7"/>
  <c r="J3" i="6"/>
  <c r="N3" i="6" s="1"/>
  <c r="J4" i="6"/>
  <c r="K4" i="6" s="1"/>
  <c r="N4" i="6" s="1"/>
  <c r="J7" i="6"/>
  <c r="K7" i="6" s="1"/>
  <c r="N7" i="6" s="1"/>
  <c r="J6" i="6"/>
  <c r="K6" i="6" s="1"/>
  <c r="N6" i="6" s="1"/>
  <c r="J8" i="6"/>
  <c r="K8" i="6" s="1"/>
  <c r="N8" i="6" s="1"/>
  <c r="J5" i="6"/>
  <c r="K5" i="6" s="1"/>
  <c r="N5" i="6" s="1"/>
  <c r="F6" i="2"/>
  <c r="G6" i="2" s="1"/>
  <c r="J291" i="5" l="1"/>
  <c r="K291" i="5" s="1"/>
  <c r="N291" i="5" s="1"/>
  <c r="M291" i="5"/>
  <c r="I292" i="5"/>
  <c r="N242" i="3"/>
  <c r="K242" i="3"/>
  <c r="L242" i="3" s="1"/>
  <c r="O242" i="3" s="1"/>
  <c r="J243" i="3"/>
  <c r="Q69" i="2"/>
  <c r="G96" i="2"/>
  <c r="K96" i="2"/>
  <c r="O96" i="2" s="1"/>
  <c r="F97" i="2"/>
  <c r="F74" i="2"/>
  <c r="G73" i="2"/>
  <c r="K73" i="2"/>
  <c r="O73" i="2" s="1"/>
  <c r="J75" i="4"/>
  <c r="K74" i="4"/>
  <c r="L74" i="4" s="1"/>
  <c r="O74" i="4" s="1"/>
  <c r="N74" i="4"/>
  <c r="I97" i="7"/>
  <c r="M96" i="7"/>
  <c r="J96" i="7"/>
  <c r="K96" i="7" s="1"/>
  <c r="N96" i="7" s="1"/>
  <c r="J74" i="7"/>
  <c r="K74" i="7" s="1"/>
  <c r="N74" i="7" s="1"/>
  <c r="M74" i="7"/>
  <c r="I75" i="7"/>
  <c r="I179" i="6"/>
  <c r="J178" i="6"/>
  <c r="K178" i="6" s="1"/>
  <c r="N178" i="6" s="1"/>
  <c r="M178" i="6"/>
  <c r="I83" i="6"/>
  <c r="M82" i="6"/>
  <c r="J82" i="6"/>
  <c r="K82" i="6" s="1"/>
  <c r="N82" i="6" s="1"/>
  <c r="U18" i="2"/>
  <c r="P37" i="2"/>
  <c r="K6" i="2"/>
  <c r="O6" i="2" s="1"/>
  <c r="W6" i="2" s="1"/>
  <c r="Y6" i="2" s="1"/>
  <c r="H6" i="2" s="1"/>
  <c r="L6" i="2" s="1"/>
  <c r="J15" i="3"/>
  <c r="K14" i="3"/>
  <c r="L14" i="3" s="1"/>
  <c r="I10" i="6"/>
  <c r="M9" i="6"/>
  <c r="I10" i="5"/>
  <c r="J10" i="5" s="1"/>
  <c r="M9" i="5"/>
  <c r="N6" i="3"/>
  <c r="O6" i="3"/>
  <c r="J9" i="4"/>
  <c r="K9" i="4" s="1"/>
  <c r="L9" i="4" s="1"/>
  <c r="N8" i="4"/>
  <c r="O8" i="4"/>
  <c r="I10" i="7"/>
  <c r="M9" i="7"/>
  <c r="J9" i="7"/>
  <c r="K9" i="7" s="1"/>
  <c r="N9" i="7" s="1"/>
  <c r="F7" i="2"/>
  <c r="G7" i="2" s="1"/>
  <c r="M292" i="5" l="1"/>
  <c r="I293" i="5"/>
  <c r="J292" i="5"/>
  <c r="K292" i="5" s="1"/>
  <c r="N292" i="5" s="1"/>
  <c r="N243" i="3"/>
  <c r="J244" i="3"/>
  <c r="K243" i="3"/>
  <c r="L243" i="3" s="1"/>
  <c r="O243" i="3" s="1"/>
  <c r="Q70" i="2"/>
  <c r="K97" i="2"/>
  <c r="O97" i="2" s="1"/>
  <c r="F98" i="2"/>
  <c r="G97" i="2"/>
  <c r="G74" i="2"/>
  <c r="K74" i="2"/>
  <c r="O74" i="2" s="1"/>
  <c r="F75" i="2"/>
  <c r="K75" i="4"/>
  <c r="L75" i="4" s="1"/>
  <c r="O75" i="4" s="1"/>
  <c r="N75" i="4"/>
  <c r="J76" i="4"/>
  <c r="J97" i="7"/>
  <c r="K97" i="7" s="1"/>
  <c r="N97" i="7" s="1"/>
  <c r="M97" i="7"/>
  <c r="I98" i="7"/>
  <c r="J75" i="7"/>
  <c r="K75" i="7" s="1"/>
  <c r="N75" i="7" s="1"/>
  <c r="M75" i="7"/>
  <c r="J179" i="6"/>
  <c r="K179" i="6" s="1"/>
  <c r="N179" i="6" s="1"/>
  <c r="M179" i="6"/>
  <c r="I180" i="6"/>
  <c r="J83" i="6"/>
  <c r="K83" i="6" s="1"/>
  <c r="N83" i="6" s="1"/>
  <c r="M83" i="6"/>
  <c r="I84" i="6"/>
  <c r="U19" i="2"/>
  <c r="P38" i="2"/>
  <c r="K7" i="2"/>
  <c r="O7" i="2" s="1"/>
  <c r="W7" i="2" s="1"/>
  <c r="Y7" i="2" s="1"/>
  <c r="H7" i="2" s="1"/>
  <c r="L7" i="2" s="1"/>
  <c r="K15" i="3"/>
  <c r="L15" i="3" s="1"/>
  <c r="J16" i="3"/>
  <c r="J10" i="4"/>
  <c r="K10" i="4" s="1"/>
  <c r="L10" i="4" s="1"/>
  <c r="N9" i="4"/>
  <c r="O9" i="4"/>
  <c r="I11" i="5"/>
  <c r="J11" i="5" s="1"/>
  <c r="M10" i="5"/>
  <c r="K10" i="5"/>
  <c r="N10" i="5" s="1"/>
  <c r="N7" i="3"/>
  <c r="O7" i="3"/>
  <c r="I11" i="6"/>
  <c r="M10" i="6"/>
  <c r="J10" i="6"/>
  <c r="K10" i="6" s="1"/>
  <c r="N10" i="6" s="1"/>
  <c r="I11" i="7"/>
  <c r="M10" i="7"/>
  <c r="J10" i="7"/>
  <c r="K10" i="7" s="1"/>
  <c r="N10" i="7" s="1"/>
  <c r="F8" i="2"/>
  <c r="G8" i="2" s="1"/>
  <c r="I294" i="5" l="1"/>
  <c r="J293" i="5"/>
  <c r="K293" i="5" s="1"/>
  <c r="N293" i="5" s="1"/>
  <c r="M293" i="5"/>
  <c r="K244" i="3"/>
  <c r="L244" i="3" s="1"/>
  <c r="O244" i="3" s="1"/>
  <c r="N244" i="3"/>
  <c r="J245" i="3"/>
  <c r="Q71" i="2"/>
  <c r="G98" i="2"/>
  <c r="F99" i="2"/>
  <c r="K98" i="2"/>
  <c r="O98" i="2" s="1"/>
  <c r="K75" i="2"/>
  <c r="O75" i="2" s="1"/>
  <c r="F76" i="2"/>
  <c r="G75" i="2"/>
  <c r="N76" i="4"/>
  <c r="J77" i="4"/>
  <c r="K76" i="4"/>
  <c r="L76" i="4" s="1"/>
  <c r="O76" i="4" s="1"/>
  <c r="M98" i="7"/>
  <c r="I99" i="7"/>
  <c r="J98" i="7"/>
  <c r="K98" i="7" s="1"/>
  <c r="N98" i="7" s="1"/>
  <c r="M180" i="6"/>
  <c r="I181" i="6"/>
  <c r="J180" i="6"/>
  <c r="K180" i="6" s="1"/>
  <c r="N180" i="6" s="1"/>
  <c r="M84" i="6"/>
  <c r="I85" i="6"/>
  <c r="J84" i="6"/>
  <c r="K84" i="6" s="1"/>
  <c r="N84" i="6" s="1"/>
  <c r="U20" i="2"/>
  <c r="P39" i="2"/>
  <c r="K8" i="2"/>
  <c r="O8" i="2" s="1"/>
  <c r="W8" i="2" s="1"/>
  <c r="Y8" i="2" s="1"/>
  <c r="H8" i="2" s="1"/>
  <c r="L8" i="2" s="1"/>
  <c r="J17" i="3"/>
  <c r="K16" i="3"/>
  <c r="L16" i="3" s="1"/>
  <c r="I12" i="5"/>
  <c r="J12" i="5" s="1"/>
  <c r="M11" i="5"/>
  <c r="K11" i="5"/>
  <c r="N11" i="5" s="1"/>
  <c r="N8" i="3"/>
  <c r="O8" i="3"/>
  <c r="I12" i="6"/>
  <c r="M11" i="6"/>
  <c r="J11" i="6"/>
  <c r="K11" i="6" s="1"/>
  <c r="N11" i="6" s="1"/>
  <c r="J11" i="4"/>
  <c r="K11" i="4" s="1"/>
  <c r="L11" i="4" s="1"/>
  <c r="N10" i="4"/>
  <c r="O10" i="4"/>
  <c r="I12" i="7"/>
  <c r="M11" i="7"/>
  <c r="J11" i="7"/>
  <c r="K11" i="7" s="1"/>
  <c r="N11" i="7" s="1"/>
  <c r="F9" i="2"/>
  <c r="G9" i="2" s="1"/>
  <c r="J294" i="5" l="1"/>
  <c r="K294" i="5" s="1"/>
  <c r="N294" i="5" s="1"/>
  <c r="M294" i="5"/>
  <c r="I295" i="5"/>
  <c r="K245" i="3"/>
  <c r="L245" i="3" s="1"/>
  <c r="O245" i="3" s="1"/>
  <c r="N245" i="3"/>
  <c r="J246" i="3"/>
  <c r="Q72" i="2"/>
  <c r="G99" i="2"/>
  <c r="F100" i="2"/>
  <c r="K99" i="2"/>
  <c r="O99" i="2" s="1"/>
  <c r="G76" i="2"/>
  <c r="K76" i="2"/>
  <c r="O76" i="2" s="1"/>
  <c r="J78" i="4"/>
  <c r="K77" i="4"/>
  <c r="L77" i="4" s="1"/>
  <c r="O77" i="4" s="1"/>
  <c r="N77" i="4"/>
  <c r="I100" i="7"/>
  <c r="J99" i="7"/>
  <c r="K99" i="7" s="1"/>
  <c r="N99" i="7" s="1"/>
  <c r="M99" i="7"/>
  <c r="I182" i="6"/>
  <c r="J181" i="6"/>
  <c r="K181" i="6" s="1"/>
  <c r="N181" i="6" s="1"/>
  <c r="M181" i="6"/>
  <c r="I86" i="6"/>
  <c r="J85" i="6"/>
  <c r="K85" i="6" s="1"/>
  <c r="N85" i="6" s="1"/>
  <c r="M85" i="6"/>
  <c r="U21" i="2"/>
  <c r="P40" i="2"/>
  <c r="K9" i="2"/>
  <c r="O9" i="2" s="1"/>
  <c r="W9" i="2" s="1"/>
  <c r="Y9" i="2" s="1"/>
  <c r="H9" i="2" s="1"/>
  <c r="L9" i="2" s="1"/>
  <c r="K17" i="3"/>
  <c r="L17" i="3" s="1"/>
  <c r="J18" i="3"/>
  <c r="N9" i="3"/>
  <c r="O9" i="3"/>
  <c r="I13" i="6"/>
  <c r="M12" i="6"/>
  <c r="J12" i="6"/>
  <c r="K12" i="6" s="1"/>
  <c r="N12" i="6" s="1"/>
  <c r="J12" i="4"/>
  <c r="K12" i="4" s="1"/>
  <c r="L12" i="4" s="1"/>
  <c r="N11" i="4"/>
  <c r="O11" i="4"/>
  <c r="I13" i="5"/>
  <c r="J13" i="5" s="1"/>
  <c r="M12" i="5"/>
  <c r="K12" i="5"/>
  <c r="N12" i="5" s="1"/>
  <c r="I13" i="7"/>
  <c r="M12" i="7"/>
  <c r="J12" i="7"/>
  <c r="K12" i="7" s="1"/>
  <c r="N12" i="7" s="1"/>
  <c r="F10" i="2"/>
  <c r="G10" i="2" s="1"/>
  <c r="I296" i="5" l="1"/>
  <c r="M295" i="5"/>
  <c r="J295" i="5"/>
  <c r="K295" i="5" s="1"/>
  <c r="N295" i="5" s="1"/>
  <c r="J247" i="3"/>
  <c r="K246" i="3"/>
  <c r="L246" i="3" s="1"/>
  <c r="O246" i="3" s="1"/>
  <c r="N246" i="3"/>
  <c r="Q73" i="2"/>
  <c r="G100" i="2"/>
  <c r="K100" i="2"/>
  <c r="O100" i="2" s="1"/>
  <c r="F101" i="2"/>
  <c r="K78" i="4"/>
  <c r="L78" i="4" s="1"/>
  <c r="O78" i="4" s="1"/>
  <c r="N78" i="4"/>
  <c r="J79" i="4"/>
  <c r="J100" i="7"/>
  <c r="K100" i="7" s="1"/>
  <c r="N100" i="7" s="1"/>
  <c r="M100" i="7"/>
  <c r="I101" i="7"/>
  <c r="J182" i="6"/>
  <c r="K182" i="6" s="1"/>
  <c r="N182" i="6" s="1"/>
  <c r="M182" i="6"/>
  <c r="I183" i="6"/>
  <c r="J86" i="6"/>
  <c r="K86" i="6" s="1"/>
  <c r="N86" i="6" s="1"/>
  <c r="M86" i="6"/>
  <c r="I87" i="6"/>
  <c r="U22" i="2"/>
  <c r="P41" i="2"/>
  <c r="K10" i="2"/>
  <c r="O10" i="2" s="1"/>
  <c r="W10" i="2" s="1"/>
  <c r="Y10" i="2" s="1"/>
  <c r="H10" i="2" s="1"/>
  <c r="L10" i="2" s="1"/>
  <c r="J19" i="3"/>
  <c r="K18" i="3"/>
  <c r="L18" i="3" s="1"/>
  <c r="I14" i="6"/>
  <c r="M13" i="6"/>
  <c r="J13" i="6"/>
  <c r="K13" i="6" s="1"/>
  <c r="N13" i="6" s="1"/>
  <c r="J13" i="4"/>
  <c r="K13" i="4" s="1"/>
  <c r="L13" i="4" s="1"/>
  <c r="N12" i="4"/>
  <c r="O12" i="4"/>
  <c r="I14" i="5"/>
  <c r="J14" i="5" s="1"/>
  <c r="M13" i="5"/>
  <c r="K13" i="5"/>
  <c r="N13" i="5" s="1"/>
  <c r="N10" i="3"/>
  <c r="O10" i="3"/>
  <c r="I14" i="7"/>
  <c r="M13" i="7"/>
  <c r="J13" i="7"/>
  <c r="K13" i="7" s="1"/>
  <c r="N13" i="7" s="1"/>
  <c r="F11" i="2"/>
  <c r="G11" i="2" s="1"/>
  <c r="J296" i="5" l="1"/>
  <c r="K296" i="5" s="1"/>
  <c r="N296" i="5" s="1"/>
  <c r="M296" i="5"/>
  <c r="I297" i="5"/>
  <c r="K247" i="3"/>
  <c r="L247" i="3" s="1"/>
  <c r="O247" i="3" s="1"/>
  <c r="N247" i="3"/>
  <c r="J248" i="3"/>
  <c r="Q74" i="2"/>
  <c r="K101" i="2"/>
  <c r="O101" i="2" s="1"/>
  <c r="F102" i="2"/>
  <c r="G101" i="2"/>
  <c r="N79" i="4"/>
  <c r="J80" i="4"/>
  <c r="K79" i="4"/>
  <c r="L79" i="4" s="1"/>
  <c r="O79" i="4" s="1"/>
  <c r="M101" i="7"/>
  <c r="I102" i="7"/>
  <c r="J101" i="7"/>
  <c r="K101" i="7" s="1"/>
  <c r="N101" i="7" s="1"/>
  <c r="M183" i="6"/>
  <c r="I184" i="6"/>
  <c r="J183" i="6"/>
  <c r="K183" i="6" s="1"/>
  <c r="N183" i="6" s="1"/>
  <c r="M87" i="6"/>
  <c r="I88" i="6"/>
  <c r="J87" i="6"/>
  <c r="K87" i="6" s="1"/>
  <c r="N87" i="6" s="1"/>
  <c r="U23" i="2"/>
  <c r="P42" i="2"/>
  <c r="K11" i="2"/>
  <c r="O11" i="2" s="1"/>
  <c r="W11" i="2" s="1"/>
  <c r="Y11" i="2" s="1"/>
  <c r="H11" i="2" s="1"/>
  <c r="L11" i="2" s="1"/>
  <c r="K19" i="3"/>
  <c r="L19" i="3" s="1"/>
  <c r="J20" i="3"/>
  <c r="J14" i="4"/>
  <c r="K14" i="4" s="1"/>
  <c r="L14" i="4" s="1"/>
  <c r="N13" i="4"/>
  <c r="O13" i="4"/>
  <c r="I15" i="5"/>
  <c r="J15" i="5" s="1"/>
  <c r="M14" i="5"/>
  <c r="K14" i="5"/>
  <c r="N14" i="5" s="1"/>
  <c r="N11" i="3"/>
  <c r="O11" i="3"/>
  <c r="I15" i="6"/>
  <c r="M14" i="6"/>
  <c r="J14" i="6"/>
  <c r="K14" i="6" s="1"/>
  <c r="N14" i="6" s="1"/>
  <c r="I15" i="7"/>
  <c r="M14" i="7"/>
  <c r="J14" i="7"/>
  <c r="K14" i="7" s="1"/>
  <c r="N14" i="7" s="1"/>
  <c r="F12" i="2"/>
  <c r="G12" i="2" s="1"/>
  <c r="M297" i="5" l="1"/>
  <c r="J297" i="5"/>
  <c r="K297" i="5" s="1"/>
  <c r="N297" i="5" s="1"/>
  <c r="I298" i="5"/>
  <c r="J249" i="3"/>
  <c r="N248" i="3"/>
  <c r="K248" i="3"/>
  <c r="L248" i="3" s="1"/>
  <c r="O248" i="3" s="1"/>
  <c r="Q75" i="2"/>
  <c r="G102" i="2"/>
  <c r="F103" i="2"/>
  <c r="K102" i="2"/>
  <c r="O102" i="2" s="1"/>
  <c r="K80" i="4"/>
  <c r="L80" i="4" s="1"/>
  <c r="O80" i="4" s="1"/>
  <c r="N80" i="4"/>
  <c r="J81" i="4"/>
  <c r="J102" i="7"/>
  <c r="K102" i="7" s="1"/>
  <c r="N102" i="7" s="1"/>
  <c r="M102" i="7"/>
  <c r="I103" i="7"/>
  <c r="J184" i="6"/>
  <c r="K184" i="6" s="1"/>
  <c r="N184" i="6" s="1"/>
  <c r="I185" i="6"/>
  <c r="M184" i="6"/>
  <c r="I89" i="6"/>
  <c r="J88" i="6"/>
  <c r="K88" i="6" s="1"/>
  <c r="N88" i="6" s="1"/>
  <c r="M88" i="6"/>
  <c r="U24" i="2"/>
  <c r="P43" i="2"/>
  <c r="K12" i="2"/>
  <c r="O12" i="2" s="1"/>
  <c r="W12" i="2" s="1"/>
  <c r="Y12" i="2" s="1"/>
  <c r="H12" i="2" s="1"/>
  <c r="L12" i="2" s="1"/>
  <c r="K20" i="3"/>
  <c r="L20" i="3" s="1"/>
  <c r="J21" i="3"/>
  <c r="K21" i="3" s="1"/>
  <c r="L21" i="3" s="1"/>
  <c r="I16" i="5"/>
  <c r="J16" i="5" s="1"/>
  <c r="M15" i="5"/>
  <c r="K15" i="5"/>
  <c r="N15" i="5" s="1"/>
  <c r="N12" i="3"/>
  <c r="O12" i="3"/>
  <c r="I16" i="6"/>
  <c r="M15" i="6"/>
  <c r="J15" i="6"/>
  <c r="K15" i="6" s="1"/>
  <c r="N15" i="6" s="1"/>
  <c r="J15" i="4"/>
  <c r="K15" i="4" s="1"/>
  <c r="L15" i="4" s="1"/>
  <c r="N14" i="4"/>
  <c r="O14" i="4"/>
  <c r="I16" i="7"/>
  <c r="M15" i="7"/>
  <c r="J15" i="7"/>
  <c r="K15" i="7" s="1"/>
  <c r="N15" i="7" s="1"/>
  <c r="F13" i="2"/>
  <c r="G13" i="2" s="1"/>
  <c r="I299" i="5" l="1"/>
  <c r="J298" i="5"/>
  <c r="K298" i="5" s="1"/>
  <c r="N298" i="5" s="1"/>
  <c r="M298" i="5"/>
  <c r="J250" i="3"/>
  <c r="N249" i="3"/>
  <c r="K249" i="3"/>
  <c r="L249" i="3" s="1"/>
  <c r="O249" i="3" s="1"/>
  <c r="Q76" i="2"/>
  <c r="G103" i="2"/>
  <c r="F104" i="2"/>
  <c r="K103" i="2"/>
  <c r="O103" i="2" s="1"/>
  <c r="K81" i="4"/>
  <c r="L81" i="4" s="1"/>
  <c r="O81" i="4" s="1"/>
  <c r="N81" i="4"/>
  <c r="J82" i="4"/>
  <c r="J103" i="7"/>
  <c r="K103" i="7" s="1"/>
  <c r="N103" i="7" s="1"/>
  <c r="M103" i="7"/>
  <c r="I104" i="7"/>
  <c r="J185" i="6"/>
  <c r="K185" i="6" s="1"/>
  <c r="N185" i="6" s="1"/>
  <c r="M185" i="6"/>
  <c r="I186" i="6"/>
  <c r="J89" i="6"/>
  <c r="K89" i="6" s="1"/>
  <c r="N89" i="6" s="1"/>
  <c r="M89" i="6"/>
  <c r="I90" i="6"/>
  <c r="U25" i="2"/>
  <c r="P44" i="2"/>
  <c r="K13" i="2"/>
  <c r="O13" i="2" s="1"/>
  <c r="W13" i="2" s="1"/>
  <c r="Y13" i="2" s="1"/>
  <c r="H13" i="2" s="1"/>
  <c r="L13" i="2" s="1"/>
  <c r="N13" i="3"/>
  <c r="O13" i="3"/>
  <c r="I17" i="6"/>
  <c r="M16" i="6"/>
  <c r="J16" i="6"/>
  <c r="K16" i="6" s="1"/>
  <c r="N16" i="6" s="1"/>
  <c r="J16" i="4"/>
  <c r="K16" i="4" s="1"/>
  <c r="L16" i="4" s="1"/>
  <c r="N15" i="4"/>
  <c r="O15" i="4"/>
  <c r="I17" i="5"/>
  <c r="J17" i="5" s="1"/>
  <c r="M16" i="5"/>
  <c r="K16" i="5"/>
  <c r="N16" i="5" s="1"/>
  <c r="I17" i="7"/>
  <c r="M16" i="7"/>
  <c r="J16" i="7"/>
  <c r="K16" i="7" s="1"/>
  <c r="N16" i="7" s="1"/>
  <c r="F14" i="2"/>
  <c r="G14" i="2" s="1"/>
  <c r="J299" i="5" l="1"/>
  <c r="K299" i="5" s="1"/>
  <c r="N299" i="5" s="1"/>
  <c r="M299" i="5"/>
  <c r="I300" i="5"/>
  <c r="K250" i="3"/>
  <c r="L250" i="3" s="1"/>
  <c r="O250" i="3" s="1"/>
  <c r="N250" i="3"/>
  <c r="J251" i="3"/>
  <c r="Q77" i="2"/>
  <c r="G104" i="2"/>
  <c r="K104" i="2"/>
  <c r="O104" i="2" s="1"/>
  <c r="F105" i="2"/>
  <c r="J83" i="4"/>
  <c r="N82" i="4"/>
  <c r="K82" i="4"/>
  <c r="L82" i="4" s="1"/>
  <c r="O82" i="4" s="1"/>
  <c r="I105" i="7"/>
  <c r="M104" i="7"/>
  <c r="J104" i="7"/>
  <c r="K104" i="7" s="1"/>
  <c r="N104" i="7" s="1"/>
  <c r="I187" i="6"/>
  <c r="J186" i="6"/>
  <c r="K186" i="6" s="1"/>
  <c r="N186" i="6" s="1"/>
  <c r="M186" i="6"/>
  <c r="I91" i="6"/>
  <c r="J90" i="6"/>
  <c r="K90" i="6" s="1"/>
  <c r="N90" i="6" s="1"/>
  <c r="M90" i="6"/>
  <c r="U26" i="2"/>
  <c r="P45" i="2"/>
  <c r="K14" i="2"/>
  <c r="O14" i="2" s="1"/>
  <c r="W14" i="2" s="1"/>
  <c r="Y14" i="2" s="1"/>
  <c r="H14" i="2" s="1"/>
  <c r="L14" i="2" s="1"/>
  <c r="I18" i="6"/>
  <c r="M17" i="6"/>
  <c r="J17" i="6"/>
  <c r="K17" i="6" s="1"/>
  <c r="N17" i="6" s="1"/>
  <c r="J17" i="4"/>
  <c r="K17" i="4" s="1"/>
  <c r="L17" i="4" s="1"/>
  <c r="N16" i="4"/>
  <c r="O16" i="4"/>
  <c r="I18" i="5"/>
  <c r="J18" i="5" s="1"/>
  <c r="M17" i="5"/>
  <c r="K17" i="5"/>
  <c r="N17" i="5" s="1"/>
  <c r="N14" i="3"/>
  <c r="O14" i="3"/>
  <c r="I18" i="7"/>
  <c r="M17" i="7"/>
  <c r="J17" i="7"/>
  <c r="K17" i="7" s="1"/>
  <c r="N17" i="7" s="1"/>
  <c r="F15" i="2"/>
  <c r="G15" i="2" s="1"/>
  <c r="M300" i="5" l="1"/>
  <c r="I301" i="5"/>
  <c r="J300" i="5"/>
  <c r="K300" i="5" s="1"/>
  <c r="N300" i="5" s="1"/>
  <c r="N251" i="3"/>
  <c r="J252" i="3"/>
  <c r="K251" i="3"/>
  <c r="L251" i="3" s="1"/>
  <c r="O251" i="3" s="1"/>
  <c r="Q78" i="2"/>
  <c r="K105" i="2"/>
  <c r="O105" i="2" s="1"/>
  <c r="F106" i="2"/>
  <c r="G105" i="2"/>
  <c r="K83" i="4"/>
  <c r="L83" i="4" s="1"/>
  <c r="O83" i="4" s="1"/>
  <c r="N83" i="4"/>
  <c r="J84" i="4"/>
  <c r="J105" i="7"/>
  <c r="K105" i="7" s="1"/>
  <c r="N105" i="7" s="1"/>
  <c r="M105" i="7"/>
  <c r="I106" i="7"/>
  <c r="J187" i="6"/>
  <c r="K187" i="6" s="1"/>
  <c r="N187" i="6" s="1"/>
  <c r="M187" i="6"/>
  <c r="I188" i="6"/>
  <c r="J91" i="6"/>
  <c r="K91" i="6" s="1"/>
  <c r="N91" i="6" s="1"/>
  <c r="M91" i="6"/>
  <c r="I92" i="6"/>
  <c r="U27" i="2"/>
  <c r="P46" i="2"/>
  <c r="K15" i="2"/>
  <c r="O15" i="2" s="1"/>
  <c r="W15" i="2" s="1"/>
  <c r="Y15" i="2" s="1"/>
  <c r="H15" i="2" s="1"/>
  <c r="L15" i="2" s="1"/>
  <c r="J18" i="4"/>
  <c r="K18" i="4" s="1"/>
  <c r="L18" i="4" s="1"/>
  <c r="N17" i="4"/>
  <c r="O17" i="4"/>
  <c r="I19" i="5"/>
  <c r="J19" i="5" s="1"/>
  <c r="M18" i="5"/>
  <c r="K18" i="5"/>
  <c r="N18" i="5" s="1"/>
  <c r="N15" i="3"/>
  <c r="O15" i="3"/>
  <c r="I19" i="6"/>
  <c r="M18" i="6"/>
  <c r="J18" i="6"/>
  <c r="K18" i="6" s="1"/>
  <c r="N18" i="6" s="1"/>
  <c r="I19" i="7"/>
  <c r="M18" i="7"/>
  <c r="J18" i="7"/>
  <c r="K18" i="7" s="1"/>
  <c r="N18" i="7" s="1"/>
  <c r="F16" i="2"/>
  <c r="G16" i="2" s="1"/>
  <c r="J301" i="5" l="1"/>
  <c r="K301" i="5" s="1"/>
  <c r="N301" i="5" s="1"/>
  <c r="I302" i="5"/>
  <c r="M301" i="5"/>
  <c r="K252" i="3"/>
  <c r="L252" i="3" s="1"/>
  <c r="O252" i="3" s="1"/>
  <c r="N252" i="3"/>
  <c r="J253" i="3"/>
  <c r="Q79" i="2"/>
  <c r="F107" i="2"/>
  <c r="G106" i="2"/>
  <c r="K106" i="2"/>
  <c r="O106" i="2" s="1"/>
  <c r="N84" i="4"/>
  <c r="J85" i="4"/>
  <c r="K84" i="4"/>
  <c r="L84" i="4" s="1"/>
  <c r="O84" i="4" s="1"/>
  <c r="M106" i="7"/>
  <c r="I107" i="7"/>
  <c r="J106" i="7"/>
  <c r="K106" i="7" s="1"/>
  <c r="N106" i="7" s="1"/>
  <c r="M188" i="6"/>
  <c r="I189" i="6"/>
  <c r="J188" i="6"/>
  <c r="K188" i="6" s="1"/>
  <c r="N188" i="6" s="1"/>
  <c r="M92" i="6"/>
  <c r="J92" i="6"/>
  <c r="K92" i="6" s="1"/>
  <c r="N92" i="6" s="1"/>
  <c r="I93" i="6"/>
  <c r="U28" i="2"/>
  <c r="P47" i="2"/>
  <c r="K16" i="2"/>
  <c r="O16" i="2" s="1"/>
  <c r="W16" i="2" s="1"/>
  <c r="Y16" i="2" s="1"/>
  <c r="H16" i="2" s="1"/>
  <c r="L16" i="2" s="1"/>
  <c r="I20" i="5"/>
  <c r="J20" i="5" s="1"/>
  <c r="M19" i="5"/>
  <c r="K19" i="5"/>
  <c r="N19" i="5" s="1"/>
  <c r="N16" i="3"/>
  <c r="O16" i="3"/>
  <c r="I20" i="6"/>
  <c r="M19" i="6"/>
  <c r="J19" i="6"/>
  <c r="K19" i="6" s="1"/>
  <c r="N19" i="6" s="1"/>
  <c r="J19" i="4"/>
  <c r="K19" i="4" s="1"/>
  <c r="L19" i="4" s="1"/>
  <c r="N18" i="4"/>
  <c r="O18" i="4"/>
  <c r="I20" i="7"/>
  <c r="M19" i="7"/>
  <c r="J19" i="7"/>
  <c r="K19" i="7" s="1"/>
  <c r="N19" i="7" s="1"/>
  <c r="F17" i="2"/>
  <c r="G17" i="2" s="1"/>
  <c r="J302" i="5" l="1"/>
  <c r="K302" i="5" s="1"/>
  <c r="N302" i="5" s="1"/>
  <c r="M302" i="5"/>
  <c r="I303" i="5"/>
  <c r="K253" i="3"/>
  <c r="L253" i="3" s="1"/>
  <c r="O253" i="3" s="1"/>
  <c r="N253" i="3"/>
  <c r="Q80" i="2"/>
  <c r="G107" i="2"/>
  <c r="F108" i="2"/>
  <c r="K107" i="2"/>
  <c r="O107" i="2" s="1"/>
  <c r="J86" i="4"/>
  <c r="K85" i="4"/>
  <c r="L85" i="4" s="1"/>
  <c r="O85" i="4" s="1"/>
  <c r="N85" i="4"/>
  <c r="I108" i="7"/>
  <c r="J107" i="7"/>
  <c r="K107" i="7" s="1"/>
  <c r="N107" i="7" s="1"/>
  <c r="M107" i="7"/>
  <c r="I190" i="6"/>
  <c r="J189" i="6"/>
  <c r="K189" i="6" s="1"/>
  <c r="N189" i="6" s="1"/>
  <c r="M189" i="6"/>
  <c r="I94" i="6"/>
  <c r="J93" i="6"/>
  <c r="K93" i="6" s="1"/>
  <c r="N93" i="6" s="1"/>
  <c r="M93" i="6"/>
  <c r="U29" i="2"/>
  <c r="P48" i="2"/>
  <c r="K17" i="2"/>
  <c r="O17" i="2" s="1"/>
  <c r="W17" i="2" s="1"/>
  <c r="Y17" i="2" s="1"/>
  <c r="H17" i="2" s="1"/>
  <c r="L17" i="2" s="1"/>
  <c r="N17" i="3"/>
  <c r="O17" i="3"/>
  <c r="I21" i="6"/>
  <c r="M20" i="6"/>
  <c r="J20" i="6"/>
  <c r="K20" i="6" s="1"/>
  <c r="N20" i="6" s="1"/>
  <c r="J20" i="4"/>
  <c r="K20" i="4" s="1"/>
  <c r="L20" i="4" s="1"/>
  <c r="N19" i="4"/>
  <c r="O19" i="4"/>
  <c r="I21" i="5"/>
  <c r="J21" i="5" s="1"/>
  <c r="M20" i="5"/>
  <c r="K20" i="5"/>
  <c r="N20" i="5" s="1"/>
  <c r="I21" i="7"/>
  <c r="M20" i="7"/>
  <c r="J20" i="7"/>
  <c r="K20" i="7" s="1"/>
  <c r="N20" i="7" s="1"/>
  <c r="F18" i="2"/>
  <c r="G18" i="2" s="1"/>
  <c r="I304" i="5" l="1"/>
  <c r="J303" i="5"/>
  <c r="K303" i="5" s="1"/>
  <c r="N303" i="5" s="1"/>
  <c r="M303" i="5"/>
  <c r="Q81" i="2"/>
  <c r="G108" i="2"/>
  <c r="K108" i="2"/>
  <c r="O108" i="2" s="1"/>
  <c r="F109" i="2"/>
  <c r="K86" i="4"/>
  <c r="L86" i="4" s="1"/>
  <c r="O86" i="4" s="1"/>
  <c r="N86" i="4"/>
  <c r="J87" i="4"/>
  <c r="J108" i="7"/>
  <c r="K108" i="7" s="1"/>
  <c r="N108" i="7" s="1"/>
  <c r="M108" i="7"/>
  <c r="I109" i="7"/>
  <c r="J190" i="6"/>
  <c r="K190" i="6" s="1"/>
  <c r="N190" i="6" s="1"/>
  <c r="M190" i="6"/>
  <c r="I191" i="6"/>
  <c r="J94" i="6"/>
  <c r="K94" i="6" s="1"/>
  <c r="N94" i="6" s="1"/>
  <c r="M94" i="6"/>
  <c r="I95" i="6"/>
  <c r="U30" i="2"/>
  <c r="P49" i="2"/>
  <c r="K18" i="2"/>
  <c r="O18" i="2" s="1"/>
  <c r="W18" i="2" s="1"/>
  <c r="Y18" i="2" s="1"/>
  <c r="H18" i="2" s="1"/>
  <c r="L18" i="2" s="1"/>
  <c r="I22" i="6"/>
  <c r="M21" i="6"/>
  <c r="J21" i="6"/>
  <c r="K21" i="6" s="1"/>
  <c r="N21" i="6" s="1"/>
  <c r="J21" i="4"/>
  <c r="K21" i="4" s="1"/>
  <c r="L21" i="4" s="1"/>
  <c r="N20" i="4"/>
  <c r="O20" i="4"/>
  <c r="I22" i="5"/>
  <c r="J22" i="5" s="1"/>
  <c r="M21" i="5"/>
  <c r="K21" i="5"/>
  <c r="N21" i="5" s="1"/>
  <c r="N18" i="3"/>
  <c r="O18" i="3"/>
  <c r="I22" i="7"/>
  <c r="M21" i="7"/>
  <c r="J21" i="7"/>
  <c r="K21" i="7" s="1"/>
  <c r="N21" i="7" s="1"/>
  <c r="F19" i="2"/>
  <c r="G19" i="2" s="1"/>
  <c r="J304" i="5" l="1"/>
  <c r="K304" i="5" s="1"/>
  <c r="N304" i="5" s="1"/>
  <c r="M304" i="5"/>
  <c r="I305" i="5"/>
  <c r="Q82" i="2"/>
  <c r="K109" i="2"/>
  <c r="O109" i="2" s="1"/>
  <c r="F110" i="2"/>
  <c r="G109" i="2"/>
  <c r="N87" i="4"/>
  <c r="J88" i="4"/>
  <c r="K87" i="4"/>
  <c r="L87" i="4" s="1"/>
  <c r="O87" i="4" s="1"/>
  <c r="M109" i="7"/>
  <c r="I110" i="7"/>
  <c r="J109" i="7"/>
  <c r="K109" i="7" s="1"/>
  <c r="N109" i="7" s="1"/>
  <c r="M191" i="6"/>
  <c r="I192" i="6"/>
  <c r="J191" i="6"/>
  <c r="K191" i="6" s="1"/>
  <c r="N191" i="6" s="1"/>
  <c r="M95" i="6"/>
  <c r="I96" i="6"/>
  <c r="J95" i="6"/>
  <c r="K95" i="6" s="1"/>
  <c r="N95" i="6" s="1"/>
  <c r="U31" i="2"/>
  <c r="P50" i="2"/>
  <c r="K19" i="2"/>
  <c r="O19" i="2" s="1"/>
  <c r="W19" i="2" s="1"/>
  <c r="Y19" i="2" s="1"/>
  <c r="H19" i="2" s="1"/>
  <c r="L19" i="2" s="1"/>
  <c r="J22" i="4"/>
  <c r="K22" i="4" s="1"/>
  <c r="L22" i="4" s="1"/>
  <c r="N21" i="4"/>
  <c r="O21" i="4"/>
  <c r="I23" i="5"/>
  <c r="J23" i="5" s="1"/>
  <c r="M22" i="5"/>
  <c r="K22" i="5"/>
  <c r="N22" i="5" s="1"/>
  <c r="N19" i="3"/>
  <c r="O19" i="3"/>
  <c r="I23" i="6"/>
  <c r="M22" i="6"/>
  <c r="J22" i="6"/>
  <c r="K22" i="6" s="1"/>
  <c r="N22" i="6" s="1"/>
  <c r="I23" i="7"/>
  <c r="M22" i="7"/>
  <c r="J22" i="7"/>
  <c r="K22" i="7" s="1"/>
  <c r="N22" i="7" s="1"/>
  <c r="F20" i="2"/>
  <c r="G20" i="2" s="1"/>
  <c r="M305" i="5" l="1"/>
  <c r="I306" i="5"/>
  <c r="J305" i="5"/>
  <c r="K305" i="5" s="1"/>
  <c r="N305" i="5" s="1"/>
  <c r="Q83" i="2"/>
  <c r="K110" i="2"/>
  <c r="O110" i="2" s="1"/>
  <c r="F111" i="2"/>
  <c r="G110" i="2"/>
  <c r="K88" i="4"/>
  <c r="L88" i="4" s="1"/>
  <c r="O88" i="4" s="1"/>
  <c r="J89" i="4"/>
  <c r="N88" i="4"/>
  <c r="J110" i="7"/>
  <c r="K110" i="7" s="1"/>
  <c r="N110" i="7" s="1"/>
  <c r="M110" i="7"/>
  <c r="I111" i="7"/>
  <c r="J192" i="6"/>
  <c r="K192" i="6" s="1"/>
  <c r="N192" i="6" s="1"/>
  <c r="M192" i="6"/>
  <c r="I193" i="6"/>
  <c r="J96" i="6"/>
  <c r="K96" i="6" s="1"/>
  <c r="N96" i="6" s="1"/>
  <c r="I97" i="6"/>
  <c r="M96" i="6"/>
  <c r="U32" i="2"/>
  <c r="P51" i="2"/>
  <c r="K20" i="2"/>
  <c r="O20" i="2" s="1"/>
  <c r="W20" i="2" s="1"/>
  <c r="Y20" i="2" s="1"/>
  <c r="H20" i="2" s="1"/>
  <c r="L20" i="2" s="1"/>
  <c r="I24" i="5"/>
  <c r="J24" i="5" s="1"/>
  <c r="M23" i="5"/>
  <c r="K23" i="5"/>
  <c r="N23" i="5" s="1"/>
  <c r="N20" i="3"/>
  <c r="O20" i="3"/>
  <c r="I24" i="6"/>
  <c r="M23" i="6"/>
  <c r="J23" i="6"/>
  <c r="K23" i="6" s="1"/>
  <c r="N23" i="6" s="1"/>
  <c r="J23" i="4"/>
  <c r="K23" i="4" s="1"/>
  <c r="L23" i="4" s="1"/>
  <c r="N22" i="4"/>
  <c r="O22" i="4"/>
  <c r="I24" i="7"/>
  <c r="M23" i="7"/>
  <c r="J23" i="7"/>
  <c r="K23" i="7" s="1"/>
  <c r="N23" i="7" s="1"/>
  <c r="F21" i="2"/>
  <c r="G21" i="2" s="1"/>
  <c r="I307" i="5" l="1"/>
  <c r="J306" i="5"/>
  <c r="K306" i="5" s="1"/>
  <c r="N306" i="5" s="1"/>
  <c r="M306" i="5"/>
  <c r="Q84" i="2"/>
  <c r="G111" i="2"/>
  <c r="K111" i="2"/>
  <c r="O111" i="2" s="1"/>
  <c r="F112" i="2"/>
  <c r="K89" i="4"/>
  <c r="L89" i="4" s="1"/>
  <c r="O89" i="4" s="1"/>
  <c r="N89" i="4"/>
  <c r="J90" i="4"/>
  <c r="J111" i="7"/>
  <c r="K111" i="7" s="1"/>
  <c r="N111" i="7" s="1"/>
  <c r="M111" i="7"/>
  <c r="I112" i="7"/>
  <c r="J193" i="6"/>
  <c r="K193" i="6" s="1"/>
  <c r="N193" i="6" s="1"/>
  <c r="M193" i="6"/>
  <c r="I194" i="6"/>
  <c r="J97" i="6"/>
  <c r="K97" i="6" s="1"/>
  <c r="N97" i="6" s="1"/>
  <c r="M97" i="6"/>
  <c r="I98" i="6"/>
  <c r="U33" i="2"/>
  <c r="P52" i="2"/>
  <c r="K21" i="2"/>
  <c r="O21" i="2" s="1"/>
  <c r="W21" i="2" s="1"/>
  <c r="Y21" i="2" s="1"/>
  <c r="H21" i="2" s="1"/>
  <c r="L21" i="2" s="1"/>
  <c r="J22" i="3"/>
  <c r="N21" i="3"/>
  <c r="O21" i="3"/>
  <c r="I25" i="6"/>
  <c r="M24" i="6"/>
  <c r="J24" i="6"/>
  <c r="K24" i="6" s="1"/>
  <c r="N24" i="6" s="1"/>
  <c r="J24" i="4"/>
  <c r="K24" i="4" s="1"/>
  <c r="L24" i="4" s="1"/>
  <c r="N23" i="4"/>
  <c r="O23" i="4"/>
  <c r="I25" i="5"/>
  <c r="J25" i="5" s="1"/>
  <c r="M24" i="5"/>
  <c r="K24" i="5"/>
  <c r="N24" i="5" s="1"/>
  <c r="I25" i="7"/>
  <c r="M24" i="7"/>
  <c r="J24" i="7"/>
  <c r="K24" i="7" s="1"/>
  <c r="N24" i="7" s="1"/>
  <c r="F22" i="2"/>
  <c r="G22" i="2" s="1"/>
  <c r="J307" i="5" l="1"/>
  <c r="K307" i="5" s="1"/>
  <c r="N307" i="5" s="1"/>
  <c r="M307" i="5"/>
  <c r="I308" i="5"/>
  <c r="Q85" i="2"/>
  <c r="G112" i="2"/>
  <c r="K112" i="2"/>
  <c r="O112" i="2" s="1"/>
  <c r="F113" i="2"/>
  <c r="J91" i="4"/>
  <c r="N90" i="4"/>
  <c r="K90" i="4"/>
  <c r="L90" i="4" s="1"/>
  <c r="O90" i="4" s="1"/>
  <c r="I113" i="7"/>
  <c r="J112" i="7"/>
  <c r="K112" i="7" s="1"/>
  <c r="N112" i="7" s="1"/>
  <c r="M112" i="7"/>
  <c r="I195" i="6"/>
  <c r="J194" i="6"/>
  <c r="K194" i="6" s="1"/>
  <c r="N194" i="6" s="1"/>
  <c r="M194" i="6"/>
  <c r="M98" i="6"/>
  <c r="I99" i="6"/>
  <c r="J98" i="6"/>
  <c r="K98" i="6" s="1"/>
  <c r="N98" i="6" s="1"/>
  <c r="U34" i="2"/>
  <c r="P53" i="2"/>
  <c r="P54" i="2" s="1"/>
  <c r="K22" i="2"/>
  <c r="O22" i="2" s="1"/>
  <c r="W22" i="2" s="1"/>
  <c r="Y22" i="2" s="1"/>
  <c r="H22" i="2" s="1"/>
  <c r="L22" i="2" s="1"/>
  <c r="I26" i="6"/>
  <c r="M25" i="6"/>
  <c r="J25" i="6"/>
  <c r="K25" i="6" s="1"/>
  <c r="N25" i="6" s="1"/>
  <c r="J25" i="4"/>
  <c r="K25" i="4" s="1"/>
  <c r="L25" i="4" s="1"/>
  <c r="N24" i="4"/>
  <c r="O24" i="4"/>
  <c r="I26" i="5"/>
  <c r="J26" i="5" s="1"/>
  <c r="M25" i="5"/>
  <c r="K25" i="5"/>
  <c r="N25" i="5" s="1"/>
  <c r="J23" i="3"/>
  <c r="N22" i="3"/>
  <c r="K22" i="3"/>
  <c r="L22" i="3" s="1"/>
  <c r="O22" i="3" s="1"/>
  <c r="I26" i="7"/>
  <c r="M25" i="7"/>
  <c r="J25" i="7"/>
  <c r="K25" i="7" s="1"/>
  <c r="N25" i="7" s="1"/>
  <c r="F23" i="2"/>
  <c r="G23" i="2" s="1"/>
  <c r="M308" i="5" l="1"/>
  <c r="I309" i="5"/>
  <c r="J308" i="5"/>
  <c r="K308" i="5" s="1"/>
  <c r="N308" i="5" s="1"/>
  <c r="P55" i="2"/>
  <c r="Q86" i="2"/>
  <c r="K113" i="2"/>
  <c r="O113" i="2" s="1"/>
  <c r="F114" i="2"/>
  <c r="G113" i="2"/>
  <c r="K91" i="4"/>
  <c r="L91" i="4" s="1"/>
  <c r="O91" i="4" s="1"/>
  <c r="N91" i="4"/>
  <c r="J92" i="4"/>
  <c r="J113" i="7"/>
  <c r="K113" i="7" s="1"/>
  <c r="N113" i="7" s="1"/>
  <c r="M113" i="7"/>
  <c r="I114" i="7"/>
  <c r="J195" i="6"/>
  <c r="K195" i="6" s="1"/>
  <c r="N195" i="6" s="1"/>
  <c r="M195" i="6"/>
  <c r="I196" i="6"/>
  <c r="J99" i="6"/>
  <c r="K99" i="6" s="1"/>
  <c r="N99" i="6" s="1"/>
  <c r="M99" i="6"/>
  <c r="I100" i="6"/>
  <c r="U35" i="2"/>
  <c r="K23" i="2"/>
  <c r="O23" i="2" s="1"/>
  <c r="W23" i="2" s="1"/>
  <c r="Y23" i="2" s="1"/>
  <c r="H23" i="2" s="1"/>
  <c r="L23" i="2" s="1"/>
  <c r="J26" i="4"/>
  <c r="K26" i="4" s="1"/>
  <c r="L26" i="4" s="1"/>
  <c r="N25" i="4"/>
  <c r="O25" i="4"/>
  <c r="I27" i="5"/>
  <c r="J27" i="5" s="1"/>
  <c r="M26" i="5"/>
  <c r="K26" i="5"/>
  <c r="N26" i="5" s="1"/>
  <c r="J24" i="3"/>
  <c r="N23" i="3"/>
  <c r="K23" i="3"/>
  <c r="L23" i="3" s="1"/>
  <c r="O23" i="3" s="1"/>
  <c r="I27" i="6"/>
  <c r="M26" i="6"/>
  <c r="J26" i="6"/>
  <c r="K26" i="6" s="1"/>
  <c r="N26" i="6" s="1"/>
  <c r="I27" i="7"/>
  <c r="M26" i="7"/>
  <c r="J26" i="7"/>
  <c r="K26" i="7" s="1"/>
  <c r="N26" i="7" s="1"/>
  <c r="F24" i="2"/>
  <c r="G24" i="2" s="1"/>
  <c r="J309" i="5" l="1"/>
  <c r="K309" i="5" s="1"/>
  <c r="N309" i="5" s="1"/>
  <c r="M309" i="5"/>
  <c r="I310" i="5"/>
  <c r="P56" i="2"/>
  <c r="Q87" i="2"/>
  <c r="G114" i="2"/>
  <c r="K114" i="2"/>
  <c r="O114" i="2" s="1"/>
  <c r="F115" i="2"/>
  <c r="N92" i="4"/>
  <c r="J93" i="4"/>
  <c r="K92" i="4"/>
  <c r="L92" i="4" s="1"/>
  <c r="O92" i="4" s="1"/>
  <c r="M114" i="7"/>
  <c r="I115" i="7"/>
  <c r="J114" i="7"/>
  <c r="K114" i="7" s="1"/>
  <c r="N114" i="7" s="1"/>
  <c r="M196" i="6"/>
  <c r="I197" i="6"/>
  <c r="J196" i="6"/>
  <c r="K196" i="6" s="1"/>
  <c r="N196" i="6" s="1"/>
  <c r="M100" i="6"/>
  <c r="I101" i="6"/>
  <c r="J100" i="6"/>
  <c r="K100" i="6" s="1"/>
  <c r="N100" i="6" s="1"/>
  <c r="U36" i="2"/>
  <c r="K24" i="2"/>
  <c r="O24" i="2" s="1"/>
  <c r="W24" i="2" s="1"/>
  <c r="Y24" i="2" s="1"/>
  <c r="H24" i="2" s="1"/>
  <c r="L24" i="2" s="1"/>
  <c r="I28" i="5"/>
  <c r="J28" i="5" s="1"/>
  <c r="M27" i="5"/>
  <c r="K27" i="5"/>
  <c r="N27" i="5" s="1"/>
  <c r="J25" i="3"/>
  <c r="N24" i="3"/>
  <c r="K24" i="3"/>
  <c r="L24" i="3" s="1"/>
  <c r="O24" i="3" s="1"/>
  <c r="I28" i="6"/>
  <c r="M27" i="6"/>
  <c r="J27" i="6"/>
  <c r="K27" i="6" s="1"/>
  <c r="N27" i="6" s="1"/>
  <c r="J27" i="4"/>
  <c r="K27" i="4" s="1"/>
  <c r="L27" i="4" s="1"/>
  <c r="N26" i="4"/>
  <c r="O26" i="4"/>
  <c r="I28" i="7"/>
  <c r="M27" i="7"/>
  <c r="J27" i="7"/>
  <c r="K27" i="7" s="1"/>
  <c r="N27" i="7" s="1"/>
  <c r="F25" i="2"/>
  <c r="G25" i="2" s="1"/>
  <c r="J310" i="5" l="1"/>
  <c r="K310" i="5" s="1"/>
  <c r="N310" i="5" s="1"/>
  <c r="M310" i="5"/>
  <c r="I311" i="5"/>
  <c r="P57" i="2"/>
  <c r="Q88" i="2"/>
  <c r="G115" i="2"/>
  <c r="K115" i="2"/>
  <c r="O115" i="2" s="1"/>
  <c r="F116" i="2"/>
  <c r="J94" i="4"/>
  <c r="K93" i="4"/>
  <c r="L93" i="4" s="1"/>
  <c r="O93" i="4" s="1"/>
  <c r="N93" i="4"/>
  <c r="I116" i="7"/>
  <c r="J115" i="7"/>
  <c r="K115" i="7" s="1"/>
  <c r="N115" i="7" s="1"/>
  <c r="M115" i="7"/>
  <c r="I198" i="6"/>
  <c r="J197" i="6"/>
  <c r="K197" i="6" s="1"/>
  <c r="N197" i="6" s="1"/>
  <c r="M197" i="6"/>
  <c r="I102" i="6"/>
  <c r="J101" i="6"/>
  <c r="K101" i="6" s="1"/>
  <c r="N101" i="6" s="1"/>
  <c r="M101" i="6"/>
  <c r="U37" i="2"/>
  <c r="K25" i="2"/>
  <c r="O25" i="2" s="1"/>
  <c r="W25" i="2" s="1"/>
  <c r="Y25" i="2" s="1"/>
  <c r="H25" i="2" s="1"/>
  <c r="L25" i="2" s="1"/>
  <c r="J26" i="3"/>
  <c r="N25" i="3"/>
  <c r="K25" i="3"/>
  <c r="L25" i="3" s="1"/>
  <c r="O25" i="3" s="1"/>
  <c r="I29" i="6"/>
  <c r="M28" i="6"/>
  <c r="J28" i="6"/>
  <c r="K28" i="6" s="1"/>
  <c r="N28" i="6" s="1"/>
  <c r="J28" i="4"/>
  <c r="K28" i="4" s="1"/>
  <c r="L28" i="4" s="1"/>
  <c r="N27" i="4"/>
  <c r="O27" i="4"/>
  <c r="I29" i="5"/>
  <c r="J29" i="5" s="1"/>
  <c r="M28" i="5"/>
  <c r="K28" i="5"/>
  <c r="N28" i="5" s="1"/>
  <c r="I29" i="7"/>
  <c r="M28" i="7"/>
  <c r="J28" i="7"/>
  <c r="K28" i="7" s="1"/>
  <c r="N28" i="7" s="1"/>
  <c r="F26" i="2"/>
  <c r="G26" i="2" s="1"/>
  <c r="I312" i="5" l="1"/>
  <c r="M311" i="5"/>
  <c r="J311" i="5"/>
  <c r="K311" i="5" s="1"/>
  <c r="N311" i="5" s="1"/>
  <c r="P58" i="2"/>
  <c r="Q89" i="2"/>
  <c r="G116" i="2"/>
  <c r="K116" i="2"/>
  <c r="O116" i="2" s="1"/>
  <c r="F117" i="2"/>
  <c r="K94" i="4"/>
  <c r="L94" i="4" s="1"/>
  <c r="O94" i="4" s="1"/>
  <c r="N94" i="4"/>
  <c r="J95" i="4"/>
  <c r="J116" i="7"/>
  <c r="K116" i="7" s="1"/>
  <c r="N116" i="7" s="1"/>
  <c r="M116" i="7"/>
  <c r="I117" i="7"/>
  <c r="J198" i="6"/>
  <c r="K198" i="6" s="1"/>
  <c r="N198" i="6" s="1"/>
  <c r="M198" i="6"/>
  <c r="I199" i="6"/>
  <c r="J102" i="6"/>
  <c r="K102" i="6" s="1"/>
  <c r="N102" i="6" s="1"/>
  <c r="M102" i="6"/>
  <c r="I103" i="6"/>
  <c r="U38" i="2"/>
  <c r="K26" i="2"/>
  <c r="O26" i="2" s="1"/>
  <c r="W26" i="2" s="1"/>
  <c r="Y26" i="2" s="1"/>
  <c r="H26" i="2" s="1"/>
  <c r="L26" i="2" s="1"/>
  <c r="I30" i="6"/>
  <c r="M29" i="6"/>
  <c r="J29" i="6"/>
  <c r="K29" i="6" s="1"/>
  <c r="N29" i="6" s="1"/>
  <c r="J29" i="4"/>
  <c r="K29" i="4" s="1"/>
  <c r="L29" i="4" s="1"/>
  <c r="N28" i="4"/>
  <c r="O28" i="4"/>
  <c r="I30" i="5"/>
  <c r="J30" i="5" s="1"/>
  <c r="M29" i="5"/>
  <c r="K29" i="5"/>
  <c r="N29" i="5" s="1"/>
  <c r="J27" i="3"/>
  <c r="N26" i="3"/>
  <c r="K26" i="3"/>
  <c r="L26" i="3" s="1"/>
  <c r="O26" i="3" s="1"/>
  <c r="I30" i="7"/>
  <c r="M29" i="7"/>
  <c r="J29" i="7"/>
  <c r="K29" i="7" s="1"/>
  <c r="N29" i="7" s="1"/>
  <c r="F27" i="2"/>
  <c r="G27" i="2" s="1"/>
  <c r="J312" i="5" l="1"/>
  <c r="K312" i="5" s="1"/>
  <c r="N312" i="5" s="1"/>
  <c r="M312" i="5"/>
  <c r="I313" i="5"/>
  <c r="P59" i="2"/>
  <c r="Q90" i="2"/>
  <c r="K117" i="2"/>
  <c r="O117" i="2" s="1"/>
  <c r="F118" i="2"/>
  <c r="G117" i="2"/>
  <c r="N95" i="4"/>
  <c r="J96" i="4"/>
  <c r="K95" i="4"/>
  <c r="L95" i="4" s="1"/>
  <c r="O95" i="4" s="1"/>
  <c r="M117" i="7"/>
  <c r="I118" i="7"/>
  <c r="J117" i="7"/>
  <c r="K117" i="7" s="1"/>
  <c r="N117" i="7" s="1"/>
  <c r="M199" i="6"/>
  <c r="I200" i="6"/>
  <c r="J199" i="6"/>
  <c r="K199" i="6" s="1"/>
  <c r="N199" i="6" s="1"/>
  <c r="M103" i="6"/>
  <c r="I104" i="6"/>
  <c r="J103" i="6"/>
  <c r="K103" i="6" s="1"/>
  <c r="N103" i="6" s="1"/>
  <c r="U39" i="2"/>
  <c r="K27" i="2"/>
  <c r="O27" i="2" s="1"/>
  <c r="W27" i="2" s="1"/>
  <c r="Y27" i="2" s="1"/>
  <c r="H27" i="2" s="1"/>
  <c r="L27" i="2" s="1"/>
  <c r="J30" i="4"/>
  <c r="K30" i="4" s="1"/>
  <c r="L30" i="4" s="1"/>
  <c r="N29" i="4"/>
  <c r="O29" i="4"/>
  <c r="I31" i="5"/>
  <c r="J31" i="5" s="1"/>
  <c r="M30" i="5"/>
  <c r="K30" i="5"/>
  <c r="N30" i="5" s="1"/>
  <c r="J28" i="3"/>
  <c r="N27" i="3"/>
  <c r="K27" i="3"/>
  <c r="L27" i="3" s="1"/>
  <c r="O27" i="3" s="1"/>
  <c r="I31" i="6"/>
  <c r="M30" i="6"/>
  <c r="J30" i="6"/>
  <c r="K30" i="6" s="1"/>
  <c r="N30" i="6" s="1"/>
  <c r="I31" i="7"/>
  <c r="M30" i="7"/>
  <c r="J30" i="7"/>
  <c r="K30" i="7" s="1"/>
  <c r="N30" i="7" s="1"/>
  <c r="F28" i="2"/>
  <c r="G28" i="2" s="1"/>
  <c r="M313" i="5" l="1"/>
  <c r="I314" i="5"/>
  <c r="J313" i="5"/>
  <c r="K313" i="5" s="1"/>
  <c r="N313" i="5" s="1"/>
  <c r="P60" i="2"/>
  <c r="Q91" i="2"/>
  <c r="G118" i="2"/>
  <c r="K118" i="2"/>
  <c r="O118" i="2" s="1"/>
  <c r="F119" i="2"/>
  <c r="K96" i="4"/>
  <c r="L96" i="4" s="1"/>
  <c r="O96" i="4" s="1"/>
  <c r="J97" i="4"/>
  <c r="N96" i="4"/>
  <c r="J118" i="7"/>
  <c r="K118" i="7" s="1"/>
  <c r="N118" i="7" s="1"/>
  <c r="M118" i="7"/>
  <c r="I119" i="7"/>
  <c r="J200" i="6"/>
  <c r="K200" i="6" s="1"/>
  <c r="N200" i="6" s="1"/>
  <c r="M200" i="6"/>
  <c r="I201" i="6"/>
  <c r="J104" i="6"/>
  <c r="K104" i="6" s="1"/>
  <c r="N104" i="6" s="1"/>
  <c r="I105" i="6"/>
  <c r="M104" i="6"/>
  <c r="U40" i="2"/>
  <c r="K28" i="2"/>
  <c r="O28" i="2" s="1"/>
  <c r="W28" i="2" s="1"/>
  <c r="Y28" i="2" s="1"/>
  <c r="H28" i="2" s="1"/>
  <c r="L28" i="2" s="1"/>
  <c r="I32" i="5"/>
  <c r="J32" i="5" s="1"/>
  <c r="M31" i="5"/>
  <c r="K31" i="5"/>
  <c r="N31" i="5" s="1"/>
  <c r="J29" i="3"/>
  <c r="N28" i="3"/>
  <c r="K28" i="3"/>
  <c r="L28" i="3" s="1"/>
  <c r="O28" i="3" s="1"/>
  <c r="I32" i="6"/>
  <c r="M31" i="6"/>
  <c r="J31" i="6"/>
  <c r="K31" i="6" s="1"/>
  <c r="N31" i="6" s="1"/>
  <c r="J31" i="4"/>
  <c r="K31" i="4" s="1"/>
  <c r="L31" i="4" s="1"/>
  <c r="N30" i="4"/>
  <c r="O30" i="4"/>
  <c r="I32" i="7"/>
  <c r="M31" i="7"/>
  <c r="J31" i="7"/>
  <c r="K31" i="7" s="1"/>
  <c r="N31" i="7" s="1"/>
  <c r="F29" i="2"/>
  <c r="G29" i="2" s="1"/>
  <c r="I315" i="5" l="1"/>
  <c r="J314" i="5"/>
  <c r="K314" i="5" s="1"/>
  <c r="N314" i="5" s="1"/>
  <c r="M314" i="5"/>
  <c r="P61" i="2"/>
  <c r="Q92" i="2"/>
  <c r="G119" i="2"/>
  <c r="F120" i="2"/>
  <c r="K119" i="2"/>
  <c r="O119" i="2" s="1"/>
  <c r="K97" i="4"/>
  <c r="L97" i="4" s="1"/>
  <c r="O97" i="4" s="1"/>
  <c r="N97" i="4"/>
  <c r="J98" i="4"/>
  <c r="J119" i="7"/>
  <c r="K119" i="7" s="1"/>
  <c r="N119" i="7" s="1"/>
  <c r="M119" i="7"/>
  <c r="I120" i="7"/>
  <c r="J201" i="6"/>
  <c r="K201" i="6" s="1"/>
  <c r="N201" i="6" s="1"/>
  <c r="M201" i="6"/>
  <c r="I202" i="6"/>
  <c r="J105" i="6"/>
  <c r="K105" i="6" s="1"/>
  <c r="N105" i="6" s="1"/>
  <c r="M105" i="6"/>
  <c r="I106" i="6"/>
  <c r="U41" i="2"/>
  <c r="K29" i="2"/>
  <c r="O29" i="2" s="1"/>
  <c r="W29" i="2" s="1"/>
  <c r="Y29" i="2" s="1"/>
  <c r="H29" i="2" s="1"/>
  <c r="L29" i="2" s="1"/>
  <c r="J30" i="3"/>
  <c r="N29" i="3"/>
  <c r="K29" i="3"/>
  <c r="L29" i="3" s="1"/>
  <c r="O29" i="3" s="1"/>
  <c r="I33" i="6"/>
  <c r="M32" i="6"/>
  <c r="J32" i="6"/>
  <c r="K32" i="6" s="1"/>
  <c r="N32" i="6" s="1"/>
  <c r="J32" i="4"/>
  <c r="K32" i="4" s="1"/>
  <c r="L32" i="4" s="1"/>
  <c r="N31" i="4"/>
  <c r="O31" i="4"/>
  <c r="I33" i="5"/>
  <c r="J33" i="5" s="1"/>
  <c r="M32" i="5"/>
  <c r="K32" i="5"/>
  <c r="N32" i="5" s="1"/>
  <c r="I33" i="7"/>
  <c r="M32" i="7"/>
  <c r="J32" i="7"/>
  <c r="K32" i="7" s="1"/>
  <c r="N32" i="7" s="1"/>
  <c r="F30" i="2"/>
  <c r="G30" i="2" s="1"/>
  <c r="J315" i="5" l="1"/>
  <c r="K315" i="5" s="1"/>
  <c r="N315" i="5" s="1"/>
  <c r="M315" i="5"/>
  <c r="I316" i="5"/>
  <c r="P62" i="2"/>
  <c r="Q93" i="2"/>
  <c r="G120" i="2"/>
  <c r="K120" i="2"/>
  <c r="O120" i="2" s="1"/>
  <c r="F121" i="2"/>
  <c r="J99" i="4"/>
  <c r="K98" i="4"/>
  <c r="L98" i="4" s="1"/>
  <c r="O98" i="4" s="1"/>
  <c r="N98" i="4"/>
  <c r="I121" i="7"/>
  <c r="J120" i="7"/>
  <c r="K120" i="7" s="1"/>
  <c r="N120" i="7" s="1"/>
  <c r="M120" i="7"/>
  <c r="I203" i="6"/>
  <c r="J202" i="6"/>
  <c r="K202" i="6" s="1"/>
  <c r="N202" i="6" s="1"/>
  <c r="M202" i="6"/>
  <c r="I107" i="6"/>
  <c r="M106" i="6"/>
  <c r="J106" i="6"/>
  <c r="K106" i="6" s="1"/>
  <c r="N106" i="6" s="1"/>
  <c r="U42" i="2"/>
  <c r="K30" i="2"/>
  <c r="O30" i="2" s="1"/>
  <c r="W30" i="2" s="1"/>
  <c r="Y30" i="2" s="1"/>
  <c r="H30" i="2" s="1"/>
  <c r="L30" i="2" s="1"/>
  <c r="M33" i="6"/>
  <c r="I34" i="6"/>
  <c r="J33" i="6"/>
  <c r="K33" i="6" s="1"/>
  <c r="N33" i="6" s="1"/>
  <c r="J33" i="4"/>
  <c r="K33" i="4" s="1"/>
  <c r="L33" i="4" s="1"/>
  <c r="N32" i="4"/>
  <c r="O32" i="4"/>
  <c r="M33" i="5"/>
  <c r="I34" i="5"/>
  <c r="J34" i="5" s="1"/>
  <c r="K33" i="5"/>
  <c r="N33" i="5" s="1"/>
  <c r="J31" i="3"/>
  <c r="N30" i="3"/>
  <c r="K30" i="3"/>
  <c r="L30" i="3" s="1"/>
  <c r="O30" i="3" s="1"/>
  <c r="M33" i="7"/>
  <c r="I34" i="7"/>
  <c r="J33" i="7"/>
  <c r="K33" i="7" s="1"/>
  <c r="N33" i="7" s="1"/>
  <c r="F31" i="2"/>
  <c r="G31" i="2" s="1"/>
  <c r="M316" i="5" l="1"/>
  <c r="I317" i="5"/>
  <c r="J316" i="5"/>
  <c r="K316" i="5" s="1"/>
  <c r="N316" i="5" s="1"/>
  <c r="P63" i="2"/>
  <c r="Q94" i="2"/>
  <c r="K121" i="2"/>
  <c r="O121" i="2" s="1"/>
  <c r="F122" i="2"/>
  <c r="G121" i="2"/>
  <c r="K99" i="4"/>
  <c r="L99" i="4" s="1"/>
  <c r="O99" i="4" s="1"/>
  <c r="N99" i="4"/>
  <c r="J100" i="4"/>
  <c r="J121" i="7"/>
  <c r="K121" i="7" s="1"/>
  <c r="N121" i="7" s="1"/>
  <c r="M121" i="7"/>
  <c r="I122" i="7"/>
  <c r="J203" i="6"/>
  <c r="K203" i="6" s="1"/>
  <c r="N203" i="6" s="1"/>
  <c r="M203" i="6"/>
  <c r="I204" i="6"/>
  <c r="J107" i="6"/>
  <c r="K107" i="6" s="1"/>
  <c r="N107" i="6" s="1"/>
  <c r="M107" i="6"/>
  <c r="I108" i="6"/>
  <c r="U43" i="2"/>
  <c r="K31" i="2"/>
  <c r="O31" i="2" s="1"/>
  <c r="W31" i="2" s="1"/>
  <c r="Y31" i="2" s="1"/>
  <c r="H31" i="2" s="1"/>
  <c r="L31" i="2" s="1"/>
  <c r="M34" i="5"/>
  <c r="I35" i="5"/>
  <c r="J35" i="5" s="1"/>
  <c r="K34" i="5"/>
  <c r="N34" i="5" s="1"/>
  <c r="O33" i="4"/>
  <c r="N33" i="4"/>
  <c r="J34" i="4"/>
  <c r="K34" i="4" s="1"/>
  <c r="L34" i="4" s="1"/>
  <c r="J32" i="3"/>
  <c r="N31" i="3"/>
  <c r="K31" i="3"/>
  <c r="L31" i="3" s="1"/>
  <c r="O31" i="3" s="1"/>
  <c r="M34" i="6"/>
  <c r="I35" i="6"/>
  <c r="J34" i="6"/>
  <c r="K34" i="6" s="1"/>
  <c r="N34" i="6" s="1"/>
  <c r="M34" i="7"/>
  <c r="I35" i="7"/>
  <c r="J34" i="7"/>
  <c r="K34" i="7" s="1"/>
  <c r="N34" i="7" s="1"/>
  <c r="F32" i="2"/>
  <c r="G32" i="2" s="1"/>
  <c r="J317" i="5" l="1"/>
  <c r="K317" i="5" s="1"/>
  <c r="N317" i="5" s="1"/>
  <c r="I318" i="5"/>
  <c r="M317" i="5"/>
  <c r="P64" i="2"/>
  <c r="Q95" i="2"/>
  <c r="F123" i="2"/>
  <c r="K122" i="2"/>
  <c r="O122" i="2" s="1"/>
  <c r="G122" i="2"/>
  <c r="N100" i="4"/>
  <c r="J101" i="4"/>
  <c r="K100" i="4"/>
  <c r="L100" i="4" s="1"/>
  <c r="O100" i="4" s="1"/>
  <c r="M122" i="7"/>
  <c r="I123" i="7"/>
  <c r="J122" i="7"/>
  <c r="K122" i="7" s="1"/>
  <c r="N122" i="7" s="1"/>
  <c r="M204" i="6"/>
  <c r="I205" i="6"/>
  <c r="J204" i="6"/>
  <c r="K204" i="6" s="1"/>
  <c r="N204" i="6" s="1"/>
  <c r="M108" i="6"/>
  <c r="I109" i="6"/>
  <c r="J108" i="6"/>
  <c r="K108" i="6" s="1"/>
  <c r="N108" i="6" s="1"/>
  <c r="U44" i="2"/>
  <c r="K32" i="2"/>
  <c r="O32" i="2" s="1"/>
  <c r="W32" i="2" s="1"/>
  <c r="Y32" i="2" s="1"/>
  <c r="H32" i="2" s="1"/>
  <c r="L32" i="2" s="1"/>
  <c r="M35" i="6"/>
  <c r="I36" i="6"/>
  <c r="J35" i="6"/>
  <c r="K35" i="6" s="1"/>
  <c r="N35" i="6" s="1"/>
  <c r="J33" i="3"/>
  <c r="N32" i="3"/>
  <c r="K32" i="3"/>
  <c r="L32" i="3" s="1"/>
  <c r="O32" i="3" s="1"/>
  <c r="O34" i="4"/>
  <c r="N34" i="4"/>
  <c r="J35" i="4"/>
  <c r="K35" i="4" s="1"/>
  <c r="L35" i="4" s="1"/>
  <c r="M35" i="5"/>
  <c r="I36" i="5"/>
  <c r="J36" i="5" s="1"/>
  <c r="K35" i="5"/>
  <c r="N35" i="5" s="1"/>
  <c r="M35" i="7"/>
  <c r="I36" i="7"/>
  <c r="J35" i="7"/>
  <c r="K35" i="7" s="1"/>
  <c r="N35" i="7" s="1"/>
  <c r="F33" i="2"/>
  <c r="J318" i="5" l="1"/>
  <c r="K318" i="5" s="1"/>
  <c r="N318" i="5" s="1"/>
  <c r="M318" i="5"/>
  <c r="I319" i="5"/>
  <c r="P65" i="2"/>
  <c r="Q96" i="2"/>
  <c r="G123" i="2"/>
  <c r="K123" i="2"/>
  <c r="O123" i="2" s="1"/>
  <c r="F124" i="2"/>
  <c r="J102" i="4"/>
  <c r="K101" i="4"/>
  <c r="L101" i="4" s="1"/>
  <c r="O101" i="4" s="1"/>
  <c r="N101" i="4"/>
  <c r="I124" i="7"/>
  <c r="J123" i="7"/>
  <c r="K123" i="7" s="1"/>
  <c r="N123" i="7" s="1"/>
  <c r="M123" i="7"/>
  <c r="I206" i="6"/>
  <c r="J205" i="6"/>
  <c r="K205" i="6" s="1"/>
  <c r="N205" i="6" s="1"/>
  <c r="M205" i="6"/>
  <c r="I110" i="6"/>
  <c r="J109" i="6"/>
  <c r="K109" i="6" s="1"/>
  <c r="N109" i="6" s="1"/>
  <c r="M109" i="6"/>
  <c r="U45" i="2"/>
  <c r="G33" i="2"/>
  <c r="K33" i="2"/>
  <c r="O33" i="2" s="1"/>
  <c r="W33" i="2" s="1"/>
  <c r="Y33" i="2" s="1"/>
  <c r="H33" i="2" s="1"/>
  <c r="F34" i="2"/>
  <c r="J34" i="3"/>
  <c r="N33" i="3"/>
  <c r="K33" i="3"/>
  <c r="L33" i="3" s="1"/>
  <c r="O33" i="3" s="1"/>
  <c r="M36" i="5"/>
  <c r="I37" i="5"/>
  <c r="J37" i="5" s="1"/>
  <c r="K36" i="5"/>
  <c r="N36" i="5" s="1"/>
  <c r="M36" i="6"/>
  <c r="I37" i="6"/>
  <c r="J36" i="6"/>
  <c r="K36" i="6" s="1"/>
  <c r="N36" i="6" s="1"/>
  <c r="N35" i="4"/>
  <c r="O35" i="4"/>
  <c r="J36" i="4"/>
  <c r="K36" i="4" s="1"/>
  <c r="L36" i="4" s="1"/>
  <c r="M36" i="7"/>
  <c r="I37" i="7"/>
  <c r="J36" i="7"/>
  <c r="K36" i="7" s="1"/>
  <c r="N36" i="7" s="1"/>
  <c r="I320" i="5" l="1"/>
  <c r="M319" i="5"/>
  <c r="J319" i="5"/>
  <c r="K319" i="5" s="1"/>
  <c r="N319" i="5" s="1"/>
  <c r="P66" i="2"/>
  <c r="Q97" i="2"/>
  <c r="G124" i="2"/>
  <c r="K124" i="2"/>
  <c r="O124" i="2" s="1"/>
  <c r="F125" i="2"/>
  <c r="K102" i="4"/>
  <c r="L102" i="4" s="1"/>
  <c r="O102" i="4" s="1"/>
  <c r="N102" i="4"/>
  <c r="J103" i="4"/>
  <c r="J124" i="7"/>
  <c r="K124" i="7" s="1"/>
  <c r="N124" i="7" s="1"/>
  <c r="M124" i="7"/>
  <c r="I125" i="7"/>
  <c r="J206" i="6"/>
  <c r="K206" i="6" s="1"/>
  <c r="N206" i="6" s="1"/>
  <c r="M206" i="6"/>
  <c r="I207" i="6"/>
  <c r="J110" i="6"/>
  <c r="K110" i="6" s="1"/>
  <c r="N110" i="6" s="1"/>
  <c r="M110" i="6"/>
  <c r="I111" i="6"/>
  <c r="L33" i="2"/>
  <c r="U46" i="2"/>
  <c r="G34" i="2"/>
  <c r="M37" i="5"/>
  <c r="I38" i="5"/>
  <c r="J38" i="5" s="1"/>
  <c r="K37" i="5"/>
  <c r="N37" i="5" s="1"/>
  <c r="N34" i="3"/>
  <c r="J35" i="3"/>
  <c r="K34" i="3"/>
  <c r="L34" i="3" s="1"/>
  <c r="O34" i="3" s="1"/>
  <c r="N36" i="4"/>
  <c r="O36" i="4"/>
  <c r="J37" i="4"/>
  <c r="K37" i="4" s="1"/>
  <c r="L37" i="4" s="1"/>
  <c r="M37" i="6"/>
  <c r="I38" i="6"/>
  <c r="J37" i="6"/>
  <c r="K37" i="6" s="1"/>
  <c r="N37" i="6" s="1"/>
  <c r="F35" i="2"/>
  <c r="K34" i="2"/>
  <c r="O34" i="2" s="1"/>
  <c r="W34" i="2" s="1"/>
  <c r="Y34" i="2" s="1"/>
  <c r="H34" i="2" s="1"/>
  <c r="M37" i="7"/>
  <c r="I38" i="7"/>
  <c r="J37" i="7"/>
  <c r="K37" i="7" s="1"/>
  <c r="N37" i="7" s="1"/>
  <c r="J320" i="5" l="1"/>
  <c r="K320" i="5" s="1"/>
  <c r="N320" i="5" s="1"/>
  <c r="M320" i="5"/>
  <c r="I321" i="5"/>
  <c r="P67" i="2"/>
  <c r="Q98" i="2"/>
  <c r="F126" i="2"/>
  <c r="G125" i="2"/>
  <c r="K125" i="2"/>
  <c r="O125" i="2" s="1"/>
  <c r="N103" i="4"/>
  <c r="J104" i="4"/>
  <c r="K103" i="4"/>
  <c r="L103" i="4" s="1"/>
  <c r="O103" i="4" s="1"/>
  <c r="M125" i="7"/>
  <c r="I126" i="7"/>
  <c r="J125" i="7"/>
  <c r="K125" i="7" s="1"/>
  <c r="N125" i="7" s="1"/>
  <c r="M207" i="6"/>
  <c r="I208" i="6"/>
  <c r="J207" i="6"/>
  <c r="K207" i="6" s="1"/>
  <c r="N207" i="6" s="1"/>
  <c r="M111" i="6"/>
  <c r="I112" i="6"/>
  <c r="J111" i="6"/>
  <c r="K111" i="6" s="1"/>
  <c r="N111" i="6" s="1"/>
  <c r="L34" i="2"/>
  <c r="U47" i="2"/>
  <c r="G35" i="2"/>
  <c r="M38" i="6"/>
  <c r="I39" i="6"/>
  <c r="J38" i="6"/>
  <c r="K38" i="6" s="1"/>
  <c r="N38" i="6" s="1"/>
  <c r="M38" i="5"/>
  <c r="I39" i="5"/>
  <c r="J39" i="5" s="1"/>
  <c r="K38" i="5"/>
  <c r="N38" i="5" s="1"/>
  <c r="K35" i="2"/>
  <c r="O35" i="2" s="1"/>
  <c r="W35" i="2" s="1"/>
  <c r="Y35" i="2" s="1"/>
  <c r="H35" i="2" s="1"/>
  <c r="F36" i="2"/>
  <c r="N37" i="4"/>
  <c r="J38" i="4"/>
  <c r="K38" i="4" s="1"/>
  <c r="L38" i="4" s="1"/>
  <c r="O37" i="4"/>
  <c r="N35" i="3"/>
  <c r="J36" i="3"/>
  <c r="K35" i="3"/>
  <c r="L35" i="3" s="1"/>
  <c r="O35" i="3" s="1"/>
  <c r="M38" i="7"/>
  <c r="I39" i="7"/>
  <c r="J38" i="7"/>
  <c r="K38" i="7" s="1"/>
  <c r="N38" i="7" s="1"/>
  <c r="M321" i="5" l="1"/>
  <c r="I322" i="5"/>
  <c r="J321" i="5"/>
  <c r="K321" i="5" s="1"/>
  <c r="N321" i="5" s="1"/>
  <c r="P68" i="2"/>
  <c r="Q99" i="2"/>
  <c r="K126" i="2"/>
  <c r="O126" i="2" s="1"/>
  <c r="F127" i="2"/>
  <c r="G126" i="2"/>
  <c r="K104" i="4"/>
  <c r="L104" i="4" s="1"/>
  <c r="O104" i="4" s="1"/>
  <c r="N104" i="4"/>
  <c r="J105" i="4"/>
  <c r="J126" i="7"/>
  <c r="K126" i="7" s="1"/>
  <c r="N126" i="7" s="1"/>
  <c r="M126" i="7"/>
  <c r="I127" i="7"/>
  <c r="J208" i="6"/>
  <c r="K208" i="6" s="1"/>
  <c r="N208" i="6" s="1"/>
  <c r="M208" i="6"/>
  <c r="I209" i="6"/>
  <c r="J112" i="6"/>
  <c r="K112" i="6" s="1"/>
  <c r="N112" i="6" s="1"/>
  <c r="I113" i="6"/>
  <c r="M112" i="6"/>
  <c r="L35" i="2"/>
  <c r="U48" i="2"/>
  <c r="G36" i="2"/>
  <c r="K36" i="2"/>
  <c r="O36" i="2" s="1"/>
  <c r="W36" i="2" s="1"/>
  <c r="Y36" i="2" s="1"/>
  <c r="H36" i="2" s="1"/>
  <c r="F37" i="2"/>
  <c r="N38" i="4"/>
  <c r="O38" i="4"/>
  <c r="J39" i="4"/>
  <c r="K39" i="4" s="1"/>
  <c r="L39" i="4" s="1"/>
  <c r="N36" i="3"/>
  <c r="J37" i="3"/>
  <c r="K36" i="3"/>
  <c r="L36" i="3" s="1"/>
  <c r="O36" i="3" s="1"/>
  <c r="M39" i="6"/>
  <c r="I40" i="6"/>
  <c r="J39" i="6"/>
  <c r="K39" i="6" s="1"/>
  <c r="N39" i="6" s="1"/>
  <c r="M39" i="5"/>
  <c r="I40" i="5"/>
  <c r="J40" i="5" s="1"/>
  <c r="K39" i="5"/>
  <c r="N39" i="5" s="1"/>
  <c r="M39" i="7"/>
  <c r="I40" i="7"/>
  <c r="J39" i="7"/>
  <c r="K39" i="7" s="1"/>
  <c r="N39" i="7" s="1"/>
  <c r="I323" i="5" l="1"/>
  <c r="J322" i="5"/>
  <c r="K322" i="5" s="1"/>
  <c r="N322" i="5" s="1"/>
  <c r="M322" i="5"/>
  <c r="P69" i="2"/>
  <c r="Q100" i="2"/>
  <c r="F128" i="2"/>
  <c r="G127" i="2"/>
  <c r="K127" i="2"/>
  <c r="O127" i="2" s="1"/>
  <c r="K105" i="4"/>
  <c r="L105" i="4" s="1"/>
  <c r="O105" i="4" s="1"/>
  <c r="N105" i="4"/>
  <c r="J106" i="4"/>
  <c r="J127" i="7"/>
  <c r="K127" i="7" s="1"/>
  <c r="N127" i="7" s="1"/>
  <c r="M127" i="7"/>
  <c r="I128" i="7"/>
  <c r="J209" i="6"/>
  <c r="K209" i="6" s="1"/>
  <c r="N209" i="6" s="1"/>
  <c r="M209" i="6"/>
  <c r="I210" i="6"/>
  <c r="J113" i="6"/>
  <c r="K113" i="6" s="1"/>
  <c r="N113" i="6" s="1"/>
  <c r="M113" i="6"/>
  <c r="I114" i="6"/>
  <c r="L36" i="2"/>
  <c r="U49" i="2"/>
  <c r="G37" i="2"/>
  <c r="N37" i="3"/>
  <c r="J38" i="3"/>
  <c r="K37" i="3"/>
  <c r="L37" i="3" s="1"/>
  <c r="O37" i="3" s="1"/>
  <c r="M40" i="6"/>
  <c r="I41" i="6"/>
  <c r="J40" i="6"/>
  <c r="K40" i="6" s="1"/>
  <c r="N40" i="6" s="1"/>
  <c r="M40" i="5"/>
  <c r="I41" i="5"/>
  <c r="J41" i="5" s="1"/>
  <c r="K40" i="5"/>
  <c r="N40" i="5" s="1"/>
  <c r="N39" i="4"/>
  <c r="O39" i="4"/>
  <c r="J40" i="4"/>
  <c r="K40" i="4" s="1"/>
  <c r="L40" i="4" s="1"/>
  <c r="K37" i="2"/>
  <c r="O37" i="2" s="1"/>
  <c r="W37" i="2" s="1"/>
  <c r="Y37" i="2" s="1"/>
  <c r="H37" i="2" s="1"/>
  <c r="F38" i="2"/>
  <c r="M40" i="7"/>
  <c r="I41" i="7"/>
  <c r="J40" i="7"/>
  <c r="K40" i="7" s="1"/>
  <c r="N40" i="7" s="1"/>
  <c r="J323" i="5" l="1"/>
  <c r="K323" i="5" s="1"/>
  <c r="N323" i="5" s="1"/>
  <c r="M323" i="5"/>
  <c r="I324" i="5"/>
  <c r="P70" i="2"/>
  <c r="Q101" i="2"/>
  <c r="F129" i="2"/>
  <c r="G128" i="2"/>
  <c r="K128" i="2"/>
  <c r="O128" i="2" s="1"/>
  <c r="J107" i="4"/>
  <c r="K106" i="4"/>
  <c r="L106" i="4" s="1"/>
  <c r="O106" i="4" s="1"/>
  <c r="N106" i="4"/>
  <c r="I129" i="7"/>
  <c r="J128" i="7"/>
  <c r="K128" i="7" s="1"/>
  <c r="N128" i="7" s="1"/>
  <c r="M128" i="7"/>
  <c r="I211" i="6"/>
  <c r="M210" i="6"/>
  <c r="J210" i="6"/>
  <c r="K210" i="6" s="1"/>
  <c r="N210" i="6" s="1"/>
  <c r="I115" i="6"/>
  <c r="M114" i="6"/>
  <c r="J114" i="6"/>
  <c r="K114" i="6" s="1"/>
  <c r="N114" i="6" s="1"/>
  <c r="L37" i="2"/>
  <c r="U50" i="2"/>
  <c r="G38" i="2"/>
  <c r="N40" i="4"/>
  <c r="O40" i="4"/>
  <c r="J41" i="4"/>
  <c r="K41" i="4" s="1"/>
  <c r="L41" i="4" s="1"/>
  <c r="M41" i="5"/>
  <c r="K41" i="5"/>
  <c r="N41" i="5" s="1"/>
  <c r="I42" i="5"/>
  <c r="J42" i="5" s="1"/>
  <c r="K38" i="2"/>
  <c r="O38" i="2" s="1"/>
  <c r="W38" i="2" s="1"/>
  <c r="Y38" i="2" s="1"/>
  <c r="H38" i="2" s="1"/>
  <c r="F39" i="2"/>
  <c r="N38" i="3"/>
  <c r="J39" i="3"/>
  <c r="K38" i="3"/>
  <c r="L38" i="3" s="1"/>
  <c r="O38" i="3" s="1"/>
  <c r="M41" i="6"/>
  <c r="I42" i="6"/>
  <c r="J41" i="6"/>
  <c r="K41" i="6" s="1"/>
  <c r="N41" i="6" s="1"/>
  <c r="M41" i="7"/>
  <c r="I42" i="7"/>
  <c r="J41" i="7"/>
  <c r="K41" i="7" s="1"/>
  <c r="N41" i="7" s="1"/>
  <c r="M324" i="5" l="1"/>
  <c r="J324" i="5"/>
  <c r="K324" i="5" s="1"/>
  <c r="N324" i="5" s="1"/>
  <c r="P71" i="2"/>
  <c r="Q102" i="2"/>
  <c r="G129" i="2"/>
  <c r="K129" i="2"/>
  <c r="O129" i="2" s="1"/>
  <c r="F130" i="2"/>
  <c r="K107" i="4"/>
  <c r="L107" i="4" s="1"/>
  <c r="O107" i="4" s="1"/>
  <c r="N107" i="4"/>
  <c r="J108" i="4"/>
  <c r="J129" i="7"/>
  <c r="K129" i="7" s="1"/>
  <c r="N129" i="7" s="1"/>
  <c r="M129" i="7"/>
  <c r="I130" i="7"/>
  <c r="J211" i="6"/>
  <c r="K211" i="6" s="1"/>
  <c r="N211" i="6" s="1"/>
  <c r="M211" i="6"/>
  <c r="I212" i="6"/>
  <c r="J115" i="6"/>
  <c r="K115" i="6" s="1"/>
  <c r="N115" i="6" s="1"/>
  <c r="M115" i="6"/>
  <c r="I116" i="6"/>
  <c r="L38" i="2"/>
  <c r="U51" i="2"/>
  <c r="G39" i="2"/>
  <c r="N39" i="3"/>
  <c r="J40" i="3"/>
  <c r="K39" i="3"/>
  <c r="L39" i="3" s="1"/>
  <c r="O39" i="3" s="1"/>
  <c r="N41" i="4"/>
  <c r="O41" i="4"/>
  <c r="J42" i="4"/>
  <c r="K42" i="4" s="1"/>
  <c r="L42" i="4" s="1"/>
  <c r="M42" i="6"/>
  <c r="I43" i="6"/>
  <c r="J42" i="6"/>
  <c r="K42" i="6" s="1"/>
  <c r="N42" i="6" s="1"/>
  <c r="M42" i="5"/>
  <c r="I43" i="5"/>
  <c r="J43" i="5" s="1"/>
  <c r="K42" i="5"/>
  <c r="N42" i="5" s="1"/>
  <c r="K39" i="2"/>
  <c r="O39" i="2" s="1"/>
  <c r="W39" i="2" s="1"/>
  <c r="Y39" i="2" s="1"/>
  <c r="H39" i="2" s="1"/>
  <c r="F40" i="2"/>
  <c r="M42" i="7"/>
  <c r="J42" i="7"/>
  <c r="K42" i="7" s="1"/>
  <c r="N42" i="7" s="1"/>
  <c r="I43" i="7"/>
  <c r="P72" i="2" l="1"/>
  <c r="Q103" i="2"/>
  <c r="K130" i="2"/>
  <c r="O130" i="2" s="1"/>
  <c r="F131" i="2"/>
  <c r="G130" i="2"/>
  <c r="N108" i="4"/>
  <c r="J109" i="4"/>
  <c r="K108" i="4"/>
  <c r="L108" i="4" s="1"/>
  <c r="O108" i="4" s="1"/>
  <c r="M130" i="7"/>
  <c r="I131" i="7"/>
  <c r="J130" i="7"/>
  <c r="K130" i="7" s="1"/>
  <c r="N130" i="7" s="1"/>
  <c r="M212" i="6"/>
  <c r="I213" i="6"/>
  <c r="J212" i="6"/>
  <c r="K212" i="6" s="1"/>
  <c r="N212" i="6" s="1"/>
  <c r="J116" i="6"/>
  <c r="K116" i="6" s="1"/>
  <c r="N116" i="6" s="1"/>
  <c r="M116" i="6"/>
  <c r="I117" i="6"/>
  <c r="L39" i="2"/>
  <c r="U52" i="2"/>
  <c r="G40" i="2"/>
  <c r="M43" i="6"/>
  <c r="J43" i="6"/>
  <c r="K43" i="6" s="1"/>
  <c r="N43" i="6" s="1"/>
  <c r="I44" i="6"/>
  <c r="K40" i="2"/>
  <c r="O40" i="2" s="1"/>
  <c r="W40" i="2" s="1"/>
  <c r="Y40" i="2" s="1"/>
  <c r="H40" i="2" s="1"/>
  <c r="F41" i="2"/>
  <c r="M43" i="5"/>
  <c r="I44" i="5"/>
  <c r="J44" i="5" s="1"/>
  <c r="K43" i="5"/>
  <c r="N43" i="5" s="1"/>
  <c r="N42" i="4"/>
  <c r="O42" i="4"/>
  <c r="J43" i="4"/>
  <c r="K43" i="4" s="1"/>
  <c r="L43" i="4" s="1"/>
  <c r="N40" i="3"/>
  <c r="J41" i="3"/>
  <c r="K40" i="3"/>
  <c r="L40" i="3" s="1"/>
  <c r="O40" i="3" s="1"/>
  <c r="M43" i="7"/>
  <c r="J43" i="7"/>
  <c r="K43" i="7" s="1"/>
  <c r="N43" i="7" s="1"/>
  <c r="I44" i="7"/>
  <c r="P73" i="2" l="1"/>
  <c r="Q104" i="2"/>
  <c r="G131" i="2"/>
  <c r="F132" i="2"/>
  <c r="K131" i="2"/>
  <c r="O131" i="2" s="1"/>
  <c r="J110" i="4"/>
  <c r="K109" i="4"/>
  <c r="L109" i="4" s="1"/>
  <c r="O109" i="4" s="1"/>
  <c r="N109" i="4"/>
  <c r="I132" i="7"/>
  <c r="J131" i="7"/>
  <c r="K131" i="7" s="1"/>
  <c r="N131" i="7" s="1"/>
  <c r="M131" i="7"/>
  <c r="I214" i="6"/>
  <c r="J213" i="6"/>
  <c r="K213" i="6" s="1"/>
  <c r="N213" i="6" s="1"/>
  <c r="M213" i="6"/>
  <c r="I118" i="6"/>
  <c r="J117" i="6"/>
  <c r="K117" i="6" s="1"/>
  <c r="N117" i="6" s="1"/>
  <c r="M117" i="6"/>
  <c r="L40" i="2"/>
  <c r="U53" i="2"/>
  <c r="U54" i="2" s="1"/>
  <c r="G41" i="2"/>
  <c r="N43" i="4"/>
  <c r="O43" i="4"/>
  <c r="J44" i="4"/>
  <c r="K44" i="4" s="1"/>
  <c r="L44" i="4" s="1"/>
  <c r="M44" i="5"/>
  <c r="I45" i="5"/>
  <c r="J45" i="5" s="1"/>
  <c r="K44" i="5"/>
  <c r="N44" i="5" s="1"/>
  <c r="M44" i="6"/>
  <c r="I45" i="6"/>
  <c r="J44" i="6"/>
  <c r="K44" i="6" s="1"/>
  <c r="N44" i="6" s="1"/>
  <c r="N41" i="3"/>
  <c r="K41" i="3"/>
  <c r="L41" i="3" s="1"/>
  <c r="O41" i="3" s="1"/>
  <c r="J42" i="3"/>
  <c r="K41" i="2"/>
  <c r="O41" i="2" s="1"/>
  <c r="W41" i="2" s="1"/>
  <c r="Y41" i="2" s="1"/>
  <c r="H41" i="2" s="1"/>
  <c r="F42" i="2"/>
  <c r="M44" i="7"/>
  <c r="I45" i="7"/>
  <c r="J44" i="7"/>
  <c r="K44" i="7" s="1"/>
  <c r="N44" i="7" s="1"/>
  <c r="U55" i="2" l="1"/>
  <c r="W54" i="2"/>
  <c r="Y54" i="2" s="1"/>
  <c r="H54" i="2" s="1"/>
  <c r="L54" i="2" s="1"/>
  <c r="P74" i="2"/>
  <c r="Q105" i="2"/>
  <c r="F133" i="2"/>
  <c r="G132" i="2"/>
  <c r="K132" i="2"/>
  <c r="O132" i="2" s="1"/>
  <c r="K110" i="4"/>
  <c r="L110" i="4" s="1"/>
  <c r="O110" i="4" s="1"/>
  <c r="N110" i="4"/>
  <c r="J111" i="4"/>
  <c r="J132" i="7"/>
  <c r="K132" i="7" s="1"/>
  <c r="N132" i="7" s="1"/>
  <c r="M132" i="7"/>
  <c r="I133" i="7"/>
  <c r="J214" i="6"/>
  <c r="K214" i="6" s="1"/>
  <c r="N214" i="6" s="1"/>
  <c r="M214" i="6"/>
  <c r="I215" i="6"/>
  <c r="J118" i="6"/>
  <c r="K118" i="6" s="1"/>
  <c r="N118" i="6" s="1"/>
  <c r="M118" i="6"/>
  <c r="I119" i="6"/>
  <c r="L41" i="2"/>
  <c r="G42" i="2"/>
  <c r="N42" i="3"/>
  <c r="J43" i="3"/>
  <c r="K42" i="3"/>
  <c r="L42" i="3" s="1"/>
  <c r="O42" i="3" s="1"/>
  <c r="M45" i="6"/>
  <c r="I46" i="6"/>
  <c r="J45" i="6"/>
  <c r="K45" i="6" s="1"/>
  <c r="N45" i="6" s="1"/>
  <c r="K42" i="2"/>
  <c r="O42" i="2" s="1"/>
  <c r="W42" i="2" s="1"/>
  <c r="Y42" i="2" s="1"/>
  <c r="H42" i="2" s="1"/>
  <c r="F43" i="2"/>
  <c r="N44" i="4"/>
  <c r="O44" i="4"/>
  <c r="J45" i="4"/>
  <c r="K45" i="4" s="1"/>
  <c r="L45" i="4" s="1"/>
  <c r="M45" i="5"/>
  <c r="K45" i="5"/>
  <c r="N45" i="5" s="1"/>
  <c r="I46" i="5"/>
  <c r="J46" i="5" s="1"/>
  <c r="M45" i="7"/>
  <c r="J45" i="7"/>
  <c r="K45" i="7" s="1"/>
  <c r="N45" i="7" s="1"/>
  <c r="I46" i="7"/>
  <c r="P75" i="2" l="1"/>
  <c r="U56" i="2"/>
  <c r="W55" i="2"/>
  <c r="Y55" i="2" s="1"/>
  <c r="H55" i="2" s="1"/>
  <c r="L55" i="2" s="1"/>
  <c r="Q106" i="2"/>
  <c r="G133" i="2"/>
  <c r="F134" i="2"/>
  <c r="K133" i="2"/>
  <c r="O133" i="2" s="1"/>
  <c r="N111" i="4"/>
  <c r="J112" i="4"/>
  <c r="K111" i="4"/>
  <c r="L111" i="4" s="1"/>
  <c r="O111" i="4" s="1"/>
  <c r="M133" i="7"/>
  <c r="I134" i="7"/>
  <c r="J133" i="7"/>
  <c r="K133" i="7" s="1"/>
  <c r="N133" i="7" s="1"/>
  <c r="M215" i="6"/>
  <c r="I216" i="6"/>
  <c r="J215" i="6"/>
  <c r="K215" i="6" s="1"/>
  <c r="N215" i="6" s="1"/>
  <c r="M119" i="6"/>
  <c r="I120" i="6"/>
  <c r="J119" i="6"/>
  <c r="K119" i="6" s="1"/>
  <c r="N119" i="6" s="1"/>
  <c r="L42" i="2"/>
  <c r="G43" i="2"/>
  <c r="N45" i="4"/>
  <c r="O45" i="4"/>
  <c r="J46" i="4"/>
  <c r="K46" i="4" s="1"/>
  <c r="L46" i="4" s="1"/>
  <c r="K46" i="5"/>
  <c r="N46" i="5" s="1"/>
  <c r="M46" i="5"/>
  <c r="I47" i="5"/>
  <c r="J47" i="5" s="1"/>
  <c r="N43" i="3"/>
  <c r="J44" i="3"/>
  <c r="K43" i="3"/>
  <c r="L43" i="3" s="1"/>
  <c r="O43" i="3" s="1"/>
  <c r="K43" i="2"/>
  <c r="O43" i="2" s="1"/>
  <c r="W43" i="2" s="1"/>
  <c r="Y43" i="2" s="1"/>
  <c r="H43" i="2" s="1"/>
  <c r="F44" i="2"/>
  <c r="M46" i="6"/>
  <c r="J46" i="6"/>
  <c r="K46" i="6" s="1"/>
  <c r="N46" i="6" s="1"/>
  <c r="I47" i="6"/>
  <c r="M46" i="7"/>
  <c r="J46" i="7"/>
  <c r="K46" i="7" s="1"/>
  <c r="N46" i="7" s="1"/>
  <c r="I47" i="7"/>
  <c r="U57" i="2" l="1"/>
  <c r="W56" i="2"/>
  <c r="Y56" i="2" s="1"/>
  <c r="H56" i="2" s="1"/>
  <c r="L56" i="2" s="1"/>
  <c r="P76" i="2"/>
  <c r="Q107" i="2"/>
  <c r="K134" i="2"/>
  <c r="O134" i="2" s="1"/>
  <c r="F135" i="2"/>
  <c r="G134" i="2"/>
  <c r="K112" i="4"/>
  <c r="L112" i="4" s="1"/>
  <c r="O112" i="4" s="1"/>
  <c r="N112" i="4"/>
  <c r="J113" i="4"/>
  <c r="J134" i="7"/>
  <c r="K134" i="7" s="1"/>
  <c r="N134" i="7" s="1"/>
  <c r="I135" i="7"/>
  <c r="M134" i="7"/>
  <c r="J216" i="6"/>
  <c r="K216" i="6" s="1"/>
  <c r="N216" i="6" s="1"/>
  <c r="M216" i="6"/>
  <c r="I217" i="6"/>
  <c r="J120" i="6"/>
  <c r="K120" i="6" s="1"/>
  <c r="N120" i="6" s="1"/>
  <c r="I121" i="6"/>
  <c r="M120" i="6"/>
  <c r="L43" i="2"/>
  <c r="G44" i="2"/>
  <c r="F45" i="2"/>
  <c r="K44" i="2"/>
  <c r="O44" i="2" s="1"/>
  <c r="W44" i="2" s="1"/>
  <c r="Y44" i="2" s="1"/>
  <c r="H44" i="2" s="1"/>
  <c r="N44" i="3"/>
  <c r="J45" i="3"/>
  <c r="K44" i="3"/>
  <c r="L44" i="3" s="1"/>
  <c r="O44" i="3" s="1"/>
  <c r="M47" i="6"/>
  <c r="J47" i="6"/>
  <c r="K47" i="6" s="1"/>
  <c r="N47" i="6" s="1"/>
  <c r="I48" i="6"/>
  <c r="O46" i="4"/>
  <c r="N46" i="4"/>
  <c r="J47" i="4"/>
  <c r="K47" i="4" s="1"/>
  <c r="L47" i="4" s="1"/>
  <c r="I48" i="5"/>
  <c r="J48" i="5" s="1"/>
  <c r="M47" i="5"/>
  <c r="K47" i="5"/>
  <c r="N47" i="5" s="1"/>
  <c r="M47" i="7"/>
  <c r="J47" i="7"/>
  <c r="K47" i="7" s="1"/>
  <c r="N47" i="7" s="1"/>
  <c r="I48" i="7"/>
  <c r="P77" i="2" l="1"/>
  <c r="U58" i="2"/>
  <c r="W57" i="2"/>
  <c r="Y57" i="2" s="1"/>
  <c r="H57" i="2" s="1"/>
  <c r="L57" i="2" s="1"/>
  <c r="Q108" i="2"/>
  <c r="G135" i="2"/>
  <c r="K135" i="2"/>
  <c r="O135" i="2" s="1"/>
  <c r="F136" i="2"/>
  <c r="K113" i="4"/>
  <c r="L113" i="4" s="1"/>
  <c r="O113" i="4" s="1"/>
  <c r="N113" i="4"/>
  <c r="J114" i="4"/>
  <c r="J135" i="7"/>
  <c r="K135" i="7" s="1"/>
  <c r="N135" i="7" s="1"/>
  <c r="M135" i="7"/>
  <c r="I136" i="7"/>
  <c r="J217" i="6"/>
  <c r="K217" i="6" s="1"/>
  <c r="N217" i="6" s="1"/>
  <c r="M217" i="6"/>
  <c r="I218" i="6"/>
  <c r="J121" i="6"/>
  <c r="K121" i="6" s="1"/>
  <c r="N121" i="6" s="1"/>
  <c r="M121" i="6"/>
  <c r="I122" i="6"/>
  <c r="L44" i="2"/>
  <c r="G45" i="2"/>
  <c r="O47" i="4"/>
  <c r="N47" i="4"/>
  <c r="J48" i="4"/>
  <c r="K48" i="4" s="1"/>
  <c r="L48" i="4" s="1"/>
  <c r="K45" i="2"/>
  <c r="O45" i="2" s="1"/>
  <c r="W45" i="2" s="1"/>
  <c r="Y45" i="2" s="1"/>
  <c r="H45" i="2" s="1"/>
  <c r="F46" i="2"/>
  <c r="M48" i="5"/>
  <c r="I49" i="5"/>
  <c r="J49" i="5" s="1"/>
  <c r="K48" i="5"/>
  <c r="N48" i="5" s="1"/>
  <c r="M48" i="6"/>
  <c r="I49" i="6"/>
  <c r="J48" i="6"/>
  <c r="K48" i="6" s="1"/>
  <c r="N48" i="6" s="1"/>
  <c r="N45" i="3"/>
  <c r="K45" i="3"/>
  <c r="L45" i="3" s="1"/>
  <c r="O45" i="3" s="1"/>
  <c r="J46" i="3"/>
  <c r="M48" i="7"/>
  <c r="J48" i="7"/>
  <c r="K48" i="7" s="1"/>
  <c r="N48" i="7" s="1"/>
  <c r="I49" i="7"/>
  <c r="U59" i="2" l="1"/>
  <c r="W58" i="2"/>
  <c r="Y58" i="2" s="1"/>
  <c r="H58" i="2" s="1"/>
  <c r="L58" i="2" s="1"/>
  <c r="P78" i="2"/>
  <c r="Q109" i="2"/>
  <c r="F137" i="2"/>
  <c r="G136" i="2"/>
  <c r="K136" i="2"/>
  <c r="O136" i="2" s="1"/>
  <c r="J115" i="4"/>
  <c r="N114" i="4"/>
  <c r="K114" i="4"/>
  <c r="L114" i="4" s="1"/>
  <c r="O114" i="4" s="1"/>
  <c r="I137" i="7"/>
  <c r="J136" i="7"/>
  <c r="K136" i="7" s="1"/>
  <c r="N136" i="7" s="1"/>
  <c r="M136" i="7"/>
  <c r="I219" i="6"/>
  <c r="J218" i="6"/>
  <c r="K218" i="6" s="1"/>
  <c r="N218" i="6" s="1"/>
  <c r="M218" i="6"/>
  <c r="M122" i="6"/>
  <c r="I123" i="6"/>
  <c r="J122" i="6"/>
  <c r="K122" i="6" s="1"/>
  <c r="N122" i="6" s="1"/>
  <c r="L45" i="2"/>
  <c r="G46" i="2"/>
  <c r="M49" i="5"/>
  <c r="I50" i="5"/>
  <c r="J50" i="5" s="1"/>
  <c r="K49" i="5"/>
  <c r="N49" i="5" s="1"/>
  <c r="N46" i="3"/>
  <c r="K46" i="3"/>
  <c r="L46" i="3" s="1"/>
  <c r="O46" i="3" s="1"/>
  <c r="J47" i="3"/>
  <c r="M49" i="6"/>
  <c r="I50" i="6"/>
  <c r="J49" i="6"/>
  <c r="K49" i="6" s="1"/>
  <c r="N49" i="6" s="1"/>
  <c r="N48" i="4"/>
  <c r="O48" i="4"/>
  <c r="J49" i="4"/>
  <c r="K49" i="4" s="1"/>
  <c r="L49" i="4" s="1"/>
  <c r="K46" i="2"/>
  <c r="O46" i="2" s="1"/>
  <c r="W46" i="2" s="1"/>
  <c r="Y46" i="2" s="1"/>
  <c r="H46" i="2" s="1"/>
  <c r="F47" i="2"/>
  <c r="M49" i="7"/>
  <c r="J49" i="7"/>
  <c r="K49" i="7" s="1"/>
  <c r="N49" i="7" s="1"/>
  <c r="I50" i="7"/>
  <c r="P79" i="2" l="1"/>
  <c r="U60" i="2"/>
  <c r="W59" i="2"/>
  <c r="Y59" i="2" s="1"/>
  <c r="H59" i="2" s="1"/>
  <c r="L59" i="2" s="1"/>
  <c r="Q110" i="2"/>
  <c r="G137" i="2"/>
  <c r="F138" i="2"/>
  <c r="K137" i="2"/>
  <c r="O137" i="2" s="1"/>
  <c r="K115" i="4"/>
  <c r="L115" i="4" s="1"/>
  <c r="O115" i="4" s="1"/>
  <c r="N115" i="4"/>
  <c r="J116" i="4"/>
  <c r="J137" i="7"/>
  <c r="K137" i="7" s="1"/>
  <c r="N137" i="7" s="1"/>
  <c r="M137" i="7"/>
  <c r="I138" i="7"/>
  <c r="J219" i="6"/>
  <c r="K219" i="6" s="1"/>
  <c r="N219" i="6" s="1"/>
  <c r="M219" i="6"/>
  <c r="I220" i="6"/>
  <c r="J123" i="6"/>
  <c r="K123" i="6" s="1"/>
  <c r="N123" i="6" s="1"/>
  <c r="M123" i="6"/>
  <c r="I124" i="6"/>
  <c r="L46" i="2"/>
  <c r="G47" i="2"/>
  <c r="N49" i="4"/>
  <c r="J50" i="4"/>
  <c r="K50" i="4" s="1"/>
  <c r="L50" i="4" s="1"/>
  <c r="O49" i="4"/>
  <c r="M50" i="6"/>
  <c r="J50" i="6"/>
  <c r="K50" i="6" s="1"/>
  <c r="N50" i="6" s="1"/>
  <c r="I51" i="6"/>
  <c r="K47" i="2"/>
  <c r="O47" i="2" s="1"/>
  <c r="W47" i="2" s="1"/>
  <c r="Y47" i="2" s="1"/>
  <c r="H47" i="2" s="1"/>
  <c r="F48" i="2"/>
  <c r="N47" i="3"/>
  <c r="J48" i="3"/>
  <c r="K47" i="3"/>
  <c r="L47" i="3" s="1"/>
  <c r="O47" i="3" s="1"/>
  <c r="M50" i="5"/>
  <c r="I51" i="5"/>
  <c r="J51" i="5" s="1"/>
  <c r="K50" i="5"/>
  <c r="N50" i="5" s="1"/>
  <c r="M50" i="7"/>
  <c r="I51" i="7"/>
  <c r="J50" i="7"/>
  <c r="K50" i="7" s="1"/>
  <c r="N50" i="7" s="1"/>
  <c r="U61" i="2" l="1"/>
  <c r="W60" i="2"/>
  <c r="Y60" i="2" s="1"/>
  <c r="H60" i="2" s="1"/>
  <c r="L60" i="2" s="1"/>
  <c r="P80" i="2"/>
  <c r="Q111" i="2"/>
  <c r="K138" i="2"/>
  <c r="O138" i="2" s="1"/>
  <c r="F139" i="2"/>
  <c r="G138" i="2"/>
  <c r="N116" i="4"/>
  <c r="J117" i="4"/>
  <c r="K116" i="4"/>
  <c r="L116" i="4" s="1"/>
  <c r="O116" i="4" s="1"/>
  <c r="M138" i="7"/>
  <c r="J138" i="7"/>
  <c r="K138" i="7" s="1"/>
  <c r="N138" i="7" s="1"/>
  <c r="I139" i="7"/>
  <c r="M220" i="6"/>
  <c r="I221" i="6"/>
  <c r="J220" i="6"/>
  <c r="K220" i="6" s="1"/>
  <c r="N220" i="6" s="1"/>
  <c r="M124" i="6"/>
  <c r="I125" i="6"/>
  <c r="J124" i="6"/>
  <c r="K124" i="6" s="1"/>
  <c r="N124" i="6" s="1"/>
  <c r="L47" i="2"/>
  <c r="G48" i="2"/>
  <c r="K48" i="2"/>
  <c r="O48" i="2" s="1"/>
  <c r="W48" i="2" s="1"/>
  <c r="Y48" i="2" s="1"/>
  <c r="H48" i="2" s="1"/>
  <c r="F49" i="2"/>
  <c r="N48" i="3"/>
  <c r="J49" i="3"/>
  <c r="K48" i="3"/>
  <c r="L48" i="3" s="1"/>
  <c r="O48" i="3" s="1"/>
  <c r="M51" i="5"/>
  <c r="I52" i="5"/>
  <c r="J52" i="5" s="1"/>
  <c r="K51" i="5"/>
  <c r="N51" i="5" s="1"/>
  <c r="M51" i="6"/>
  <c r="J51" i="6"/>
  <c r="K51" i="6" s="1"/>
  <c r="N51" i="6" s="1"/>
  <c r="I52" i="6"/>
  <c r="N50" i="4"/>
  <c r="O50" i="4"/>
  <c r="J51" i="4"/>
  <c r="K51" i="4" s="1"/>
  <c r="L51" i="4" s="1"/>
  <c r="M51" i="7"/>
  <c r="I52" i="7"/>
  <c r="J51" i="7"/>
  <c r="K51" i="7" s="1"/>
  <c r="N51" i="7" s="1"/>
  <c r="P81" i="2" l="1"/>
  <c r="U62" i="2"/>
  <c r="W61" i="2"/>
  <c r="Y61" i="2" s="1"/>
  <c r="H61" i="2" s="1"/>
  <c r="L61" i="2" s="1"/>
  <c r="Q112" i="2"/>
  <c r="K139" i="2"/>
  <c r="O139" i="2" s="1"/>
  <c r="F140" i="2"/>
  <c r="G139" i="2"/>
  <c r="J118" i="4"/>
  <c r="K117" i="4"/>
  <c r="L117" i="4" s="1"/>
  <c r="O117" i="4" s="1"/>
  <c r="N117" i="4"/>
  <c r="I140" i="7"/>
  <c r="J139" i="7"/>
  <c r="K139" i="7" s="1"/>
  <c r="N139" i="7" s="1"/>
  <c r="M139" i="7"/>
  <c r="I222" i="6"/>
  <c r="J221" i="6"/>
  <c r="K221" i="6" s="1"/>
  <c r="N221" i="6" s="1"/>
  <c r="M221" i="6"/>
  <c r="I126" i="6"/>
  <c r="J125" i="6"/>
  <c r="K125" i="6" s="1"/>
  <c r="N125" i="6" s="1"/>
  <c r="M125" i="6"/>
  <c r="L48" i="2"/>
  <c r="G49" i="2"/>
  <c r="M52" i="6"/>
  <c r="J52" i="6"/>
  <c r="K52" i="6" s="1"/>
  <c r="N52" i="6" s="1"/>
  <c r="M52" i="5"/>
  <c r="J53" i="5"/>
  <c r="K52" i="5"/>
  <c r="N52" i="5" s="1"/>
  <c r="N51" i="4"/>
  <c r="O51" i="4"/>
  <c r="J52" i="4"/>
  <c r="K52" i="4" s="1"/>
  <c r="L52" i="4" s="1"/>
  <c r="K49" i="2"/>
  <c r="O49" i="2" s="1"/>
  <c r="W49" i="2" s="1"/>
  <c r="Y49" i="2" s="1"/>
  <c r="H49" i="2" s="1"/>
  <c r="F50" i="2"/>
  <c r="N49" i="3"/>
  <c r="K49" i="3"/>
  <c r="L49" i="3" s="1"/>
  <c r="O49" i="3" s="1"/>
  <c r="J50" i="3"/>
  <c r="M52" i="7"/>
  <c r="I53" i="7"/>
  <c r="J52" i="7"/>
  <c r="K52" i="7" s="1"/>
  <c r="N52" i="7" s="1"/>
  <c r="U63" i="2" l="1"/>
  <c r="W62" i="2"/>
  <c r="Y62" i="2" s="1"/>
  <c r="H62" i="2" s="1"/>
  <c r="L62" i="2" s="1"/>
  <c r="P82" i="2"/>
  <c r="Q113" i="2"/>
  <c r="F141" i="2"/>
  <c r="K140" i="2"/>
  <c r="O140" i="2" s="1"/>
  <c r="G140" i="2"/>
  <c r="K118" i="4"/>
  <c r="L118" i="4" s="1"/>
  <c r="O118" i="4" s="1"/>
  <c r="N118" i="4"/>
  <c r="J119" i="4"/>
  <c r="J140" i="7"/>
  <c r="K140" i="7" s="1"/>
  <c r="N140" i="7" s="1"/>
  <c r="M140" i="7"/>
  <c r="I141" i="7"/>
  <c r="J222" i="6"/>
  <c r="K222" i="6" s="1"/>
  <c r="N222" i="6" s="1"/>
  <c r="M222" i="6"/>
  <c r="I223" i="6"/>
  <c r="J126" i="6"/>
  <c r="K126" i="6" s="1"/>
  <c r="N126" i="6" s="1"/>
  <c r="M126" i="6"/>
  <c r="I127" i="6"/>
  <c r="L49" i="2"/>
  <c r="G50" i="2"/>
  <c r="N50" i="3"/>
  <c r="K50" i="3"/>
  <c r="L50" i="3" s="1"/>
  <c r="O50" i="3" s="1"/>
  <c r="J51" i="3"/>
  <c r="M53" i="6"/>
  <c r="J53" i="6"/>
  <c r="K53" i="6" s="1"/>
  <c r="N53" i="6" s="1"/>
  <c r="K50" i="2"/>
  <c r="O50" i="2" s="1"/>
  <c r="W50" i="2" s="1"/>
  <c r="Y50" i="2" s="1"/>
  <c r="H50" i="2" s="1"/>
  <c r="F51" i="2"/>
  <c r="N52" i="4"/>
  <c r="J53" i="4"/>
  <c r="K53" i="4" s="1"/>
  <c r="L53" i="4" s="1"/>
  <c r="O52" i="4"/>
  <c r="M53" i="5"/>
  <c r="K53" i="5"/>
  <c r="N53" i="5" s="1"/>
  <c r="J53" i="7"/>
  <c r="K53" i="7" s="1"/>
  <c r="N53" i="7" s="1"/>
  <c r="M53" i="7"/>
  <c r="P83" i="2" l="1"/>
  <c r="U64" i="2"/>
  <c r="W63" i="2"/>
  <c r="Y63" i="2" s="1"/>
  <c r="H63" i="2" s="1"/>
  <c r="L63" i="2" s="1"/>
  <c r="Q114" i="2"/>
  <c r="G141" i="2"/>
  <c r="F142" i="2"/>
  <c r="K141" i="2"/>
  <c r="O141" i="2" s="1"/>
  <c r="N119" i="4"/>
  <c r="J120" i="4"/>
  <c r="K119" i="4"/>
  <c r="L119" i="4" s="1"/>
  <c r="O119" i="4" s="1"/>
  <c r="M141" i="7"/>
  <c r="I142" i="7"/>
  <c r="J141" i="7"/>
  <c r="K141" i="7" s="1"/>
  <c r="N141" i="7" s="1"/>
  <c r="M223" i="6"/>
  <c r="I224" i="6"/>
  <c r="J223" i="6"/>
  <c r="K223" i="6" s="1"/>
  <c r="N223" i="6" s="1"/>
  <c r="M127" i="6"/>
  <c r="I128" i="6"/>
  <c r="J127" i="6"/>
  <c r="K127" i="6" s="1"/>
  <c r="N127" i="6" s="1"/>
  <c r="L50" i="2"/>
  <c r="G51" i="2"/>
  <c r="K51" i="2"/>
  <c r="O51" i="2" s="1"/>
  <c r="W51" i="2" s="1"/>
  <c r="Y51" i="2" s="1"/>
  <c r="H51" i="2" s="1"/>
  <c r="F52" i="2"/>
  <c r="N51" i="3"/>
  <c r="J52" i="3"/>
  <c r="K51" i="3"/>
  <c r="L51" i="3" s="1"/>
  <c r="O51" i="3" s="1"/>
  <c r="O53" i="4"/>
  <c r="N53" i="4"/>
  <c r="U65" i="2" l="1"/>
  <c r="W64" i="2"/>
  <c r="Y64" i="2" s="1"/>
  <c r="H64" i="2" s="1"/>
  <c r="L64" i="2" s="1"/>
  <c r="P84" i="2"/>
  <c r="Q115" i="2"/>
  <c r="F143" i="2"/>
  <c r="K142" i="2"/>
  <c r="O142" i="2" s="1"/>
  <c r="G142" i="2"/>
  <c r="K120" i="4"/>
  <c r="L120" i="4" s="1"/>
  <c r="O120" i="4" s="1"/>
  <c r="N120" i="4"/>
  <c r="J121" i="4"/>
  <c r="J142" i="7"/>
  <c r="K142" i="7" s="1"/>
  <c r="N142" i="7" s="1"/>
  <c r="M142" i="7"/>
  <c r="I143" i="7"/>
  <c r="J224" i="6"/>
  <c r="K224" i="6" s="1"/>
  <c r="N224" i="6" s="1"/>
  <c r="M224" i="6"/>
  <c r="I225" i="6"/>
  <c r="I129" i="6"/>
  <c r="J128" i="6"/>
  <c r="K128" i="6" s="1"/>
  <c r="N128" i="6" s="1"/>
  <c r="M128" i="6"/>
  <c r="L51" i="2"/>
  <c r="G52" i="2"/>
  <c r="F53" i="2"/>
  <c r="K52" i="2"/>
  <c r="O52" i="2" s="1"/>
  <c r="W52" i="2" s="1"/>
  <c r="Y52" i="2" s="1"/>
  <c r="H52" i="2" s="1"/>
  <c r="K52" i="3"/>
  <c r="L52" i="3" s="1"/>
  <c r="O52" i="3" s="1"/>
  <c r="N52" i="3"/>
  <c r="J53" i="3"/>
  <c r="P85" i="2" l="1"/>
  <c r="U66" i="2"/>
  <c r="W65" i="2"/>
  <c r="Y65" i="2" s="1"/>
  <c r="H65" i="2" s="1"/>
  <c r="L65" i="2" s="1"/>
  <c r="Q116" i="2"/>
  <c r="G143" i="2"/>
  <c r="F144" i="2"/>
  <c r="K143" i="2"/>
  <c r="O143" i="2" s="1"/>
  <c r="K121" i="4"/>
  <c r="L121" i="4" s="1"/>
  <c r="O121" i="4" s="1"/>
  <c r="N121" i="4"/>
  <c r="J122" i="4"/>
  <c r="J143" i="7"/>
  <c r="K143" i="7" s="1"/>
  <c r="N143" i="7" s="1"/>
  <c r="M143" i="7"/>
  <c r="I144" i="7"/>
  <c r="J225" i="6"/>
  <c r="K225" i="6" s="1"/>
  <c r="N225" i="6" s="1"/>
  <c r="M225" i="6"/>
  <c r="I226" i="6"/>
  <c r="J129" i="6"/>
  <c r="K129" i="6" s="1"/>
  <c r="N129" i="6" s="1"/>
  <c r="M129" i="6"/>
  <c r="I130" i="6"/>
  <c r="L52" i="2"/>
  <c r="G53" i="2"/>
  <c r="N53" i="3"/>
  <c r="K53" i="3"/>
  <c r="L53" i="3" s="1"/>
  <c r="O53" i="3" s="1"/>
  <c r="K53" i="2"/>
  <c r="O53" i="2" s="1"/>
  <c r="W53" i="2" s="1"/>
  <c r="Y53" i="2" s="1"/>
  <c r="H53" i="2" s="1"/>
  <c r="U67" i="2" l="1"/>
  <c r="W66" i="2"/>
  <c r="Y66" i="2" s="1"/>
  <c r="H66" i="2" s="1"/>
  <c r="L66" i="2" s="1"/>
  <c r="P86" i="2"/>
  <c r="Q117" i="2"/>
  <c r="G144" i="2"/>
  <c r="F145" i="2"/>
  <c r="K144" i="2"/>
  <c r="O144" i="2" s="1"/>
  <c r="J123" i="4"/>
  <c r="K122" i="4"/>
  <c r="L122" i="4" s="1"/>
  <c r="O122" i="4" s="1"/>
  <c r="N122" i="4"/>
  <c r="I145" i="7"/>
  <c r="M144" i="7"/>
  <c r="J144" i="7"/>
  <c r="K144" i="7" s="1"/>
  <c r="N144" i="7" s="1"/>
  <c r="I227" i="6"/>
  <c r="J226" i="6"/>
  <c r="K226" i="6" s="1"/>
  <c r="N226" i="6" s="1"/>
  <c r="M226" i="6"/>
  <c r="I131" i="6"/>
  <c r="M130" i="6"/>
  <c r="J130" i="6"/>
  <c r="K130" i="6" s="1"/>
  <c r="N130" i="6" s="1"/>
  <c r="L53" i="2"/>
  <c r="P87" i="2" l="1"/>
  <c r="U68" i="2"/>
  <c r="W67" i="2"/>
  <c r="Y67" i="2" s="1"/>
  <c r="H67" i="2" s="1"/>
  <c r="L67" i="2" s="1"/>
  <c r="Q118" i="2"/>
  <c r="F146" i="2"/>
  <c r="K145" i="2"/>
  <c r="O145" i="2" s="1"/>
  <c r="G145" i="2"/>
  <c r="K123" i="4"/>
  <c r="L123" i="4" s="1"/>
  <c r="O123" i="4" s="1"/>
  <c r="N123" i="4"/>
  <c r="J124" i="4"/>
  <c r="J145" i="7"/>
  <c r="K145" i="7" s="1"/>
  <c r="N145" i="7" s="1"/>
  <c r="M145" i="7"/>
  <c r="I146" i="7"/>
  <c r="J227" i="6"/>
  <c r="K227" i="6" s="1"/>
  <c r="N227" i="6" s="1"/>
  <c r="M227" i="6"/>
  <c r="I228" i="6"/>
  <c r="J131" i="6"/>
  <c r="K131" i="6" s="1"/>
  <c r="N131" i="6" s="1"/>
  <c r="M131" i="6"/>
  <c r="I132" i="6"/>
  <c r="U69" i="2" l="1"/>
  <c r="W68" i="2"/>
  <c r="Y68" i="2" s="1"/>
  <c r="H68" i="2" s="1"/>
  <c r="L68" i="2" s="1"/>
  <c r="P88" i="2"/>
  <c r="Q119" i="2"/>
  <c r="G146" i="2"/>
  <c r="F147" i="2"/>
  <c r="K146" i="2"/>
  <c r="O146" i="2" s="1"/>
  <c r="N124" i="4"/>
  <c r="J125" i="4"/>
  <c r="K124" i="4"/>
  <c r="L124" i="4" s="1"/>
  <c r="O124" i="4" s="1"/>
  <c r="M146" i="7"/>
  <c r="J146" i="7"/>
  <c r="K146" i="7" s="1"/>
  <c r="N146" i="7" s="1"/>
  <c r="I147" i="7"/>
  <c r="M228" i="6"/>
  <c r="I229" i="6"/>
  <c r="J228" i="6"/>
  <c r="K228" i="6" s="1"/>
  <c r="N228" i="6" s="1"/>
  <c r="J132" i="6"/>
  <c r="K132" i="6" s="1"/>
  <c r="N132" i="6" s="1"/>
  <c r="M132" i="6"/>
  <c r="I133" i="6"/>
  <c r="P89" i="2" l="1"/>
  <c r="U70" i="2"/>
  <c r="W69" i="2"/>
  <c r="Y69" i="2" s="1"/>
  <c r="H69" i="2" s="1"/>
  <c r="L69" i="2" s="1"/>
  <c r="Q120" i="2"/>
  <c r="K147" i="2"/>
  <c r="O147" i="2" s="1"/>
  <c r="F148" i="2"/>
  <c r="G147" i="2"/>
  <c r="J126" i="4"/>
  <c r="K125" i="4"/>
  <c r="L125" i="4" s="1"/>
  <c r="O125" i="4" s="1"/>
  <c r="N125" i="4"/>
  <c r="I148" i="7"/>
  <c r="J147" i="7"/>
  <c r="K147" i="7" s="1"/>
  <c r="N147" i="7" s="1"/>
  <c r="M147" i="7"/>
  <c r="I230" i="6"/>
  <c r="J229" i="6"/>
  <c r="K229" i="6" s="1"/>
  <c r="N229" i="6" s="1"/>
  <c r="M229" i="6"/>
  <c r="I134" i="6"/>
  <c r="J133" i="6"/>
  <c r="K133" i="6" s="1"/>
  <c r="N133" i="6" s="1"/>
  <c r="M133" i="6"/>
  <c r="U71" i="2" l="1"/>
  <c r="W70" i="2"/>
  <c r="Y70" i="2" s="1"/>
  <c r="H70" i="2" s="1"/>
  <c r="L70" i="2" s="1"/>
  <c r="P90" i="2"/>
  <c r="Q121" i="2"/>
  <c r="G148" i="2"/>
  <c r="F149" i="2"/>
  <c r="K148" i="2"/>
  <c r="O148" i="2" s="1"/>
  <c r="K126" i="4"/>
  <c r="L126" i="4" s="1"/>
  <c r="O126" i="4" s="1"/>
  <c r="N126" i="4"/>
  <c r="J127" i="4"/>
  <c r="J148" i="7"/>
  <c r="K148" i="7" s="1"/>
  <c r="N148" i="7" s="1"/>
  <c r="M148" i="7"/>
  <c r="I149" i="7"/>
  <c r="J230" i="6"/>
  <c r="K230" i="6" s="1"/>
  <c r="N230" i="6" s="1"/>
  <c r="M230" i="6"/>
  <c r="I231" i="6"/>
  <c r="J134" i="6"/>
  <c r="K134" i="6" s="1"/>
  <c r="N134" i="6" s="1"/>
  <c r="M134" i="6"/>
  <c r="I135" i="6"/>
  <c r="P91" i="2" l="1"/>
  <c r="U72" i="2"/>
  <c r="W71" i="2"/>
  <c r="Y71" i="2" s="1"/>
  <c r="H71" i="2" s="1"/>
  <c r="L71" i="2" s="1"/>
  <c r="Q122" i="2"/>
  <c r="F150" i="2"/>
  <c r="G149" i="2"/>
  <c r="K149" i="2"/>
  <c r="O149" i="2" s="1"/>
  <c r="N127" i="4"/>
  <c r="J128" i="4"/>
  <c r="K127" i="4"/>
  <c r="L127" i="4" s="1"/>
  <c r="O127" i="4" s="1"/>
  <c r="M149" i="7"/>
  <c r="I150" i="7"/>
  <c r="J149" i="7"/>
  <c r="K149" i="7" s="1"/>
  <c r="N149" i="7" s="1"/>
  <c r="M231" i="6"/>
  <c r="I232" i="6"/>
  <c r="J231" i="6"/>
  <c r="K231" i="6" s="1"/>
  <c r="N231" i="6" s="1"/>
  <c r="M135" i="6"/>
  <c r="I136" i="6"/>
  <c r="J135" i="6"/>
  <c r="K135" i="6" s="1"/>
  <c r="N135" i="6" s="1"/>
  <c r="U73" i="2" l="1"/>
  <c r="W72" i="2"/>
  <c r="Y72" i="2" s="1"/>
  <c r="H72" i="2" s="1"/>
  <c r="L72" i="2" s="1"/>
  <c r="P92" i="2"/>
  <c r="Q123" i="2"/>
  <c r="G150" i="2"/>
  <c r="K150" i="2"/>
  <c r="O150" i="2" s="1"/>
  <c r="F151" i="2"/>
  <c r="K128" i="4"/>
  <c r="L128" i="4" s="1"/>
  <c r="O128" i="4" s="1"/>
  <c r="J129" i="4"/>
  <c r="N128" i="4"/>
  <c r="I151" i="7"/>
  <c r="J150" i="7"/>
  <c r="K150" i="7" s="1"/>
  <c r="N150" i="7" s="1"/>
  <c r="M150" i="7"/>
  <c r="J232" i="6"/>
  <c r="K232" i="6" s="1"/>
  <c r="N232" i="6" s="1"/>
  <c r="M232" i="6"/>
  <c r="I233" i="6"/>
  <c r="J136" i="6"/>
  <c r="K136" i="6" s="1"/>
  <c r="N136" i="6" s="1"/>
  <c r="I137" i="6"/>
  <c r="M136" i="6"/>
  <c r="P93" i="2" l="1"/>
  <c r="U74" i="2"/>
  <c r="W73" i="2"/>
  <c r="Y73" i="2" s="1"/>
  <c r="H73" i="2" s="1"/>
  <c r="L73" i="2" s="1"/>
  <c r="Q124" i="2"/>
  <c r="K151" i="2"/>
  <c r="O151" i="2" s="1"/>
  <c r="F152" i="2"/>
  <c r="G151" i="2"/>
  <c r="K129" i="4"/>
  <c r="L129" i="4" s="1"/>
  <c r="O129" i="4" s="1"/>
  <c r="N129" i="4"/>
  <c r="J130" i="4"/>
  <c r="J151" i="7"/>
  <c r="K151" i="7" s="1"/>
  <c r="N151" i="7" s="1"/>
  <c r="M151" i="7"/>
  <c r="I152" i="7"/>
  <c r="J233" i="6"/>
  <c r="K233" i="6" s="1"/>
  <c r="N233" i="6" s="1"/>
  <c r="M233" i="6"/>
  <c r="I234" i="6"/>
  <c r="J137" i="6"/>
  <c r="K137" i="6" s="1"/>
  <c r="N137" i="6" s="1"/>
  <c r="M137" i="6"/>
  <c r="I138" i="6"/>
  <c r="U75" i="2" l="1"/>
  <c r="W74" i="2"/>
  <c r="Y74" i="2" s="1"/>
  <c r="H74" i="2" s="1"/>
  <c r="L74" i="2" s="1"/>
  <c r="P94" i="2"/>
  <c r="Q125" i="2"/>
  <c r="K152" i="2"/>
  <c r="O152" i="2" s="1"/>
  <c r="G152" i="2"/>
  <c r="F153" i="2"/>
  <c r="J131" i="4"/>
  <c r="K130" i="4"/>
  <c r="L130" i="4" s="1"/>
  <c r="O130" i="4" s="1"/>
  <c r="N130" i="4"/>
  <c r="I153" i="7"/>
  <c r="J152" i="7"/>
  <c r="K152" i="7" s="1"/>
  <c r="N152" i="7" s="1"/>
  <c r="M152" i="7"/>
  <c r="I235" i="6"/>
  <c r="J234" i="6"/>
  <c r="K234" i="6" s="1"/>
  <c r="N234" i="6" s="1"/>
  <c r="M234" i="6"/>
  <c r="I139" i="6"/>
  <c r="M138" i="6"/>
  <c r="J138" i="6"/>
  <c r="K138" i="6" s="1"/>
  <c r="N138" i="6" s="1"/>
  <c r="P95" i="2" l="1"/>
  <c r="U76" i="2"/>
  <c r="W75" i="2"/>
  <c r="Y75" i="2" s="1"/>
  <c r="H75" i="2" s="1"/>
  <c r="L75" i="2" s="1"/>
  <c r="Q126" i="2"/>
  <c r="F154" i="2"/>
  <c r="G153" i="2"/>
  <c r="K153" i="2"/>
  <c r="O153" i="2" s="1"/>
  <c r="K131" i="4"/>
  <c r="L131" i="4" s="1"/>
  <c r="O131" i="4" s="1"/>
  <c r="N131" i="4"/>
  <c r="J132" i="4"/>
  <c r="J153" i="7"/>
  <c r="K153" i="7" s="1"/>
  <c r="N153" i="7" s="1"/>
  <c r="M153" i="7"/>
  <c r="I154" i="7"/>
  <c r="J235" i="6"/>
  <c r="K235" i="6" s="1"/>
  <c r="N235" i="6" s="1"/>
  <c r="M235" i="6"/>
  <c r="I236" i="6"/>
  <c r="J139" i="6"/>
  <c r="K139" i="6" s="1"/>
  <c r="N139" i="6" s="1"/>
  <c r="M139" i="6"/>
  <c r="I140" i="6"/>
  <c r="U77" i="2" l="1"/>
  <c r="W76" i="2"/>
  <c r="Y76" i="2" s="1"/>
  <c r="H76" i="2" s="1"/>
  <c r="L76" i="2" s="1"/>
  <c r="P96" i="2"/>
  <c r="Q127" i="2"/>
  <c r="G154" i="2"/>
  <c r="K154" i="2"/>
  <c r="O154" i="2" s="1"/>
  <c r="F155" i="2"/>
  <c r="J133" i="4"/>
  <c r="N132" i="4"/>
  <c r="K132" i="4"/>
  <c r="L132" i="4" s="1"/>
  <c r="O132" i="4" s="1"/>
  <c r="M154" i="7"/>
  <c r="J154" i="7"/>
  <c r="K154" i="7" s="1"/>
  <c r="N154" i="7" s="1"/>
  <c r="I155" i="7"/>
  <c r="M236" i="6"/>
  <c r="I237" i="6"/>
  <c r="J236" i="6"/>
  <c r="K236" i="6" s="1"/>
  <c r="N236" i="6" s="1"/>
  <c r="M140" i="6"/>
  <c r="J140" i="6"/>
  <c r="K140" i="6" s="1"/>
  <c r="N140" i="6" s="1"/>
  <c r="I141" i="6"/>
  <c r="P97" i="2" l="1"/>
  <c r="U78" i="2"/>
  <c r="W77" i="2"/>
  <c r="Y77" i="2" s="1"/>
  <c r="H77" i="2" s="1"/>
  <c r="L77" i="2" s="1"/>
  <c r="Q128" i="2"/>
  <c r="K155" i="2"/>
  <c r="O155" i="2" s="1"/>
  <c r="F156" i="2"/>
  <c r="G155" i="2"/>
  <c r="J134" i="4"/>
  <c r="K133" i="4"/>
  <c r="L133" i="4" s="1"/>
  <c r="O133" i="4" s="1"/>
  <c r="N133" i="4"/>
  <c r="I156" i="7"/>
  <c r="J155" i="7"/>
  <c r="K155" i="7" s="1"/>
  <c r="N155" i="7" s="1"/>
  <c r="M155" i="7"/>
  <c r="I238" i="6"/>
  <c r="J237" i="6"/>
  <c r="K237" i="6" s="1"/>
  <c r="N237" i="6" s="1"/>
  <c r="M237" i="6"/>
  <c r="I142" i="6"/>
  <c r="J141" i="6"/>
  <c r="K141" i="6" s="1"/>
  <c r="N141" i="6" s="1"/>
  <c r="M141" i="6"/>
  <c r="U79" i="2" l="1"/>
  <c r="W78" i="2"/>
  <c r="Y78" i="2" s="1"/>
  <c r="H78" i="2" s="1"/>
  <c r="L78" i="2" s="1"/>
  <c r="P98" i="2"/>
  <c r="Q129" i="2"/>
  <c r="F157" i="2"/>
  <c r="K156" i="2"/>
  <c r="O156" i="2" s="1"/>
  <c r="G156" i="2"/>
  <c r="N134" i="4"/>
  <c r="K134" i="4"/>
  <c r="L134" i="4" s="1"/>
  <c r="O134" i="4" s="1"/>
  <c r="J135" i="4"/>
  <c r="J156" i="7"/>
  <c r="K156" i="7" s="1"/>
  <c r="N156" i="7" s="1"/>
  <c r="M156" i="7"/>
  <c r="I157" i="7"/>
  <c r="J238" i="6"/>
  <c r="K238" i="6" s="1"/>
  <c r="N238" i="6" s="1"/>
  <c r="M238" i="6"/>
  <c r="I239" i="6"/>
  <c r="J142" i="6"/>
  <c r="K142" i="6" s="1"/>
  <c r="N142" i="6" s="1"/>
  <c r="M142" i="6"/>
  <c r="I143" i="6"/>
  <c r="P99" i="2" l="1"/>
  <c r="U80" i="2"/>
  <c r="W79" i="2"/>
  <c r="Y79" i="2" s="1"/>
  <c r="H79" i="2" s="1"/>
  <c r="L79" i="2" s="1"/>
  <c r="Q130" i="2"/>
  <c r="F158" i="2"/>
  <c r="K157" i="2"/>
  <c r="O157" i="2" s="1"/>
  <c r="G157" i="2"/>
  <c r="N135" i="4"/>
  <c r="J136" i="4"/>
  <c r="K135" i="4"/>
  <c r="L135" i="4" s="1"/>
  <c r="O135" i="4" s="1"/>
  <c r="M157" i="7"/>
  <c r="I158" i="7"/>
  <c r="J157" i="7"/>
  <c r="K157" i="7" s="1"/>
  <c r="N157" i="7" s="1"/>
  <c r="M239" i="6"/>
  <c r="I240" i="6"/>
  <c r="J239" i="6"/>
  <c r="K239" i="6" s="1"/>
  <c r="N239" i="6" s="1"/>
  <c r="M143" i="6"/>
  <c r="I144" i="6"/>
  <c r="J143" i="6"/>
  <c r="K143" i="6" s="1"/>
  <c r="N143" i="6" s="1"/>
  <c r="U81" i="2" l="1"/>
  <c r="W80" i="2"/>
  <c r="Y80" i="2" s="1"/>
  <c r="H80" i="2" s="1"/>
  <c r="L80" i="2" s="1"/>
  <c r="P100" i="2"/>
  <c r="Q131" i="2"/>
  <c r="G158" i="2"/>
  <c r="F159" i="2"/>
  <c r="K158" i="2"/>
  <c r="O158" i="2" s="1"/>
  <c r="K136" i="4"/>
  <c r="L136" i="4" s="1"/>
  <c r="O136" i="4" s="1"/>
  <c r="N136" i="4"/>
  <c r="J137" i="4"/>
  <c r="J158" i="7"/>
  <c r="K158" i="7" s="1"/>
  <c r="N158" i="7" s="1"/>
  <c r="M158" i="7"/>
  <c r="I159" i="7"/>
  <c r="J240" i="6"/>
  <c r="K240" i="6" s="1"/>
  <c r="N240" i="6" s="1"/>
  <c r="M240" i="6"/>
  <c r="I241" i="6"/>
  <c r="J144" i="6"/>
  <c r="K144" i="6" s="1"/>
  <c r="N144" i="6" s="1"/>
  <c r="M144" i="6"/>
  <c r="I145" i="6"/>
  <c r="P101" i="2" l="1"/>
  <c r="U82" i="2"/>
  <c r="W81" i="2"/>
  <c r="Y81" i="2" s="1"/>
  <c r="H81" i="2" s="1"/>
  <c r="L81" i="2" s="1"/>
  <c r="Q132" i="2"/>
  <c r="K159" i="2"/>
  <c r="O159" i="2" s="1"/>
  <c r="F160" i="2"/>
  <c r="G159" i="2"/>
  <c r="K137" i="4"/>
  <c r="L137" i="4" s="1"/>
  <c r="O137" i="4" s="1"/>
  <c r="N137" i="4"/>
  <c r="J138" i="4"/>
  <c r="J159" i="7"/>
  <c r="K159" i="7" s="1"/>
  <c r="N159" i="7" s="1"/>
  <c r="M159" i="7"/>
  <c r="I160" i="7"/>
  <c r="J241" i="6"/>
  <c r="K241" i="6" s="1"/>
  <c r="N241" i="6" s="1"/>
  <c r="M241" i="6"/>
  <c r="I242" i="6"/>
  <c r="J145" i="6"/>
  <c r="K145" i="6" s="1"/>
  <c r="N145" i="6" s="1"/>
  <c r="M145" i="6"/>
  <c r="I146" i="6"/>
  <c r="U83" i="2" l="1"/>
  <c r="W82" i="2"/>
  <c r="Y82" i="2" s="1"/>
  <c r="H82" i="2" s="1"/>
  <c r="L82" i="2" s="1"/>
  <c r="P102" i="2"/>
  <c r="Q133" i="2"/>
  <c r="F161" i="2"/>
  <c r="K160" i="2"/>
  <c r="O160" i="2" s="1"/>
  <c r="G160" i="2"/>
  <c r="N138" i="4"/>
  <c r="J139" i="4"/>
  <c r="K138" i="4"/>
  <c r="L138" i="4" s="1"/>
  <c r="O138" i="4" s="1"/>
  <c r="I161" i="7"/>
  <c r="M160" i="7"/>
  <c r="J160" i="7"/>
  <c r="K160" i="7" s="1"/>
  <c r="N160" i="7" s="1"/>
  <c r="I243" i="6"/>
  <c r="J242" i="6"/>
  <c r="K242" i="6" s="1"/>
  <c r="N242" i="6" s="1"/>
  <c r="M242" i="6"/>
  <c r="I147" i="6"/>
  <c r="M146" i="6"/>
  <c r="J146" i="6"/>
  <c r="K146" i="6" s="1"/>
  <c r="N146" i="6" s="1"/>
  <c r="P103" i="2" l="1"/>
  <c r="U84" i="2"/>
  <c r="W83" i="2"/>
  <c r="Y83" i="2" s="1"/>
  <c r="H83" i="2" s="1"/>
  <c r="L83" i="2" s="1"/>
  <c r="Q134" i="2"/>
  <c r="F162" i="2"/>
  <c r="G161" i="2"/>
  <c r="K161" i="2"/>
  <c r="O161" i="2" s="1"/>
  <c r="K139" i="4"/>
  <c r="L139" i="4" s="1"/>
  <c r="O139" i="4" s="1"/>
  <c r="N139" i="4"/>
  <c r="J140" i="4"/>
  <c r="J161" i="7"/>
  <c r="K161" i="7" s="1"/>
  <c r="N161" i="7" s="1"/>
  <c r="M161" i="7"/>
  <c r="I162" i="7"/>
  <c r="J243" i="6"/>
  <c r="K243" i="6" s="1"/>
  <c r="N243" i="6" s="1"/>
  <c r="M243" i="6"/>
  <c r="I244" i="6"/>
  <c r="J147" i="6"/>
  <c r="K147" i="6" s="1"/>
  <c r="N147" i="6" s="1"/>
  <c r="M147" i="6"/>
  <c r="I148" i="6"/>
  <c r="U85" i="2" l="1"/>
  <c r="W84" i="2"/>
  <c r="Y84" i="2" s="1"/>
  <c r="H84" i="2" s="1"/>
  <c r="L84" i="2" s="1"/>
  <c r="P104" i="2"/>
  <c r="Q135" i="2"/>
  <c r="G162" i="2"/>
  <c r="F163" i="2"/>
  <c r="K162" i="2"/>
  <c r="O162" i="2" s="1"/>
  <c r="N140" i="4"/>
  <c r="J141" i="4"/>
  <c r="K140" i="4"/>
  <c r="L140" i="4" s="1"/>
  <c r="O140" i="4" s="1"/>
  <c r="M162" i="7"/>
  <c r="J162" i="7"/>
  <c r="K162" i="7" s="1"/>
  <c r="N162" i="7" s="1"/>
  <c r="I163" i="7"/>
  <c r="M244" i="6"/>
  <c r="I245" i="6"/>
  <c r="J244" i="6"/>
  <c r="K244" i="6" s="1"/>
  <c r="N244" i="6" s="1"/>
  <c r="J148" i="6"/>
  <c r="K148" i="6" s="1"/>
  <c r="N148" i="6" s="1"/>
  <c r="M148" i="6"/>
  <c r="I149" i="6"/>
  <c r="P105" i="2" l="1"/>
  <c r="U86" i="2"/>
  <c r="W85" i="2"/>
  <c r="Y85" i="2" s="1"/>
  <c r="H85" i="2" s="1"/>
  <c r="L85" i="2" s="1"/>
  <c r="Q136" i="2"/>
  <c r="G163" i="2"/>
  <c r="K163" i="2"/>
  <c r="O163" i="2" s="1"/>
  <c r="F164" i="2"/>
  <c r="J142" i="4"/>
  <c r="K141" i="4"/>
  <c r="L141" i="4" s="1"/>
  <c r="O141" i="4" s="1"/>
  <c r="N141" i="4"/>
  <c r="I164" i="7"/>
  <c r="J163" i="7"/>
  <c r="K163" i="7" s="1"/>
  <c r="N163" i="7" s="1"/>
  <c r="M163" i="7"/>
  <c r="I246" i="6"/>
  <c r="J245" i="6"/>
  <c r="K245" i="6" s="1"/>
  <c r="N245" i="6" s="1"/>
  <c r="M245" i="6"/>
  <c r="I150" i="6"/>
  <c r="J149" i="6"/>
  <c r="K149" i="6" s="1"/>
  <c r="N149" i="6" s="1"/>
  <c r="M149" i="6"/>
  <c r="U87" i="2" l="1"/>
  <c r="W86" i="2"/>
  <c r="Y86" i="2" s="1"/>
  <c r="H86" i="2" s="1"/>
  <c r="L86" i="2" s="1"/>
  <c r="P106" i="2"/>
  <c r="Q137" i="2"/>
  <c r="K164" i="2"/>
  <c r="O164" i="2" s="1"/>
  <c r="G164" i="2"/>
  <c r="F165" i="2"/>
  <c r="K142" i="4"/>
  <c r="L142" i="4" s="1"/>
  <c r="O142" i="4" s="1"/>
  <c r="J143" i="4"/>
  <c r="N142" i="4"/>
  <c r="J164" i="7"/>
  <c r="K164" i="7" s="1"/>
  <c r="N164" i="7" s="1"/>
  <c r="M164" i="7"/>
  <c r="I165" i="7"/>
  <c r="J246" i="6"/>
  <c r="K246" i="6" s="1"/>
  <c r="N246" i="6" s="1"/>
  <c r="M246" i="6"/>
  <c r="I247" i="6"/>
  <c r="J150" i="6"/>
  <c r="K150" i="6" s="1"/>
  <c r="N150" i="6" s="1"/>
  <c r="M150" i="6"/>
  <c r="I151" i="6"/>
  <c r="P107" i="2" l="1"/>
  <c r="U88" i="2"/>
  <c r="W87" i="2"/>
  <c r="Y87" i="2" s="1"/>
  <c r="H87" i="2" s="1"/>
  <c r="L87" i="2" s="1"/>
  <c r="Q138" i="2"/>
  <c r="F166" i="2"/>
  <c r="G165" i="2"/>
  <c r="K165" i="2"/>
  <c r="O165" i="2" s="1"/>
  <c r="N143" i="4"/>
  <c r="J144" i="4"/>
  <c r="K143" i="4"/>
  <c r="L143" i="4" s="1"/>
  <c r="O143" i="4" s="1"/>
  <c r="M165" i="7"/>
  <c r="I166" i="7"/>
  <c r="J165" i="7"/>
  <c r="K165" i="7" s="1"/>
  <c r="N165" i="7" s="1"/>
  <c r="M247" i="6"/>
  <c r="I248" i="6"/>
  <c r="J247" i="6"/>
  <c r="K247" i="6" s="1"/>
  <c r="N247" i="6" s="1"/>
  <c r="M151" i="6"/>
  <c r="I152" i="6"/>
  <c r="J151" i="6"/>
  <c r="K151" i="6" s="1"/>
  <c r="N151" i="6" s="1"/>
  <c r="U89" i="2" l="1"/>
  <c r="W88" i="2"/>
  <c r="Y88" i="2" s="1"/>
  <c r="H88" i="2" s="1"/>
  <c r="L88" i="2" s="1"/>
  <c r="P108" i="2"/>
  <c r="Q139" i="2"/>
  <c r="K166" i="2"/>
  <c r="O166" i="2" s="1"/>
  <c r="F167" i="2"/>
  <c r="G166" i="2"/>
  <c r="K144" i="4"/>
  <c r="L144" i="4" s="1"/>
  <c r="O144" i="4" s="1"/>
  <c r="J145" i="4"/>
  <c r="N144" i="4"/>
  <c r="I167" i="7"/>
  <c r="J166" i="7"/>
  <c r="K166" i="7" s="1"/>
  <c r="N166" i="7" s="1"/>
  <c r="M166" i="7"/>
  <c r="J248" i="6"/>
  <c r="K248" i="6" s="1"/>
  <c r="N248" i="6" s="1"/>
  <c r="I249" i="6"/>
  <c r="M248" i="6"/>
  <c r="I153" i="6"/>
  <c r="J152" i="6"/>
  <c r="K152" i="6" s="1"/>
  <c r="N152" i="6" s="1"/>
  <c r="M152" i="6"/>
  <c r="P109" i="2" l="1"/>
  <c r="U90" i="2"/>
  <c r="W89" i="2"/>
  <c r="Y89" i="2" s="1"/>
  <c r="H89" i="2" s="1"/>
  <c r="L89" i="2" s="1"/>
  <c r="Q140" i="2"/>
  <c r="G167" i="2"/>
  <c r="K167" i="2"/>
  <c r="O167" i="2" s="1"/>
  <c r="F168" i="2"/>
  <c r="K145" i="4"/>
  <c r="L145" i="4" s="1"/>
  <c r="O145" i="4" s="1"/>
  <c r="N145" i="4"/>
  <c r="J146" i="4"/>
  <c r="J167" i="7"/>
  <c r="K167" i="7" s="1"/>
  <c r="N167" i="7" s="1"/>
  <c r="M167" i="7"/>
  <c r="I168" i="7"/>
  <c r="J249" i="6"/>
  <c r="K249" i="6" s="1"/>
  <c r="N249" i="6" s="1"/>
  <c r="M249" i="6"/>
  <c r="I250" i="6"/>
  <c r="J153" i="6"/>
  <c r="K153" i="6" s="1"/>
  <c r="N153" i="6" s="1"/>
  <c r="M153" i="6"/>
  <c r="I154" i="6"/>
  <c r="U91" i="2" l="1"/>
  <c r="W90" i="2"/>
  <c r="Y90" i="2" s="1"/>
  <c r="H90" i="2" s="1"/>
  <c r="L90" i="2" s="1"/>
  <c r="P110" i="2"/>
  <c r="Q141" i="2"/>
  <c r="F169" i="2"/>
  <c r="G168" i="2"/>
  <c r="K168" i="2"/>
  <c r="O168" i="2" s="1"/>
  <c r="K146" i="4"/>
  <c r="L146" i="4" s="1"/>
  <c r="O146" i="4" s="1"/>
  <c r="J147" i="4"/>
  <c r="N146" i="4"/>
  <c r="I169" i="7"/>
  <c r="J168" i="7"/>
  <c r="K168" i="7" s="1"/>
  <c r="N168" i="7" s="1"/>
  <c r="M168" i="7"/>
  <c r="I251" i="6"/>
  <c r="J250" i="6"/>
  <c r="K250" i="6" s="1"/>
  <c r="N250" i="6" s="1"/>
  <c r="M250" i="6"/>
  <c r="I155" i="6"/>
  <c r="J154" i="6"/>
  <c r="K154" i="6" s="1"/>
  <c r="N154" i="6" s="1"/>
  <c r="M154" i="6"/>
  <c r="P111" i="2" l="1"/>
  <c r="U92" i="2"/>
  <c r="W91" i="2"/>
  <c r="Y91" i="2" s="1"/>
  <c r="H91" i="2" s="1"/>
  <c r="L91" i="2" s="1"/>
  <c r="Q142" i="2"/>
  <c r="F170" i="2"/>
  <c r="G169" i="2"/>
  <c r="K169" i="2"/>
  <c r="O169" i="2" s="1"/>
  <c r="K147" i="4"/>
  <c r="L147" i="4" s="1"/>
  <c r="O147" i="4" s="1"/>
  <c r="N147" i="4"/>
  <c r="J148" i="4"/>
  <c r="J169" i="7"/>
  <c r="K169" i="7" s="1"/>
  <c r="N169" i="7" s="1"/>
  <c r="M169" i="7"/>
  <c r="I170" i="7"/>
  <c r="J251" i="6"/>
  <c r="K251" i="6" s="1"/>
  <c r="N251" i="6" s="1"/>
  <c r="M251" i="6"/>
  <c r="I252" i="6"/>
  <c r="J155" i="6"/>
  <c r="K155" i="6" s="1"/>
  <c r="N155" i="6" s="1"/>
  <c r="M155" i="6"/>
  <c r="I156" i="6"/>
  <c r="U93" i="2" l="1"/>
  <c r="W92" i="2"/>
  <c r="Y92" i="2" s="1"/>
  <c r="H92" i="2" s="1"/>
  <c r="L92" i="2" s="1"/>
  <c r="P112" i="2"/>
  <c r="Q143" i="2"/>
  <c r="F171" i="2"/>
  <c r="G170" i="2"/>
  <c r="K170" i="2"/>
  <c r="O170" i="2" s="1"/>
  <c r="K148" i="4"/>
  <c r="L148" i="4" s="1"/>
  <c r="O148" i="4" s="1"/>
  <c r="N148" i="4"/>
  <c r="J149" i="4"/>
  <c r="M170" i="7"/>
  <c r="J170" i="7"/>
  <c r="K170" i="7" s="1"/>
  <c r="N170" i="7" s="1"/>
  <c r="I171" i="7"/>
  <c r="M252" i="6"/>
  <c r="I253" i="6"/>
  <c r="J252" i="6"/>
  <c r="K252" i="6" s="1"/>
  <c r="N252" i="6" s="1"/>
  <c r="M156" i="6"/>
  <c r="I157" i="6"/>
  <c r="J156" i="6"/>
  <c r="K156" i="6" s="1"/>
  <c r="N156" i="6" s="1"/>
  <c r="P113" i="2" l="1"/>
  <c r="U94" i="2"/>
  <c r="W93" i="2"/>
  <c r="Y93" i="2" s="1"/>
  <c r="H93" i="2" s="1"/>
  <c r="L93" i="2" s="1"/>
  <c r="Q144" i="2"/>
  <c r="G171" i="2"/>
  <c r="K171" i="2"/>
  <c r="O171" i="2" s="1"/>
  <c r="F172" i="2"/>
  <c r="J150" i="4"/>
  <c r="N149" i="4"/>
  <c r="K149" i="4"/>
  <c r="L149" i="4" s="1"/>
  <c r="O149" i="4" s="1"/>
  <c r="I172" i="7"/>
  <c r="J171" i="7"/>
  <c r="K171" i="7" s="1"/>
  <c r="N171" i="7" s="1"/>
  <c r="M171" i="7"/>
  <c r="I254" i="6"/>
  <c r="J253" i="6"/>
  <c r="K253" i="6" s="1"/>
  <c r="N253" i="6" s="1"/>
  <c r="M253" i="6"/>
  <c r="J157" i="6"/>
  <c r="K157" i="6" s="1"/>
  <c r="N157" i="6" s="1"/>
  <c r="M157" i="6"/>
  <c r="U95" i="2" l="1"/>
  <c r="W94" i="2"/>
  <c r="Y94" i="2" s="1"/>
  <c r="H94" i="2" s="1"/>
  <c r="L94" i="2" s="1"/>
  <c r="P114" i="2"/>
  <c r="Q145" i="2"/>
  <c r="G172" i="2"/>
  <c r="K172" i="2"/>
  <c r="O172" i="2" s="1"/>
  <c r="F173" i="2"/>
  <c r="K150" i="4"/>
  <c r="L150" i="4" s="1"/>
  <c r="O150" i="4" s="1"/>
  <c r="N150" i="4"/>
  <c r="J151" i="4"/>
  <c r="J172" i="7"/>
  <c r="K172" i="7" s="1"/>
  <c r="N172" i="7" s="1"/>
  <c r="I173" i="7"/>
  <c r="M172" i="7"/>
  <c r="J254" i="6"/>
  <c r="K254" i="6" s="1"/>
  <c r="N254" i="6" s="1"/>
  <c r="M254" i="6"/>
  <c r="I255" i="6"/>
  <c r="P115" i="2" l="1"/>
  <c r="U96" i="2"/>
  <c r="W95" i="2"/>
  <c r="Y95" i="2" s="1"/>
  <c r="H95" i="2" s="1"/>
  <c r="L95" i="2" s="1"/>
  <c r="Q146" i="2"/>
  <c r="G173" i="2"/>
  <c r="K173" i="2"/>
  <c r="O173" i="2" s="1"/>
  <c r="F174" i="2"/>
  <c r="N151" i="4"/>
  <c r="J152" i="4"/>
  <c r="K151" i="4"/>
  <c r="L151" i="4" s="1"/>
  <c r="O151" i="4" s="1"/>
  <c r="M173" i="7"/>
  <c r="J173" i="7"/>
  <c r="K173" i="7" s="1"/>
  <c r="N173" i="7" s="1"/>
  <c r="I174" i="7"/>
  <c r="M255" i="6"/>
  <c r="J255" i="6"/>
  <c r="K255" i="6" s="1"/>
  <c r="N255" i="6" s="1"/>
  <c r="I256" i="6"/>
  <c r="U97" i="2" l="1"/>
  <c r="W96" i="2"/>
  <c r="Y96" i="2" s="1"/>
  <c r="H96" i="2" s="1"/>
  <c r="L96" i="2" s="1"/>
  <c r="P116" i="2"/>
  <c r="Q147" i="2"/>
  <c r="K174" i="2"/>
  <c r="O174" i="2" s="1"/>
  <c r="F175" i="2"/>
  <c r="G174" i="2"/>
  <c r="K152" i="4"/>
  <c r="L152" i="4" s="1"/>
  <c r="O152" i="4" s="1"/>
  <c r="N152" i="4"/>
  <c r="J153" i="4"/>
  <c r="J174" i="7"/>
  <c r="K174" i="7" s="1"/>
  <c r="N174" i="7" s="1"/>
  <c r="M174" i="7"/>
  <c r="I175" i="7"/>
  <c r="J256" i="6"/>
  <c r="K256" i="6" s="1"/>
  <c r="N256" i="6" s="1"/>
  <c r="I257" i="6"/>
  <c r="M256" i="6"/>
  <c r="P117" i="2" l="1"/>
  <c r="U98" i="2"/>
  <c r="W97" i="2"/>
  <c r="Y97" i="2" s="1"/>
  <c r="H97" i="2" s="1"/>
  <c r="L97" i="2" s="1"/>
  <c r="Q148" i="2"/>
  <c r="K175" i="2"/>
  <c r="O175" i="2" s="1"/>
  <c r="G175" i="2"/>
  <c r="F176" i="2"/>
  <c r="K153" i="4"/>
  <c r="L153" i="4" s="1"/>
  <c r="O153" i="4" s="1"/>
  <c r="N153" i="4"/>
  <c r="J154" i="4"/>
  <c r="J175" i="7"/>
  <c r="K175" i="7" s="1"/>
  <c r="N175" i="7" s="1"/>
  <c r="M175" i="7"/>
  <c r="I176" i="7"/>
  <c r="J257" i="6"/>
  <c r="K257" i="6" s="1"/>
  <c r="N257" i="6" s="1"/>
  <c r="I258" i="6"/>
  <c r="M257" i="6"/>
  <c r="U99" i="2" l="1"/>
  <c r="W98" i="2"/>
  <c r="Y98" i="2" s="1"/>
  <c r="H98" i="2" s="1"/>
  <c r="L98" i="2" s="1"/>
  <c r="P118" i="2"/>
  <c r="Q149" i="2"/>
  <c r="G176" i="2"/>
  <c r="K176" i="2"/>
  <c r="O176" i="2" s="1"/>
  <c r="F177" i="2"/>
  <c r="K154" i="4"/>
  <c r="L154" i="4" s="1"/>
  <c r="O154" i="4" s="1"/>
  <c r="N154" i="4"/>
  <c r="J155" i="4"/>
  <c r="J176" i="7"/>
  <c r="K176" i="7" s="1"/>
  <c r="N176" i="7" s="1"/>
  <c r="M176" i="7"/>
  <c r="I177" i="7"/>
  <c r="J258" i="6"/>
  <c r="K258" i="6" s="1"/>
  <c r="N258" i="6" s="1"/>
  <c r="M258" i="6"/>
  <c r="I259" i="6"/>
  <c r="P119" i="2" l="1"/>
  <c r="U100" i="2"/>
  <c r="W99" i="2"/>
  <c r="Y99" i="2" s="1"/>
  <c r="H99" i="2" s="1"/>
  <c r="L99" i="2" s="1"/>
  <c r="Q150" i="2"/>
  <c r="G177" i="2"/>
  <c r="K177" i="2"/>
  <c r="O177" i="2" s="1"/>
  <c r="F178" i="2"/>
  <c r="K155" i="4"/>
  <c r="L155" i="4" s="1"/>
  <c r="O155" i="4" s="1"/>
  <c r="J156" i="4"/>
  <c r="N155" i="4"/>
  <c r="M177" i="7"/>
  <c r="I178" i="7"/>
  <c r="J177" i="7"/>
  <c r="K177" i="7" s="1"/>
  <c r="N177" i="7" s="1"/>
  <c r="M259" i="6"/>
  <c r="I260" i="6"/>
  <c r="J259" i="6"/>
  <c r="K259" i="6" s="1"/>
  <c r="N259" i="6" s="1"/>
  <c r="U101" i="2" l="1"/>
  <c r="W100" i="2"/>
  <c r="Y100" i="2" s="1"/>
  <c r="H100" i="2" s="1"/>
  <c r="L100" i="2" s="1"/>
  <c r="P120" i="2"/>
  <c r="Q151" i="2"/>
  <c r="K178" i="2"/>
  <c r="O178" i="2" s="1"/>
  <c r="F179" i="2"/>
  <c r="G178" i="2"/>
  <c r="K156" i="4"/>
  <c r="L156" i="4" s="1"/>
  <c r="O156" i="4" s="1"/>
  <c r="N156" i="4"/>
  <c r="J157" i="4"/>
  <c r="J178" i="7"/>
  <c r="K178" i="7" s="1"/>
  <c r="N178" i="7" s="1"/>
  <c r="M178" i="7"/>
  <c r="I179" i="7"/>
  <c r="I261" i="6"/>
  <c r="M260" i="6"/>
  <c r="J260" i="6"/>
  <c r="K260" i="6" s="1"/>
  <c r="N260" i="6" s="1"/>
  <c r="P121" i="2" l="1"/>
  <c r="U102" i="2"/>
  <c r="W101" i="2"/>
  <c r="Y101" i="2" s="1"/>
  <c r="H101" i="2" s="1"/>
  <c r="L101" i="2" s="1"/>
  <c r="Q152" i="2"/>
  <c r="K179" i="2"/>
  <c r="O179" i="2" s="1"/>
  <c r="G179" i="2"/>
  <c r="F180" i="2"/>
  <c r="J158" i="4"/>
  <c r="K157" i="4"/>
  <c r="L157" i="4" s="1"/>
  <c r="O157" i="4" s="1"/>
  <c r="N157" i="4"/>
  <c r="I180" i="7"/>
  <c r="J179" i="7"/>
  <c r="K179" i="7" s="1"/>
  <c r="N179" i="7" s="1"/>
  <c r="M179" i="7"/>
  <c r="I262" i="6"/>
  <c r="J261" i="6"/>
  <c r="K261" i="6" s="1"/>
  <c r="N261" i="6" s="1"/>
  <c r="M261" i="6"/>
  <c r="U103" i="2" l="1"/>
  <c r="W102" i="2"/>
  <c r="Y102" i="2" s="1"/>
  <c r="H102" i="2" s="1"/>
  <c r="L102" i="2" s="1"/>
  <c r="P122" i="2"/>
  <c r="Q153" i="2"/>
  <c r="G180" i="2"/>
  <c r="K180" i="2"/>
  <c r="O180" i="2" s="1"/>
  <c r="F181" i="2"/>
  <c r="K158" i="4"/>
  <c r="L158" i="4" s="1"/>
  <c r="O158" i="4" s="1"/>
  <c r="N158" i="4"/>
  <c r="J159" i="4"/>
  <c r="I181" i="7"/>
  <c r="J180" i="7"/>
  <c r="K180" i="7" s="1"/>
  <c r="N180" i="7" s="1"/>
  <c r="M180" i="7"/>
  <c r="M262" i="6"/>
  <c r="J262" i="6"/>
  <c r="K262" i="6" s="1"/>
  <c r="N262" i="6" s="1"/>
  <c r="I263" i="6"/>
  <c r="P123" i="2" l="1"/>
  <c r="U104" i="2"/>
  <c r="W103" i="2"/>
  <c r="Y103" i="2" s="1"/>
  <c r="H103" i="2" s="1"/>
  <c r="L103" i="2" s="1"/>
  <c r="Q154" i="2"/>
  <c r="K181" i="2"/>
  <c r="O181" i="2" s="1"/>
  <c r="G181" i="2"/>
  <c r="F182" i="2"/>
  <c r="N159" i="4"/>
  <c r="J160" i="4"/>
  <c r="K159" i="4"/>
  <c r="L159" i="4" s="1"/>
  <c r="O159" i="4" s="1"/>
  <c r="M181" i="7"/>
  <c r="J181" i="7"/>
  <c r="K181" i="7" s="1"/>
  <c r="N181" i="7" s="1"/>
  <c r="I182" i="7"/>
  <c r="M263" i="6"/>
  <c r="J263" i="6"/>
  <c r="K263" i="6" s="1"/>
  <c r="N263" i="6" s="1"/>
  <c r="I264" i="6"/>
  <c r="U105" i="2" l="1"/>
  <c r="W104" i="2"/>
  <c r="Y104" i="2" s="1"/>
  <c r="H104" i="2" s="1"/>
  <c r="L104" i="2" s="1"/>
  <c r="P124" i="2"/>
  <c r="Q155" i="2"/>
  <c r="F183" i="2"/>
  <c r="G182" i="2"/>
  <c r="K182" i="2"/>
  <c r="O182" i="2" s="1"/>
  <c r="N160" i="4"/>
  <c r="J161" i="4"/>
  <c r="K160" i="4"/>
  <c r="L160" i="4" s="1"/>
  <c r="O160" i="4" s="1"/>
  <c r="I183" i="7"/>
  <c r="J182" i="7"/>
  <c r="K182" i="7" s="1"/>
  <c r="N182" i="7" s="1"/>
  <c r="M182" i="7"/>
  <c r="J264" i="6"/>
  <c r="K264" i="6" s="1"/>
  <c r="N264" i="6" s="1"/>
  <c r="M264" i="6"/>
  <c r="I265" i="6"/>
  <c r="P125" i="2" l="1"/>
  <c r="U106" i="2"/>
  <c r="W105" i="2"/>
  <c r="Y105" i="2" s="1"/>
  <c r="H105" i="2" s="1"/>
  <c r="L105" i="2" s="1"/>
  <c r="Q156" i="2"/>
  <c r="K183" i="2"/>
  <c r="O183" i="2" s="1"/>
  <c r="F184" i="2"/>
  <c r="G183" i="2"/>
  <c r="K161" i="4"/>
  <c r="L161" i="4" s="1"/>
  <c r="O161" i="4" s="1"/>
  <c r="N161" i="4"/>
  <c r="J162" i="4"/>
  <c r="J183" i="7"/>
  <c r="K183" i="7" s="1"/>
  <c r="N183" i="7" s="1"/>
  <c r="M183" i="7"/>
  <c r="I184" i="7"/>
  <c r="J265" i="6"/>
  <c r="K265" i="6" s="1"/>
  <c r="N265" i="6" s="1"/>
  <c r="I266" i="6"/>
  <c r="M265" i="6"/>
  <c r="U107" i="2" l="1"/>
  <c r="W106" i="2"/>
  <c r="Y106" i="2" s="1"/>
  <c r="H106" i="2" s="1"/>
  <c r="L106" i="2" s="1"/>
  <c r="P126" i="2"/>
  <c r="Q157" i="2"/>
  <c r="G184" i="2"/>
  <c r="F185" i="2"/>
  <c r="K184" i="2"/>
  <c r="O184" i="2" s="1"/>
  <c r="N162" i="4"/>
  <c r="J163" i="4"/>
  <c r="K162" i="4"/>
  <c r="L162" i="4" s="1"/>
  <c r="O162" i="4" s="1"/>
  <c r="M184" i="7"/>
  <c r="I185" i="7"/>
  <c r="J184" i="7"/>
  <c r="K184" i="7" s="1"/>
  <c r="N184" i="7" s="1"/>
  <c r="I267" i="6"/>
  <c r="J266" i="6"/>
  <c r="K266" i="6" s="1"/>
  <c r="N266" i="6" s="1"/>
  <c r="M266" i="6"/>
  <c r="P127" i="2" l="1"/>
  <c r="U108" i="2"/>
  <c r="W107" i="2"/>
  <c r="Y107" i="2" s="1"/>
  <c r="H107" i="2" s="1"/>
  <c r="L107" i="2" s="1"/>
  <c r="Q158" i="2"/>
  <c r="K185" i="2"/>
  <c r="O185" i="2" s="1"/>
  <c r="G185" i="2"/>
  <c r="F186" i="2"/>
  <c r="K163" i="4"/>
  <c r="L163" i="4" s="1"/>
  <c r="O163" i="4" s="1"/>
  <c r="N163" i="4"/>
  <c r="J164" i="4"/>
  <c r="J185" i="7"/>
  <c r="K185" i="7" s="1"/>
  <c r="N185" i="7" s="1"/>
  <c r="M185" i="7"/>
  <c r="I186" i="7"/>
  <c r="M267" i="6"/>
  <c r="J267" i="6"/>
  <c r="K267" i="6" s="1"/>
  <c r="N267" i="6" s="1"/>
  <c r="I268" i="6"/>
  <c r="U109" i="2" l="1"/>
  <c r="W108" i="2"/>
  <c r="Y108" i="2" s="1"/>
  <c r="H108" i="2" s="1"/>
  <c r="L108" i="2" s="1"/>
  <c r="P128" i="2"/>
  <c r="Q159" i="2"/>
  <c r="F187" i="2"/>
  <c r="G186" i="2"/>
  <c r="K186" i="2"/>
  <c r="O186" i="2" s="1"/>
  <c r="N164" i="4"/>
  <c r="J165" i="4"/>
  <c r="K164" i="4"/>
  <c r="L164" i="4" s="1"/>
  <c r="O164" i="4" s="1"/>
  <c r="M186" i="7"/>
  <c r="I187" i="7"/>
  <c r="J186" i="7"/>
  <c r="K186" i="7" s="1"/>
  <c r="N186" i="7" s="1"/>
  <c r="I269" i="6"/>
  <c r="M268" i="6"/>
  <c r="J268" i="6"/>
  <c r="K268" i="6" s="1"/>
  <c r="N268" i="6" s="1"/>
  <c r="P129" i="2" l="1"/>
  <c r="U110" i="2"/>
  <c r="W109" i="2"/>
  <c r="Y109" i="2" s="1"/>
  <c r="H109" i="2" s="1"/>
  <c r="L109" i="2" s="1"/>
  <c r="Q160" i="2"/>
  <c r="K187" i="2"/>
  <c r="O187" i="2" s="1"/>
  <c r="G187" i="2"/>
  <c r="F188" i="2"/>
  <c r="J166" i="4"/>
  <c r="K165" i="4"/>
  <c r="L165" i="4" s="1"/>
  <c r="O165" i="4" s="1"/>
  <c r="N165" i="4"/>
  <c r="I188" i="7"/>
  <c r="J187" i="7"/>
  <c r="K187" i="7" s="1"/>
  <c r="N187" i="7" s="1"/>
  <c r="M187" i="7"/>
  <c r="I270" i="6"/>
  <c r="J269" i="6"/>
  <c r="K269" i="6" s="1"/>
  <c r="N269" i="6" s="1"/>
  <c r="M269" i="6"/>
  <c r="U111" i="2" l="1"/>
  <c r="W110" i="2"/>
  <c r="Y110" i="2" s="1"/>
  <c r="H110" i="2" s="1"/>
  <c r="L110" i="2" s="1"/>
  <c r="P130" i="2"/>
  <c r="Q161" i="2"/>
  <c r="G188" i="2"/>
  <c r="K188" i="2"/>
  <c r="O188" i="2" s="1"/>
  <c r="F189" i="2"/>
  <c r="J167" i="4"/>
  <c r="K166" i="4"/>
  <c r="L166" i="4" s="1"/>
  <c r="O166" i="4" s="1"/>
  <c r="N166" i="4"/>
  <c r="M188" i="7"/>
  <c r="I189" i="7"/>
  <c r="J188" i="7"/>
  <c r="K188" i="7" s="1"/>
  <c r="N188" i="7" s="1"/>
  <c r="M270" i="6"/>
  <c r="J270" i="6"/>
  <c r="K270" i="6" s="1"/>
  <c r="N270" i="6" s="1"/>
  <c r="I271" i="6"/>
  <c r="P131" i="2" l="1"/>
  <c r="U112" i="2"/>
  <c r="W111" i="2"/>
  <c r="Y111" i="2" s="1"/>
  <c r="H111" i="2" s="1"/>
  <c r="L111" i="2" s="1"/>
  <c r="Q162" i="2"/>
  <c r="K189" i="2"/>
  <c r="O189" i="2" s="1"/>
  <c r="G189" i="2"/>
  <c r="F190" i="2"/>
  <c r="N167" i="4"/>
  <c r="K167" i="4"/>
  <c r="L167" i="4" s="1"/>
  <c r="O167" i="4" s="1"/>
  <c r="J168" i="4"/>
  <c r="M189" i="7"/>
  <c r="J189" i="7"/>
  <c r="K189" i="7" s="1"/>
  <c r="N189" i="7" s="1"/>
  <c r="I190" i="7"/>
  <c r="M271" i="6"/>
  <c r="I272" i="6"/>
  <c r="J271" i="6"/>
  <c r="K271" i="6" s="1"/>
  <c r="N271" i="6" s="1"/>
  <c r="U113" i="2" l="1"/>
  <c r="W112" i="2"/>
  <c r="Y112" i="2" s="1"/>
  <c r="H112" i="2" s="1"/>
  <c r="L112" i="2" s="1"/>
  <c r="P132" i="2"/>
  <c r="Q163" i="2"/>
  <c r="F191" i="2"/>
  <c r="G190" i="2"/>
  <c r="K190" i="2"/>
  <c r="O190" i="2" s="1"/>
  <c r="N168" i="4"/>
  <c r="J169" i="4"/>
  <c r="K168" i="4"/>
  <c r="L168" i="4" s="1"/>
  <c r="O168" i="4" s="1"/>
  <c r="J190" i="7"/>
  <c r="K190" i="7" s="1"/>
  <c r="N190" i="7" s="1"/>
  <c r="M190" i="7"/>
  <c r="I191" i="7"/>
  <c r="J272" i="6"/>
  <c r="K272" i="6" s="1"/>
  <c r="N272" i="6" s="1"/>
  <c r="M272" i="6"/>
  <c r="I273" i="6"/>
  <c r="P133" i="2" l="1"/>
  <c r="U114" i="2"/>
  <c r="W113" i="2"/>
  <c r="Y113" i="2" s="1"/>
  <c r="H113" i="2" s="1"/>
  <c r="L113" i="2" s="1"/>
  <c r="Q164" i="2"/>
  <c r="K191" i="2"/>
  <c r="O191" i="2" s="1"/>
  <c r="F192" i="2"/>
  <c r="G191" i="2"/>
  <c r="K169" i="4"/>
  <c r="L169" i="4" s="1"/>
  <c r="O169" i="4" s="1"/>
  <c r="N169" i="4"/>
  <c r="J170" i="4"/>
  <c r="J191" i="7"/>
  <c r="K191" i="7" s="1"/>
  <c r="N191" i="7" s="1"/>
  <c r="I192" i="7"/>
  <c r="M191" i="7"/>
  <c r="J273" i="6"/>
  <c r="K273" i="6" s="1"/>
  <c r="N273" i="6" s="1"/>
  <c r="I274" i="6"/>
  <c r="M273" i="6"/>
  <c r="U115" i="2" l="1"/>
  <c r="W114" i="2"/>
  <c r="Y114" i="2" s="1"/>
  <c r="H114" i="2" s="1"/>
  <c r="L114" i="2" s="1"/>
  <c r="P134" i="2"/>
  <c r="Q165" i="2"/>
  <c r="G192" i="2"/>
  <c r="F193" i="2"/>
  <c r="K192" i="2"/>
  <c r="O192" i="2" s="1"/>
  <c r="N170" i="4"/>
  <c r="J171" i="4"/>
  <c r="K170" i="4"/>
  <c r="L170" i="4" s="1"/>
  <c r="O170" i="4" s="1"/>
  <c r="J192" i="7"/>
  <c r="K192" i="7" s="1"/>
  <c r="N192" i="7" s="1"/>
  <c r="M192" i="7"/>
  <c r="I193" i="7"/>
  <c r="M274" i="6"/>
  <c r="I275" i="6"/>
  <c r="J274" i="6"/>
  <c r="K274" i="6" s="1"/>
  <c r="N274" i="6" s="1"/>
  <c r="P135" i="2" l="1"/>
  <c r="U116" i="2"/>
  <c r="W115" i="2"/>
  <c r="Y115" i="2" s="1"/>
  <c r="H115" i="2" s="1"/>
  <c r="L115" i="2" s="1"/>
  <c r="Q166" i="2"/>
  <c r="K193" i="2"/>
  <c r="O193" i="2" s="1"/>
  <c r="G193" i="2"/>
  <c r="F194" i="2"/>
  <c r="K171" i="4"/>
  <c r="L171" i="4" s="1"/>
  <c r="O171" i="4" s="1"/>
  <c r="J172" i="4"/>
  <c r="N171" i="4"/>
  <c r="I194" i="7"/>
  <c r="J193" i="7"/>
  <c r="K193" i="7" s="1"/>
  <c r="N193" i="7" s="1"/>
  <c r="M193" i="7"/>
  <c r="M275" i="6"/>
  <c r="J275" i="6"/>
  <c r="K275" i="6" s="1"/>
  <c r="N275" i="6" s="1"/>
  <c r="I276" i="6"/>
  <c r="U117" i="2" l="1"/>
  <c r="W116" i="2"/>
  <c r="Y116" i="2" s="1"/>
  <c r="H116" i="2" s="1"/>
  <c r="L116" i="2" s="1"/>
  <c r="P136" i="2"/>
  <c r="Q167" i="2"/>
  <c r="F195" i="2"/>
  <c r="G194" i="2"/>
  <c r="K194" i="2"/>
  <c r="O194" i="2" s="1"/>
  <c r="K172" i="4"/>
  <c r="L172" i="4" s="1"/>
  <c r="O172" i="4" s="1"/>
  <c r="N172" i="4"/>
  <c r="J173" i="4"/>
  <c r="J194" i="7"/>
  <c r="K194" i="7" s="1"/>
  <c r="N194" i="7" s="1"/>
  <c r="M194" i="7"/>
  <c r="I195" i="7"/>
  <c r="I277" i="6"/>
  <c r="J276" i="6"/>
  <c r="K276" i="6" s="1"/>
  <c r="N276" i="6" s="1"/>
  <c r="M276" i="6"/>
  <c r="P137" i="2" l="1"/>
  <c r="U118" i="2"/>
  <c r="W117" i="2"/>
  <c r="Y117" i="2" s="1"/>
  <c r="H117" i="2" s="1"/>
  <c r="L117" i="2" s="1"/>
  <c r="Q168" i="2"/>
  <c r="K195" i="2"/>
  <c r="O195" i="2" s="1"/>
  <c r="G195" i="2"/>
  <c r="F196" i="2"/>
  <c r="J174" i="4"/>
  <c r="K173" i="4"/>
  <c r="L173" i="4" s="1"/>
  <c r="O173" i="4" s="1"/>
  <c r="N173" i="4"/>
  <c r="I196" i="7"/>
  <c r="M195" i="7"/>
  <c r="J195" i="7"/>
  <c r="K195" i="7" s="1"/>
  <c r="N195" i="7" s="1"/>
  <c r="I278" i="6"/>
  <c r="J277" i="6"/>
  <c r="K277" i="6" s="1"/>
  <c r="N277" i="6" s="1"/>
  <c r="M277" i="6"/>
  <c r="U119" i="2" l="1"/>
  <c r="W118" i="2"/>
  <c r="Y118" i="2" s="1"/>
  <c r="H118" i="2" s="1"/>
  <c r="L118" i="2" s="1"/>
  <c r="P138" i="2"/>
  <c r="Q169" i="2"/>
  <c r="G196" i="2"/>
  <c r="F197" i="2"/>
  <c r="K196" i="2"/>
  <c r="O196" i="2" s="1"/>
  <c r="K174" i="4"/>
  <c r="L174" i="4" s="1"/>
  <c r="O174" i="4" s="1"/>
  <c r="N174" i="4"/>
  <c r="J175" i="4"/>
  <c r="J196" i="7"/>
  <c r="K196" i="7" s="1"/>
  <c r="N196" i="7" s="1"/>
  <c r="M196" i="7"/>
  <c r="I197" i="7"/>
  <c r="J278" i="6"/>
  <c r="K278" i="6" s="1"/>
  <c r="N278" i="6" s="1"/>
  <c r="M278" i="6"/>
  <c r="I279" i="6"/>
  <c r="P139" i="2" l="1"/>
  <c r="U120" i="2"/>
  <c r="W119" i="2"/>
  <c r="Y119" i="2" s="1"/>
  <c r="H119" i="2" s="1"/>
  <c r="L119" i="2" s="1"/>
  <c r="Q170" i="2"/>
  <c r="K197" i="2"/>
  <c r="O197" i="2" s="1"/>
  <c r="F198" i="2"/>
  <c r="G197" i="2"/>
  <c r="N175" i="4"/>
  <c r="J176" i="4"/>
  <c r="K175" i="4"/>
  <c r="L175" i="4" s="1"/>
  <c r="O175" i="4" s="1"/>
  <c r="M197" i="7"/>
  <c r="I198" i="7"/>
  <c r="J197" i="7"/>
  <c r="K197" i="7" s="1"/>
  <c r="N197" i="7" s="1"/>
  <c r="M279" i="6"/>
  <c r="J279" i="6"/>
  <c r="K279" i="6" s="1"/>
  <c r="N279" i="6" s="1"/>
  <c r="I280" i="6"/>
  <c r="U121" i="2" l="1"/>
  <c r="W120" i="2"/>
  <c r="Y120" i="2" s="1"/>
  <c r="H120" i="2" s="1"/>
  <c r="L120" i="2" s="1"/>
  <c r="P140" i="2"/>
  <c r="Q171" i="2"/>
  <c r="F199" i="2"/>
  <c r="G198" i="2"/>
  <c r="K198" i="2"/>
  <c r="O198" i="2" s="1"/>
  <c r="K176" i="4"/>
  <c r="L176" i="4" s="1"/>
  <c r="O176" i="4" s="1"/>
  <c r="N176" i="4"/>
  <c r="J177" i="4"/>
  <c r="J198" i="7"/>
  <c r="K198" i="7" s="1"/>
  <c r="N198" i="7" s="1"/>
  <c r="M198" i="7"/>
  <c r="I199" i="7"/>
  <c r="J280" i="6"/>
  <c r="K280" i="6" s="1"/>
  <c r="N280" i="6" s="1"/>
  <c r="M280" i="6"/>
  <c r="I281" i="6"/>
  <c r="P141" i="2" l="1"/>
  <c r="U122" i="2"/>
  <c r="W121" i="2"/>
  <c r="Y121" i="2" s="1"/>
  <c r="H121" i="2" s="1"/>
  <c r="L121" i="2" s="1"/>
  <c r="Q172" i="2"/>
  <c r="K199" i="2"/>
  <c r="O199" i="2" s="1"/>
  <c r="F200" i="2"/>
  <c r="G199" i="2"/>
  <c r="K177" i="4"/>
  <c r="L177" i="4" s="1"/>
  <c r="O177" i="4" s="1"/>
  <c r="J178" i="4"/>
  <c r="N177" i="4"/>
  <c r="J199" i="7"/>
  <c r="K199" i="7" s="1"/>
  <c r="N199" i="7" s="1"/>
  <c r="M199" i="7"/>
  <c r="I200" i="7"/>
  <c r="J281" i="6"/>
  <c r="K281" i="6" s="1"/>
  <c r="N281" i="6" s="1"/>
  <c r="I282" i="6"/>
  <c r="M281" i="6"/>
  <c r="U123" i="2" l="1"/>
  <c r="W122" i="2"/>
  <c r="Y122" i="2" s="1"/>
  <c r="H122" i="2" s="1"/>
  <c r="L122" i="2" s="1"/>
  <c r="P142" i="2"/>
  <c r="Q173" i="2"/>
  <c r="G200" i="2"/>
  <c r="F201" i="2"/>
  <c r="K200" i="2"/>
  <c r="O200" i="2" s="1"/>
  <c r="K178" i="4"/>
  <c r="L178" i="4" s="1"/>
  <c r="O178" i="4" s="1"/>
  <c r="N178" i="4"/>
  <c r="J179" i="4"/>
  <c r="J200" i="7"/>
  <c r="K200" i="7" s="1"/>
  <c r="N200" i="7" s="1"/>
  <c r="M200" i="7"/>
  <c r="I201" i="7"/>
  <c r="J282" i="6"/>
  <c r="K282" i="6" s="1"/>
  <c r="N282" i="6" s="1"/>
  <c r="M282" i="6"/>
  <c r="I283" i="6"/>
  <c r="P143" i="2" l="1"/>
  <c r="U124" i="2"/>
  <c r="W123" i="2"/>
  <c r="Y123" i="2" s="1"/>
  <c r="H123" i="2" s="1"/>
  <c r="L123" i="2" s="1"/>
  <c r="Q174" i="2"/>
  <c r="K201" i="2"/>
  <c r="O201" i="2" s="1"/>
  <c r="G201" i="2"/>
  <c r="F202" i="2"/>
  <c r="N179" i="4"/>
  <c r="J180" i="4"/>
  <c r="K179" i="4"/>
  <c r="L179" i="4" s="1"/>
  <c r="O179" i="4" s="1"/>
  <c r="J201" i="7"/>
  <c r="K201" i="7" s="1"/>
  <c r="N201" i="7" s="1"/>
  <c r="M201" i="7"/>
  <c r="I202" i="7"/>
  <c r="M283" i="6"/>
  <c r="I284" i="6"/>
  <c r="J283" i="6"/>
  <c r="K283" i="6" s="1"/>
  <c r="N283" i="6" s="1"/>
  <c r="U125" i="2" l="1"/>
  <c r="W124" i="2"/>
  <c r="Y124" i="2" s="1"/>
  <c r="H124" i="2" s="1"/>
  <c r="L124" i="2" s="1"/>
  <c r="P144" i="2"/>
  <c r="Q175" i="2"/>
  <c r="F203" i="2"/>
  <c r="G202" i="2"/>
  <c r="K202" i="2"/>
  <c r="O202" i="2" s="1"/>
  <c r="K180" i="4"/>
  <c r="L180" i="4" s="1"/>
  <c r="O180" i="4" s="1"/>
  <c r="N180" i="4"/>
  <c r="J181" i="4"/>
  <c r="I203" i="7"/>
  <c r="J202" i="7"/>
  <c r="K202" i="7" s="1"/>
  <c r="N202" i="7" s="1"/>
  <c r="M202" i="7"/>
  <c r="J284" i="6"/>
  <c r="K284" i="6" s="1"/>
  <c r="N284" i="6" s="1"/>
  <c r="I285" i="6"/>
  <c r="M284" i="6"/>
  <c r="P145" i="2" l="1"/>
  <c r="U126" i="2"/>
  <c r="W125" i="2"/>
  <c r="Y125" i="2" s="1"/>
  <c r="H125" i="2" s="1"/>
  <c r="L125" i="2" s="1"/>
  <c r="Q176" i="2"/>
  <c r="K203" i="2"/>
  <c r="O203" i="2" s="1"/>
  <c r="G203" i="2"/>
  <c r="F204" i="2"/>
  <c r="J182" i="4"/>
  <c r="N181" i="4"/>
  <c r="K181" i="4"/>
  <c r="L181" i="4" s="1"/>
  <c r="O181" i="4" s="1"/>
  <c r="I204" i="7"/>
  <c r="J203" i="7"/>
  <c r="K203" i="7" s="1"/>
  <c r="N203" i="7" s="1"/>
  <c r="M203" i="7"/>
  <c r="I286" i="6"/>
  <c r="J285" i="6"/>
  <c r="K285" i="6" s="1"/>
  <c r="N285" i="6" s="1"/>
  <c r="M285" i="6"/>
  <c r="U127" i="2" l="1"/>
  <c r="W126" i="2"/>
  <c r="Y126" i="2" s="1"/>
  <c r="H126" i="2" s="1"/>
  <c r="L126" i="2" s="1"/>
  <c r="P146" i="2"/>
  <c r="Q177" i="2"/>
  <c r="G204" i="2"/>
  <c r="K204" i="2"/>
  <c r="O204" i="2" s="1"/>
  <c r="F205" i="2"/>
  <c r="K182" i="4"/>
  <c r="L182" i="4" s="1"/>
  <c r="O182" i="4" s="1"/>
  <c r="J183" i="4"/>
  <c r="N182" i="4"/>
  <c r="I205" i="7"/>
  <c r="J204" i="7"/>
  <c r="K204" i="7" s="1"/>
  <c r="N204" i="7" s="1"/>
  <c r="M204" i="7"/>
  <c r="J286" i="6"/>
  <c r="K286" i="6" s="1"/>
  <c r="N286" i="6" s="1"/>
  <c r="M286" i="6"/>
  <c r="I287" i="6"/>
  <c r="P147" i="2" l="1"/>
  <c r="U128" i="2"/>
  <c r="W127" i="2"/>
  <c r="Y127" i="2" s="1"/>
  <c r="H127" i="2" s="1"/>
  <c r="L127" i="2" s="1"/>
  <c r="Q178" i="2"/>
  <c r="K205" i="2"/>
  <c r="O205" i="2" s="1"/>
  <c r="G205" i="2"/>
  <c r="F206" i="2"/>
  <c r="N183" i="4"/>
  <c r="K183" i="4"/>
  <c r="L183" i="4" s="1"/>
  <c r="O183" i="4" s="1"/>
  <c r="J184" i="4"/>
  <c r="M205" i="7"/>
  <c r="J205" i="7"/>
  <c r="K205" i="7" s="1"/>
  <c r="N205" i="7" s="1"/>
  <c r="I206" i="7"/>
  <c r="M287" i="6"/>
  <c r="I288" i="6"/>
  <c r="J287" i="6"/>
  <c r="K287" i="6" s="1"/>
  <c r="N287" i="6" s="1"/>
  <c r="U129" i="2" l="1"/>
  <c r="W128" i="2"/>
  <c r="Y128" i="2" s="1"/>
  <c r="H128" i="2" s="1"/>
  <c r="L128" i="2" s="1"/>
  <c r="P148" i="2"/>
  <c r="Q179" i="2"/>
  <c r="F207" i="2"/>
  <c r="G206" i="2"/>
  <c r="K206" i="2"/>
  <c r="O206" i="2" s="1"/>
  <c r="J185" i="4"/>
  <c r="K184" i="4"/>
  <c r="L184" i="4" s="1"/>
  <c r="O184" i="4" s="1"/>
  <c r="N184" i="4"/>
  <c r="M206" i="7"/>
  <c r="I207" i="7"/>
  <c r="J206" i="7"/>
  <c r="K206" i="7" s="1"/>
  <c r="N206" i="7" s="1"/>
  <c r="J288" i="6"/>
  <c r="K288" i="6" s="1"/>
  <c r="N288" i="6" s="1"/>
  <c r="M288" i="6"/>
  <c r="I289" i="6"/>
  <c r="P149" i="2" l="1"/>
  <c r="U130" i="2"/>
  <c r="W129" i="2"/>
  <c r="Y129" i="2" s="1"/>
  <c r="H129" i="2" s="1"/>
  <c r="L129" i="2" s="1"/>
  <c r="Q180" i="2"/>
  <c r="K207" i="2"/>
  <c r="O207" i="2" s="1"/>
  <c r="G207" i="2"/>
  <c r="F208" i="2"/>
  <c r="K185" i="4"/>
  <c r="L185" i="4" s="1"/>
  <c r="O185" i="4" s="1"/>
  <c r="N185" i="4"/>
  <c r="J186" i="4"/>
  <c r="J207" i="7"/>
  <c r="K207" i="7" s="1"/>
  <c r="N207" i="7" s="1"/>
  <c r="M207" i="7"/>
  <c r="I208" i="7"/>
  <c r="J289" i="6"/>
  <c r="K289" i="6" s="1"/>
  <c r="N289" i="6" s="1"/>
  <c r="I290" i="6"/>
  <c r="M289" i="6"/>
  <c r="U131" i="2" l="1"/>
  <c r="W130" i="2"/>
  <c r="Y130" i="2" s="1"/>
  <c r="H130" i="2" s="1"/>
  <c r="L130" i="2" s="1"/>
  <c r="P150" i="2"/>
  <c r="Q181" i="2"/>
  <c r="G208" i="2"/>
  <c r="K208" i="2"/>
  <c r="O208" i="2" s="1"/>
  <c r="F209" i="2"/>
  <c r="J187" i="4"/>
  <c r="N186" i="4"/>
  <c r="K186" i="4"/>
  <c r="L186" i="4" s="1"/>
  <c r="O186" i="4" s="1"/>
  <c r="M208" i="7"/>
  <c r="I209" i="7"/>
  <c r="J208" i="7"/>
  <c r="K208" i="7" s="1"/>
  <c r="N208" i="7" s="1"/>
  <c r="J290" i="6"/>
  <c r="K290" i="6" s="1"/>
  <c r="N290" i="6" s="1"/>
  <c r="M290" i="6"/>
  <c r="I291" i="6"/>
  <c r="P151" i="2" l="1"/>
  <c r="U132" i="2"/>
  <c r="W131" i="2"/>
  <c r="Y131" i="2" s="1"/>
  <c r="H131" i="2" s="1"/>
  <c r="L131" i="2" s="1"/>
  <c r="Q182" i="2"/>
  <c r="K209" i="2"/>
  <c r="O209" i="2" s="1"/>
  <c r="G209" i="2"/>
  <c r="F210" i="2"/>
  <c r="K187" i="4"/>
  <c r="L187" i="4" s="1"/>
  <c r="O187" i="4" s="1"/>
  <c r="N187" i="4"/>
  <c r="J188" i="4"/>
  <c r="J209" i="7"/>
  <c r="K209" i="7" s="1"/>
  <c r="N209" i="7" s="1"/>
  <c r="M209" i="7"/>
  <c r="I210" i="7"/>
  <c r="M291" i="6"/>
  <c r="I292" i="6"/>
  <c r="J291" i="6"/>
  <c r="K291" i="6" s="1"/>
  <c r="N291" i="6" s="1"/>
  <c r="U133" i="2" l="1"/>
  <c r="W132" i="2"/>
  <c r="Y132" i="2" s="1"/>
  <c r="H132" i="2" s="1"/>
  <c r="L132" i="2" s="1"/>
  <c r="P152" i="2"/>
  <c r="Q183" i="2"/>
  <c r="F211" i="2"/>
  <c r="G210" i="2"/>
  <c r="K210" i="2"/>
  <c r="O210" i="2" s="1"/>
  <c r="J189" i="4"/>
  <c r="K188" i="4"/>
  <c r="L188" i="4" s="1"/>
  <c r="O188" i="4" s="1"/>
  <c r="N188" i="4"/>
  <c r="J210" i="7"/>
  <c r="K210" i="7" s="1"/>
  <c r="N210" i="7" s="1"/>
  <c r="M210" i="7"/>
  <c r="I211" i="7"/>
  <c r="J292" i="6"/>
  <c r="K292" i="6" s="1"/>
  <c r="N292" i="6" s="1"/>
  <c r="M292" i="6"/>
  <c r="I293" i="6"/>
  <c r="P153" i="2" l="1"/>
  <c r="U134" i="2"/>
  <c r="W133" i="2"/>
  <c r="Y133" i="2" s="1"/>
  <c r="H133" i="2" s="1"/>
  <c r="L133" i="2" s="1"/>
  <c r="Q184" i="2"/>
  <c r="K211" i="2"/>
  <c r="O211" i="2" s="1"/>
  <c r="G211" i="2"/>
  <c r="F212" i="2"/>
  <c r="J190" i="4"/>
  <c r="K189" i="4"/>
  <c r="L189" i="4" s="1"/>
  <c r="O189" i="4" s="1"/>
  <c r="N189" i="4"/>
  <c r="I212" i="7"/>
  <c r="J211" i="7"/>
  <c r="K211" i="7" s="1"/>
  <c r="N211" i="7" s="1"/>
  <c r="M211" i="7"/>
  <c r="I294" i="6"/>
  <c r="J293" i="6"/>
  <c r="K293" i="6" s="1"/>
  <c r="N293" i="6" s="1"/>
  <c r="M293" i="6"/>
  <c r="U135" i="2" l="1"/>
  <c r="W134" i="2"/>
  <c r="Y134" i="2" s="1"/>
  <c r="H134" i="2" s="1"/>
  <c r="L134" i="2" s="1"/>
  <c r="P154" i="2"/>
  <c r="Q185" i="2"/>
  <c r="G212" i="2"/>
  <c r="K212" i="2"/>
  <c r="O212" i="2" s="1"/>
  <c r="F213" i="2"/>
  <c r="N190" i="4"/>
  <c r="J191" i="4"/>
  <c r="K190" i="4"/>
  <c r="L190" i="4" s="1"/>
  <c r="O190" i="4" s="1"/>
  <c r="J212" i="7"/>
  <c r="K212" i="7" s="1"/>
  <c r="N212" i="7" s="1"/>
  <c r="M212" i="7"/>
  <c r="I213" i="7"/>
  <c r="J294" i="6"/>
  <c r="K294" i="6" s="1"/>
  <c r="N294" i="6" s="1"/>
  <c r="M294" i="6"/>
  <c r="I295" i="6"/>
  <c r="P155" i="2" l="1"/>
  <c r="U136" i="2"/>
  <c r="W135" i="2"/>
  <c r="Y135" i="2" s="1"/>
  <c r="H135" i="2" s="1"/>
  <c r="L135" i="2" s="1"/>
  <c r="Q186" i="2"/>
  <c r="K213" i="2"/>
  <c r="O213" i="2" s="1"/>
  <c r="G213" i="2"/>
  <c r="F214" i="2"/>
  <c r="K191" i="4"/>
  <c r="L191" i="4" s="1"/>
  <c r="O191" i="4" s="1"/>
  <c r="J192" i="4"/>
  <c r="N191" i="4"/>
  <c r="I214" i="7"/>
  <c r="J213" i="7"/>
  <c r="K213" i="7" s="1"/>
  <c r="N213" i="7" s="1"/>
  <c r="M213" i="7"/>
  <c r="I296" i="6"/>
  <c r="J295" i="6"/>
  <c r="K295" i="6" s="1"/>
  <c r="N295" i="6" s="1"/>
  <c r="M295" i="6"/>
  <c r="U137" i="2" l="1"/>
  <c r="W136" i="2"/>
  <c r="Y136" i="2" s="1"/>
  <c r="H136" i="2" s="1"/>
  <c r="L136" i="2" s="1"/>
  <c r="P156" i="2"/>
  <c r="Q187" i="2"/>
  <c r="F215" i="2"/>
  <c r="G214" i="2"/>
  <c r="K214" i="2"/>
  <c r="O214" i="2" s="1"/>
  <c r="K192" i="4"/>
  <c r="L192" i="4" s="1"/>
  <c r="O192" i="4" s="1"/>
  <c r="N192" i="4"/>
  <c r="J193" i="4"/>
  <c r="J214" i="7"/>
  <c r="K214" i="7" s="1"/>
  <c r="N214" i="7" s="1"/>
  <c r="M214" i="7"/>
  <c r="I215" i="7"/>
  <c r="M296" i="6"/>
  <c r="J296" i="6"/>
  <c r="K296" i="6" s="1"/>
  <c r="N296" i="6" s="1"/>
  <c r="I297" i="6"/>
  <c r="P157" i="2" l="1"/>
  <c r="U138" i="2"/>
  <c r="W137" i="2"/>
  <c r="Y137" i="2" s="1"/>
  <c r="H137" i="2" s="1"/>
  <c r="L137" i="2" s="1"/>
  <c r="Q188" i="2"/>
  <c r="K215" i="2"/>
  <c r="O215" i="2" s="1"/>
  <c r="F216" i="2"/>
  <c r="G215" i="2"/>
  <c r="J194" i="4"/>
  <c r="N193" i="4"/>
  <c r="K193" i="4"/>
  <c r="L193" i="4" s="1"/>
  <c r="O193" i="4" s="1"/>
  <c r="M215" i="7"/>
  <c r="I216" i="7"/>
  <c r="J215" i="7"/>
  <c r="K215" i="7" s="1"/>
  <c r="N215" i="7" s="1"/>
  <c r="M297" i="6"/>
  <c r="I298" i="6"/>
  <c r="J297" i="6"/>
  <c r="K297" i="6" s="1"/>
  <c r="N297" i="6" s="1"/>
  <c r="U139" i="2" l="1"/>
  <c r="W138" i="2"/>
  <c r="Y138" i="2" s="1"/>
  <c r="H138" i="2" s="1"/>
  <c r="L138" i="2" s="1"/>
  <c r="P158" i="2"/>
  <c r="Q189" i="2"/>
  <c r="G216" i="2"/>
  <c r="F217" i="2"/>
  <c r="K216" i="2"/>
  <c r="O216" i="2" s="1"/>
  <c r="K194" i="4"/>
  <c r="L194" i="4" s="1"/>
  <c r="O194" i="4" s="1"/>
  <c r="N194" i="4"/>
  <c r="J195" i="4"/>
  <c r="I217" i="7"/>
  <c r="J216" i="7"/>
  <c r="K216" i="7" s="1"/>
  <c r="N216" i="7" s="1"/>
  <c r="M216" i="7"/>
  <c r="I299" i="6"/>
  <c r="J298" i="6"/>
  <c r="K298" i="6" s="1"/>
  <c r="N298" i="6" s="1"/>
  <c r="M298" i="6"/>
  <c r="P159" i="2" l="1"/>
  <c r="U140" i="2"/>
  <c r="W139" i="2"/>
  <c r="Y139" i="2" s="1"/>
  <c r="H139" i="2" s="1"/>
  <c r="L139" i="2" s="1"/>
  <c r="Q190" i="2"/>
  <c r="K217" i="2"/>
  <c r="O217" i="2" s="1"/>
  <c r="G217" i="2"/>
  <c r="F218" i="2"/>
  <c r="N195" i="4"/>
  <c r="J196" i="4"/>
  <c r="K195" i="4"/>
  <c r="L195" i="4" s="1"/>
  <c r="O195" i="4" s="1"/>
  <c r="J217" i="7"/>
  <c r="K217" i="7" s="1"/>
  <c r="N217" i="7" s="1"/>
  <c r="M217" i="7"/>
  <c r="I218" i="7"/>
  <c r="J299" i="6"/>
  <c r="K299" i="6" s="1"/>
  <c r="N299" i="6" s="1"/>
  <c r="M299" i="6"/>
  <c r="I300" i="6"/>
  <c r="U141" i="2" l="1"/>
  <c r="W140" i="2"/>
  <c r="Y140" i="2" s="1"/>
  <c r="H140" i="2" s="1"/>
  <c r="L140" i="2" s="1"/>
  <c r="P160" i="2"/>
  <c r="Q191" i="2"/>
  <c r="F219" i="2"/>
  <c r="G218" i="2"/>
  <c r="K218" i="2"/>
  <c r="O218" i="2" s="1"/>
  <c r="J197" i="4"/>
  <c r="K196" i="4"/>
  <c r="L196" i="4" s="1"/>
  <c r="O196" i="4" s="1"/>
  <c r="N196" i="4"/>
  <c r="M218" i="7"/>
  <c r="I219" i="7"/>
  <c r="J218" i="7"/>
  <c r="K218" i="7" s="1"/>
  <c r="N218" i="7" s="1"/>
  <c r="M300" i="6"/>
  <c r="I301" i="6"/>
  <c r="J300" i="6"/>
  <c r="K300" i="6" s="1"/>
  <c r="N300" i="6" s="1"/>
  <c r="P161" i="2" l="1"/>
  <c r="U142" i="2"/>
  <c r="W141" i="2"/>
  <c r="Y141" i="2" s="1"/>
  <c r="H141" i="2" s="1"/>
  <c r="L141" i="2" s="1"/>
  <c r="Q192" i="2"/>
  <c r="K219" i="2"/>
  <c r="O219" i="2" s="1"/>
  <c r="F220" i="2"/>
  <c r="G219" i="2"/>
  <c r="K197" i="4"/>
  <c r="L197" i="4" s="1"/>
  <c r="O197" i="4" s="1"/>
  <c r="N197" i="4"/>
  <c r="J198" i="4"/>
  <c r="J219" i="7"/>
  <c r="K219" i="7" s="1"/>
  <c r="N219" i="7" s="1"/>
  <c r="M219" i="7"/>
  <c r="I220" i="7"/>
  <c r="M301" i="6"/>
  <c r="J301" i="6"/>
  <c r="K301" i="6" s="1"/>
  <c r="N301" i="6" s="1"/>
  <c r="I302" i="6"/>
  <c r="U143" i="2" l="1"/>
  <c r="W142" i="2"/>
  <c r="Y142" i="2" s="1"/>
  <c r="H142" i="2" s="1"/>
  <c r="L142" i="2" s="1"/>
  <c r="P162" i="2"/>
  <c r="Q193" i="2"/>
  <c r="G220" i="2"/>
  <c r="K220" i="2"/>
  <c r="O220" i="2" s="1"/>
  <c r="F221" i="2"/>
  <c r="J199" i="4"/>
  <c r="K198" i="4"/>
  <c r="L198" i="4" s="1"/>
  <c r="O198" i="4" s="1"/>
  <c r="N198" i="4"/>
  <c r="J220" i="7"/>
  <c r="K220" i="7" s="1"/>
  <c r="N220" i="7" s="1"/>
  <c r="M220" i="7"/>
  <c r="I221" i="7"/>
  <c r="J302" i="6"/>
  <c r="K302" i="6" s="1"/>
  <c r="N302" i="6" s="1"/>
  <c r="M302" i="6"/>
  <c r="I303" i="6"/>
  <c r="P163" i="2" l="1"/>
  <c r="U144" i="2"/>
  <c r="W143" i="2"/>
  <c r="Y143" i="2" s="1"/>
  <c r="H143" i="2" s="1"/>
  <c r="L143" i="2" s="1"/>
  <c r="Q194" i="2"/>
  <c r="K221" i="2"/>
  <c r="O221" i="2" s="1"/>
  <c r="G221" i="2"/>
  <c r="F222" i="2"/>
  <c r="J200" i="4"/>
  <c r="K199" i="4"/>
  <c r="L199" i="4" s="1"/>
  <c r="O199" i="4" s="1"/>
  <c r="N199" i="4"/>
  <c r="I222" i="7"/>
  <c r="J221" i="7"/>
  <c r="K221" i="7" s="1"/>
  <c r="N221" i="7" s="1"/>
  <c r="M221" i="7"/>
  <c r="I304" i="6"/>
  <c r="M303" i="6"/>
  <c r="J303" i="6"/>
  <c r="K303" i="6" s="1"/>
  <c r="N303" i="6" s="1"/>
  <c r="U145" i="2" l="1"/>
  <c r="W144" i="2"/>
  <c r="Y144" i="2" s="1"/>
  <c r="H144" i="2" s="1"/>
  <c r="L144" i="2" s="1"/>
  <c r="P164" i="2"/>
  <c r="Q195" i="2"/>
  <c r="G222" i="2"/>
  <c r="K222" i="2"/>
  <c r="O222" i="2" s="1"/>
  <c r="F223" i="2"/>
  <c r="N200" i="4"/>
  <c r="J201" i="4"/>
  <c r="K200" i="4"/>
  <c r="L200" i="4" s="1"/>
  <c r="O200" i="4" s="1"/>
  <c r="J222" i="7"/>
  <c r="K222" i="7" s="1"/>
  <c r="N222" i="7" s="1"/>
  <c r="M222" i="7"/>
  <c r="I223" i="7"/>
  <c r="J304" i="6"/>
  <c r="K304" i="6" s="1"/>
  <c r="N304" i="6" s="1"/>
  <c r="M304" i="6"/>
  <c r="I305" i="6"/>
  <c r="P165" i="2" l="1"/>
  <c r="U146" i="2"/>
  <c r="W145" i="2"/>
  <c r="Y145" i="2" s="1"/>
  <c r="H145" i="2" s="1"/>
  <c r="L145" i="2" s="1"/>
  <c r="Q196" i="2"/>
  <c r="K223" i="2"/>
  <c r="O223" i="2" s="1"/>
  <c r="G223" i="2"/>
  <c r="F224" i="2"/>
  <c r="K201" i="4"/>
  <c r="L201" i="4" s="1"/>
  <c r="O201" i="4" s="1"/>
  <c r="N201" i="4"/>
  <c r="J202" i="4"/>
  <c r="M223" i="7"/>
  <c r="I224" i="7"/>
  <c r="J223" i="7"/>
  <c r="K223" i="7" s="1"/>
  <c r="N223" i="7" s="1"/>
  <c r="M305" i="6"/>
  <c r="I306" i="6"/>
  <c r="J305" i="6"/>
  <c r="K305" i="6" s="1"/>
  <c r="N305" i="6" s="1"/>
  <c r="U147" i="2" l="1"/>
  <c r="W146" i="2"/>
  <c r="Y146" i="2" s="1"/>
  <c r="H146" i="2" s="1"/>
  <c r="L146" i="2" s="1"/>
  <c r="P166" i="2"/>
  <c r="Q197" i="2"/>
  <c r="G224" i="2"/>
  <c r="K224" i="2"/>
  <c r="O224" i="2" s="1"/>
  <c r="F225" i="2"/>
  <c r="K202" i="4"/>
  <c r="L202" i="4" s="1"/>
  <c r="O202" i="4" s="1"/>
  <c r="N202" i="4"/>
  <c r="J203" i="4"/>
  <c r="I225" i="7"/>
  <c r="J224" i="7"/>
  <c r="K224" i="7" s="1"/>
  <c r="N224" i="7" s="1"/>
  <c r="M224" i="7"/>
  <c r="I307" i="6"/>
  <c r="J306" i="6"/>
  <c r="K306" i="6" s="1"/>
  <c r="N306" i="6" s="1"/>
  <c r="M306" i="6"/>
  <c r="P167" i="2" l="1"/>
  <c r="U148" i="2"/>
  <c r="W147" i="2"/>
  <c r="Y147" i="2" s="1"/>
  <c r="H147" i="2" s="1"/>
  <c r="L147" i="2" s="1"/>
  <c r="Q198" i="2"/>
  <c r="K225" i="2"/>
  <c r="O225" i="2" s="1"/>
  <c r="G225" i="2"/>
  <c r="F226" i="2"/>
  <c r="N203" i="4"/>
  <c r="K203" i="4"/>
  <c r="L203" i="4" s="1"/>
  <c r="O203" i="4" s="1"/>
  <c r="J204" i="4"/>
  <c r="J225" i="7"/>
  <c r="K225" i="7" s="1"/>
  <c r="N225" i="7" s="1"/>
  <c r="M225" i="7"/>
  <c r="I226" i="7"/>
  <c r="J307" i="6"/>
  <c r="K307" i="6" s="1"/>
  <c r="N307" i="6" s="1"/>
  <c r="M307" i="6"/>
  <c r="I308" i="6"/>
  <c r="U149" i="2" l="1"/>
  <c r="W148" i="2"/>
  <c r="Y148" i="2" s="1"/>
  <c r="H148" i="2" s="1"/>
  <c r="L148" i="2" s="1"/>
  <c r="P168" i="2"/>
  <c r="Q199" i="2"/>
  <c r="G226" i="2"/>
  <c r="F227" i="2"/>
  <c r="K226" i="2"/>
  <c r="O226" i="2" s="1"/>
  <c r="N204" i="4"/>
  <c r="J205" i="4"/>
  <c r="K204" i="4"/>
  <c r="L204" i="4" s="1"/>
  <c r="O204" i="4" s="1"/>
  <c r="M226" i="7"/>
  <c r="I227" i="7"/>
  <c r="J226" i="7"/>
  <c r="K226" i="7" s="1"/>
  <c r="N226" i="7" s="1"/>
  <c r="M308" i="6"/>
  <c r="I309" i="6"/>
  <c r="J308" i="6"/>
  <c r="K308" i="6" s="1"/>
  <c r="N308" i="6" s="1"/>
  <c r="P169" i="2" l="1"/>
  <c r="U150" i="2"/>
  <c r="W149" i="2"/>
  <c r="Y149" i="2" s="1"/>
  <c r="H149" i="2" s="1"/>
  <c r="L149" i="2" s="1"/>
  <c r="Q200" i="2"/>
  <c r="K227" i="2"/>
  <c r="O227" i="2" s="1"/>
  <c r="G227" i="2"/>
  <c r="F228" i="2"/>
  <c r="N205" i="4"/>
  <c r="K205" i="4"/>
  <c r="L205" i="4" s="1"/>
  <c r="O205" i="4" s="1"/>
  <c r="J206" i="4"/>
  <c r="J227" i="7"/>
  <c r="K227" i="7" s="1"/>
  <c r="N227" i="7" s="1"/>
  <c r="M227" i="7"/>
  <c r="I228" i="7"/>
  <c r="J309" i="6"/>
  <c r="K309" i="6" s="1"/>
  <c r="N309" i="6" s="1"/>
  <c r="M309" i="6"/>
  <c r="I310" i="6"/>
  <c r="U151" i="2" l="1"/>
  <c r="W150" i="2"/>
  <c r="Y150" i="2" s="1"/>
  <c r="H150" i="2" s="1"/>
  <c r="L150" i="2" s="1"/>
  <c r="P170" i="2"/>
  <c r="Q201" i="2"/>
  <c r="G228" i="2"/>
  <c r="F229" i="2"/>
  <c r="K228" i="2"/>
  <c r="O228" i="2" s="1"/>
  <c r="J207" i="4"/>
  <c r="K206" i="4"/>
  <c r="L206" i="4" s="1"/>
  <c r="O206" i="4" s="1"/>
  <c r="N206" i="4"/>
  <c r="J228" i="7"/>
  <c r="K228" i="7" s="1"/>
  <c r="N228" i="7" s="1"/>
  <c r="M228" i="7"/>
  <c r="I229" i="7"/>
  <c r="J310" i="6"/>
  <c r="K310" i="6" s="1"/>
  <c r="N310" i="6" s="1"/>
  <c r="M310" i="6"/>
  <c r="I311" i="6"/>
  <c r="P171" i="2" l="1"/>
  <c r="U152" i="2"/>
  <c r="W151" i="2"/>
  <c r="Y151" i="2" s="1"/>
  <c r="H151" i="2" s="1"/>
  <c r="L151" i="2" s="1"/>
  <c r="Q202" i="2"/>
  <c r="F230" i="2"/>
  <c r="G229" i="2"/>
  <c r="K229" i="2"/>
  <c r="O229" i="2" s="1"/>
  <c r="J208" i="4"/>
  <c r="K207" i="4"/>
  <c r="L207" i="4" s="1"/>
  <c r="O207" i="4" s="1"/>
  <c r="N207" i="4"/>
  <c r="I230" i="7"/>
  <c r="J229" i="7"/>
  <c r="K229" i="7" s="1"/>
  <c r="N229" i="7" s="1"/>
  <c r="M229" i="7"/>
  <c r="I312" i="6"/>
  <c r="J311" i="6"/>
  <c r="K311" i="6" s="1"/>
  <c r="N311" i="6" s="1"/>
  <c r="M311" i="6"/>
  <c r="U153" i="2" l="1"/>
  <c r="W152" i="2"/>
  <c r="Y152" i="2" s="1"/>
  <c r="H152" i="2" s="1"/>
  <c r="L152" i="2" s="1"/>
  <c r="P172" i="2"/>
  <c r="Q203" i="2"/>
  <c r="F231" i="2"/>
  <c r="K230" i="2"/>
  <c r="O230" i="2" s="1"/>
  <c r="G230" i="2"/>
  <c r="N208" i="4"/>
  <c r="K208" i="4"/>
  <c r="L208" i="4" s="1"/>
  <c r="O208" i="4" s="1"/>
  <c r="J209" i="4"/>
  <c r="J230" i="7"/>
  <c r="K230" i="7" s="1"/>
  <c r="N230" i="7" s="1"/>
  <c r="M230" i="7"/>
  <c r="I231" i="7"/>
  <c r="M312" i="6"/>
  <c r="J312" i="6"/>
  <c r="K312" i="6" s="1"/>
  <c r="N312" i="6" s="1"/>
  <c r="I313" i="6"/>
  <c r="P173" i="2" l="1"/>
  <c r="U154" i="2"/>
  <c r="W153" i="2"/>
  <c r="Y153" i="2" s="1"/>
  <c r="H153" i="2" s="1"/>
  <c r="L153" i="2" s="1"/>
  <c r="Q204" i="2"/>
  <c r="K231" i="2"/>
  <c r="O231" i="2" s="1"/>
  <c r="G231" i="2"/>
  <c r="F232" i="2"/>
  <c r="K209" i="4"/>
  <c r="L209" i="4" s="1"/>
  <c r="O209" i="4" s="1"/>
  <c r="J210" i="4"/>
  <c r="N209" i="4"/>
  <c r="M231" i="7"/>
  <c r="I232" i="7"/>
  <c r="J231" i="7"/>
  <c r="K231" i="7" s="1"/>
  <c r="N231" i="7" s="1"/>
  <c r="M313" i="6"/>
  <c r="J313" i="6"/>
  <c r="K313" i="6" s="1"/>
  <c r="N313" i="6" s="1"/>
  <c r="U155" i="2" l="1"/>
  <c r="W154" i="2"/>
  <c r="Y154" i="2" s="1"/>
  <c r="H154" i="2" s="1"/>
  <c r="L154" i="2" s="1"/>
  <c r="P174" i="2"/>
  <c r="Q205" i="2"/>
  <c r="F233" i="2"/>
  <c r="K232" i="2"/>
  <c r="O232" i="2" s="1"/>
  <c r="G232" i="2"/>
  <c r="K210" i="4"/>
  <c r="L210" i="4" s="1"/>
  <c r="O210" i="4" s="1"/>
  <c r="N210" i="4"/>
  <c r="J211" i="4"/>
  <c r="I233" i="7"/>
  <c r="J232" i="7"/>
  <c r="K232" i="7" s="1"/>
  <c r="N232" i="7" s="1"/>
  <c r="M232" i="7"/>
  <c r="P175" i="2" l="1"/>
  <c r="U156" i="2"/>
  <c r="W155" i="2"/>
  <c r="Y155" i="2" s="1"/>
  <c r="H155" i="2" s="1"/>
  <c r="L155" i="2" s="1"/>
  <c r="Q206" i="2"/>
  <c r="G233" i="2"/>
  <c r="K233" i="2"/>
  <c r="O233" i="2" s="1"/>
  <c r="F234" i="2"/>
  <c r="N211" i="4"/>
  <c r="J212" i="4"/>
  <c r="K211" i="4"/>
  <c r="L211" i="4" s="1"/>
  <c r="O211" i="4" s="1"/>
  <c r="J233" i="7"/>
  <c r="K233" i="7" s="1"/>
  <c r="N233" i="7" s="1"/>
  <c r="M233" i="7"/>
  <c r="I234" i="7"/>
  <c r="U157" i="2" l="1"/>
  <c r="W156" i="2"/>
  <c r="Y156" i="2" s="1"/>
  <c r="H156" i="2" s="1"/>
  <c r="L156" i="2" s="1"/>
  <c r="P176" i="2"/>
  <c r="Q207" i="2"/>
  <c r="F235" i="2"/>
  <c r="G234" i="2"/>
  <c r="K234" i="2"/>
  <c r="O234" i="2" s="1"/>
  <c r="K212" i="4"/>
  <c r="L212" i="4" s="1"/>
  <c r="O212" i="4" s="1"/>
  <c r="N212" i="4"/>
  <c r="J213" i="4"/>
  <c r="M234" i="7"/>
  <c r="I235" i="7"/>
  <c r="J234" i="7"/>
  <c r="K234" i="7" s="1"/>
  <c r="N234" i="7" s="1"/>
  <c r="U158" i="2" l="1"/>
  <c r="W157" i="2"/>
  <c r="Y157" i="2" s="1"/>
  <c r="H157" i="2" s="1"/>
  <c r="L157" i="2" s="1"/>
  <c r="P177" i="2"/>
  <c r="Q208" i="2"/>
  <c r="K235" i="2"/>
  <c r="O235" i="2" s="1"/>
  <c r="F236" i="2"/>
  <c r="G235" i="2"/>
  <c r="N213" i="4"/>
  <c r="J214" i="4"/>
  <c r="K213" i="4"/>
  <c r="L213" i="4" s="1"/>
  <c r="O213" i="4" s="1"/>
  <c r="J235" i="7"/>
  <c r="K235" i="7" s="1"/>
  <c r="N235" i="7" s="1"/>
  <c r="M235" i="7"/>
  <c r="I236" i="7"/>
  <c r="P178" i="2" l="1"/>
  <c r="U159" i="2"/>
  <c r="W158" i="2"/>
  <c r="Y158" i="2" s="1"/>
  <c r="H158" i="2" s="1"/>
  <c r="L158" i="2" s="1"/>
  <c r="Q209" i="2"/>
  <c r="F237" i="2"/>
  <c r="G236" i="2"/>
  <c r="K236" i="2"/>
  <c r="O236" i="2" s="1"/>
  <c r="J215" i="4"/>
  <c r="N214" i="4"/>
  <c r="K214" i="4"/>
  <c r="L214" i="4" s="1"/>
  <c r="O214" i="4" s="1"/>
  <c r="J236" i="7"/>
  <c r="K236" i="7" s="1"/>
  <c r="N236" i="7" s="1"/>
  <c r="M236" i="7"/>
  <c r="I237" i="7"/>
  <c r="U160" i="2" l="1"/>
  <c r="W159" i="2"/>
  <c r="Y159" i="2" s="1"/>
  <c r="H159" i="2" s="1"/>
  <c r="L159" i="2" s="1"/>
  <c r="P179" i="2"/>
  <c r="Q210" i="2"/>
  <c r="G237" i="2"/>
  <c r="F238" i="2"/>
  <c r="K237" i="2"/>
  <c r="O237" i="2" s="1"/>
  <c r="N215" i="4"/>
  <c r="J216" i="4"/>
  <c r="K215" i="4"/>
  <c r="L215" i="4" s="1"/>
  <c r="O215" i="4" s="1"/>
  <c r="I238" i="7"/>
  <c r="J237" i="7"/>
  <c r="K237" i="7" s="1"/>
  <c r="N237" i="7" s="1"/>
  <c r="M237" i="7"/>
  <c r="P180" i="2" l="1"/>
  <c r="U161" i="2"/>
  <c r="W160" i="2"/>
  <c r="Y160" i="2" s="1"/>
  <c r="H160" i="2" s="1"/>
  <c r="L160" i="2" s="1"/>
  <c r="Q211" i="2"/>
  <c r="F239" i="2"/>
  <c r="K238" i="2"/>
  <c r="O238" i="2" s="1"/>
  <c r="G238" i="2"/>
  <c r="N216" i="4"/>
  <c r="K216" i="4"/>
  <c r="L216" i="4" s="1"/>
  <c r="O216" i="4" s="1"/>
  <c r="J217" i="4"/>
  <c r="J238" i="7"/>
  <c r="K238" i="7" s="1"/>
  <c r="N238" i="7" s="1"/>
  <c r="M238" i="7"/>
  <c r="I239" i="7"/>
  <c r="U162" i="2" l="1"/>
  <c r="W161" i="2"/>
  <c r="Y161" i="2" s="1"/>
  <c r="H161" i="2" s="1"/>
  <c r="L161" i="2" s="1"/>
  <c r="P181" i="2"/>
  <c r="Q212" i="2"/>
  <c r="G239" i="2"/>
  <c r="K239" i="2"/>
  <c r="O239" i="2" s="1"/>
  <c r="F240" i="2"/>
  <c r="K217" i="4"/>
  <c r="L217" i="4" s="1"/>
  <c r="O217" i="4" s="1"/>
  <c r="N217" i="4"/>
  <c r="J218" i="4"/>
  <c r="M239" i="7"/>
  <c r="I240" i="7"/>
  <c r="J239" i="7"/>
  <c r="K239" i="7" s="1"/>
  <c r="N239" i="7" s="1"/>
  <c r="P182" i="2" l="1"/>
  <c r="U163" i="2"/>
  <c r="W162" i="2"/>
  <c r="Y162" i="2" s="1"/>
  <c r="H162" i="2" s="1"/>
  <c r="L162" i="2" s="1"/>
  <c r="Q213" i="2"/>
  <c r="F241" i="2"/>
  <c r="G240" i="2"/>
  <c r="K240" i="2"/>
  <c r="O240" i="2" s="1"/>
  <c r="K218" i="4"/>
  <c r="L218" i="4" s="1"/>
  <c r="O218" i="4" s="1"/>
  <c r="J219" i="4"/>
  <c r="N218" i="4"/>
  <c r="I241" i="7"/>
  <c r="J240" i="7"/>
  <c r="K240" i="7" s="1"/>
  <c r="N240" i="7" s="1"/>
  <c r="M240" i="7"/>
  <c r="U164" i="2" l="1"/>
  <c r="W163" i="2"/>
  <c r="Y163" i="2" s="1"/>
  <c r="H163" i="2" s="1"/>
  <c r="L163" i="2" s="1"/>
  <c r="P183" i="2"/>
  <c r="Q214" i="2"/>
  <c r="G241" i="2"/>
  <c r="K241" i="2"/>
  <c r="O241" i="2" s="1"/>
  <c r="F242" i="2"/>
  <c r="K219" i="4"/>
  <c r="L219" i="4" s="1"/>
  <c r="O219" i="4" s="1"/>
  <c r="N219" i="4"/>
  <c r="J220" i="4"/>
  <c r="J241" i="7"/>
  <c r="K241" i="7" s="1"/>
  <c r="N241" i="7" s="1"/>
  <c r="M241" i="7"/>
  <c r="I242" i="7"/>
  <c r="P184" i="2" l="1"/>
  <c r="U165" i="2"/>
  <c r="W164" i="2"/>
  <c r="Y164" i="2" s="1"/>
  <c r="H164" i="2" s="1"/>
  <c r="L164" i="2" s="1"/>
  <c r="Q215" i="2"/>
  <c r="F243" i="2"/>
  <c r="G242" i="2"/>
  <c r="K242" i="2"/>
  <c r="O242" i="2" s="1"/>
  <c r="J221" i="4"/>
  <c r="K220" i="4"/>
  <c r="L220" i="4" s="1"/>
  <c r="O220" i="4" s="1"/>
  <c r="N220" i="4"/>
  <c r="M242" i="7"/>
  <c r="I243" i="7"/>
  <c r="J242" i="7"/>
  <c r="K242" i="7" s="1"/>
  <c r="N242" i="7" s="1"/>
  <c r="U166" i="2" l="1"/>
  <c r="W165" i="2"/>
  <c r="Y165" i="2" s="1"/>
  <c r="H165" i="2" s="1"/>
  <c r="L165" i="2" s="1"/>
  <c r="P185" i="2"/>
  <c r="Q216" i="2"/>
  <c r="K243" i="2"/>
  <c r="O243" i="2" s="1"/>
  <c r="G243" i="2"/>
  <c r="F244" i="2"/>
  <c r="J222" i="4"/>
  <c r="K221" i="4"/>
  <c r="L221" i="4" s="1"/>
  <c r="O221" i="4" s="1"/>
  <c r="N221" i="4"/>
  <c r="J243" i="7"/>
  <c r="K243" i="7" s="1"/>
  <c r="N243" i="7" s="1"/>
  <c r="M243" i="7"/>
  <c r="I244" i="7"/>
  <c r="P186" i="2" l="1"/>
  <c r="U167" i="2"/>
  <c r="W166" i="2"/>
  <c r="Y166" i="2" s="1"/>
  <c r="H166" i="2" s="1"/>
  <c r="L166" i="2" s="1"/>
  <c r="Q217" i="2"/>
  <c r="K244" i="2"/>
  <c r="O244" i="2" s="1"/>
  <c r="F245" i="2"/>
  <c r="G244" i="2"/>
  <c r="J223" i="4"/>
  <c r="N222" i="4"/>
  <c r="K222" i="4"/>
  <c r="L222" i="4" s="1"/>
  <c r="O222" i="4" s="1"/>
  <c r="J244" i="7"/>
  <c r="K244" i="7" s="1"/>
  <c r="N244" i="7" s="1"/>
  <c r="M244" i="7"/>
  <c r="I245" i="7"/>
  <c r="U168" i="2" l="1"/>
  <c r="W167" i="2"/>
  <c r="Y167" i="2" s="1"/>
  <c r="H167" i="2" s="1"/>
  <c r="L167" i="2" s="1"/>
  <c r="P187" i="2"/>
  <c r="Q218" i="2"/>
  <c r="G245" i="2"/>
  <c r="K245" i="2"/>
  <c r="O245" i="2" s="1"/>
  <c r="F246" i="2"/>
  <c r="K223" i="4"/>
  <c r="L223" i="4" s="1"/>
  <c r="O223" i="4" s="1"/>
  <c r="N223" i="4"/>
  <c r="J224" i="4"/>
  <c r="I246" i="7"/>
  <c r="J245" i="7"/>
  <c r="K245" i="7" s="1"/>
  <c r="N245" i="7" s="1"/>
  <c r="M245" i="7"/>
  <c r="P188" i="2" l="1"/>
  <c r="U169" i="2"/>
  <c r="W168" i="2"/>
  <c r="Y168" i="2" s="1"/>
  <c r="H168" i="2" s="1"/>
  <c r="L168" i="2" s="1"/>
  <c r="Q219" i="2"/>
  <c r="F247" i="2"/>
  <c r="K246" i="2"/>
  <c r="O246" i="2" s="1"/>
  <c r="G246" i="2"/>
  <c r="N224" i="4"/>
  <c r="J225" i="4"/>
  <c r="K224" i="4"/>
  <c r="L224" i="4" s="1"/>
  <c r="O224" i="4" s="1"/>
  <c r="J246" i="7"/>
  <c r="K246" i="7" s="1"/>
  <c r="N246" i="7" s="1"/>
  <c r="M246" i="7"/>
  <c r="I247" i="7"/>
  <c r="U170" i="2" l="1"/>
  <c r="W169" i="2"/>
  <c r="Y169" i="2" s="1"/>
  <c r="H169" i="2" s="1"/>
  <c r="L169" i="2" s="1"/>
  <c r="P189" i="2"/>
  <c r="Q220" i="2"/>
  <c r="G247" i="2"/>
  <c r="K247" i="2"/>
  <c r="O247" i="2" s="1"/>
  <c r="F248" i="2"/>
  <c r="K225" i="4"/>
  <c r="L225" i="4" s="1"/>
  <c r="O225" i="4" s="1"/>
  <c r="N225" i="4"/>
  <c r="J226" i="4"/>
  <c r="M247" i="7"/>
  <c r="I248" i="7"/>
  <c r="J247" i="7"/>
  <c r="K247" i="7" s="1"/>
  <c r="N247" i="7" s="1"/>
  <c r="P190" i="2" l="1"/>
  <c r="U171" i="2"/>
  <c r="W170" i="2"/>
  <c r="Y170" i="2" s="1"/>
  <c r="H170" i="2" s="1"/>
  <c r="L170" i="2" s="1"/>
  <c r="Q221" i="2"/>
  <c r="G248" i="2"/>
  <c r="K248" i="2"/>
  <c r="O248" i="2" s="1"/>
  <c r="F249" i="2"/>
  <c r="K226" i="4"/>
  <c r="L226" i="4" s="1"/>
  <c r="O226" i="4" s="1"/>
  <c r="N226" i="4"/>
  <c r="J227" i="4"/>
  <c r="I249" i="7"/>
  <c r="J248" i="7"/>
  <c r="K248" i="7" s="1"/>
  <c r="N248" i="7" s="1"/>
  <c r="M248" i="7"/>
  <c r="U172" i="2" l="1"/>
  <c r="W171" i="2"/>
  <c r="Y171" i="2" s="1"/>
  <c r="H171" i="2" s="1"/>
  <c r="L171" i="2" s="1"/>
  <c r="P191" i="2"/>
  <c r="Q222" i="2"/>
  <c r="G249" i="2"/>
  <c r="F250" i="2"/>
  <c r="K249" i="2"/>
  <c r="O249" i="2" s="1"/>
  <c r="K227" i="4"/>
  <c r="L227" i="4" s="1"/>
  <c r="O227" i="4" s="1"/>
  <c r="N227" i="4"/>
  <c r="J228" i="4"/>
  <c r="J249" i="7"/>
  <c r="K249" i="7" s="1"/>
  <c r="N249" i="7" s="1"/>
  <c r="M249" i="7"/>
  <c r="I250" i="7"/>
  <c r="P192" i="2" l="1"/>
  <c r="U173" i="2"/>
  <c r="W172" i="2"/>
  <c r="Y172" i="2" s="1"/>
  <c r="H172" i="2" s="1"/>
  <c r="L172" i="2" s="1"/>
  <c r="Q223" i="2"/>
  <c r="F251" i="2"/>
  <c r="G250" i="2"/>
  <c r="K250" i="2"/>
  <c r="O250" i="2" s="1"/>
  <c r="K228" i="4"/>
  <c r="L228" i="4" s="1"/>
  <c r="O228" i="4" s="1"/>
  <c r="N228" i="4"/>
  <c r="J229" i="4"/>
  <c r="M250" i="7"/>
  <c r="I251" i="7"/>
  <c r="J250" i="7"/>
  <c r="K250" i="7" s="1"/>
  <c r="N250" i="7" s="1"/>
  <c r="U174" i="2" l="1"/>
  <c r="W173" i="2"/>
  <c r="Y173" i="2" s="1"/>
  <c r="H173" i="2" s="1"/>
  <c r="L173" i="2" s="1"/>
  <c r="P193" i="2"/>
  <c r="Q224" i="2"/>
  <c r="F252" i="2"/>
  <c r="G251" i="2"/>
  <c r="K251" i="2"/>
  <c r="O251" i="2" s="1"/>
  <c r="J230" i="4"/>
  <c r="K229" i="4"/>
  <c r="L229" i="4" s="1"/>
  <c r="O229" i="4" s="1"/>
  <c r="N229" i="4"/>
  <c r="J251" i="7"/>
  <c r="K251" i="7" s="1"/>
  <c r="N251" i="7" s="1"/>
  <c r="M251" i="7"/>
  <c r="I252" i="7"/>
  <c r="P194" i="2" l="1"/>
  <c r="U175" i="2"/>
  <c r="W174" i="2"/>
  <c r="Y174" i="2" s="1"/>
  <c r="H174" i="2" s="1"/>
  <c r="L174" i="2" s="1"/>
  <c r="Q225" i="2"/>
  <c r="G252" i="2"/>
  <c r="K252" i="2"/>
  <c r="O252" i="2" s="1"/>
  <c r="F253" i="2"/>
  <c r="J231" i="4"/>
  <c r="K230" i="4"/>
  <c r="L230" i="4" s="1"/>
  <c r="O230" i="4" s="1"/>
  <c r="N230" i="4"/>
  <c r="J252" i="7"/>
  <c r="K252" i="7" s="1"/>
  <c r="N252" i="7" s="1"/>
  <c r="M252" i="7"/>
  <c r="I253" i="7"/>
  <c r="U176" i="2" l="1"/>
  <c r="W175" i="2"/>
  <c r="Y175" i="2" s="1"/>
  <c r="H175" i="2" s="1"/>
  <c r="L175" i="2" s="1"/>
  <c r="P195" i="2"/>
  <c r="Q226" i="2"/>
  <c r="F254" i="2"/>
  <c r="G253" i="2"/>
  <c r="K253" i="2"/>
  <c r="O253" i="2" s="1"/>
  <c r="J232" i="4"/>
  <c r="K231" i="4"/>
  <c r="L231" i="4" s="1"/>
  <c r="O231" i="4" s="1"/>
  <c r="N231" i="4"/>
  <c r="I254" i="7"/>
  <c r="J253" i="7"/>
  <c r="K253" i="7" s="1"/>
  <c r="N253" i="7" s="1"/>
  <c r="M253" i="7"/>
  <c r="P196" i="2" l="1"/>
  <c r="U177" i="2"/>
  <c r="W176" i="2"/>
  <c r="Y176" i="2" s="1"/>
  <c r="H176" i="2" s="1"/>
  <c r="L176" i="2" s="1"/>
  <c r="Q227" i="2"/>
  <c r="F255" i="2"/>
  <c r="G254" i="2"/>
  <c r="K254" i="2"/>
  <c r="O254" i="2" s="1"/>
  <c r="N232" i="4"/>
  <c r="J233" i="4"/>
  <c r="K232" i="4"/>
  <c r="L232" i="4" s="1"/>
  <c r="O232" i="4" s="1"/>
  <c r="J254" i="7"/>
  <c r="K254" i="7" s="1"/>
  <c r="N254" i="7" s="1"/>
  <c r="M254" i="7"/>
  <c r="I255" i="7"/>
  <c r="U178" i="2" l="1"/>
  <c r="W177" i="2"/>
  <c r="Y177" i="2" s="1"/>
  <c r="H177" i="2" s="1"/>
  <c r="L177" i="2" s="1"/>
  <c r="P197" i="2"/>
  <c r="Q228" i="2"/>
  <c r="F256" i="2"/>
  <c r="K255" i="2"/>
  <c r="O255" i="2" s="1"/>
  <c r="G255" i="2"/>
  <c r="N233" i="4"/>
  <c r="J234" i="4"/>
  <c r="K233" i="4"/>
  <c r="L233" i="4" s="1"/>
  <c r="O233" i="4" s="1"/>
  <c r="M255" i="7"/>
  <c r="I256" i="7"/>
  <c r="J255" i="7"/>
  <c r="K255" i="7" s="1"/>
  <c r="N255" i="7" s="1"/>
  <c r="P198" i="2" l="1"/>
  <c r="U179" i="2"/>
  <c r="W178" i="2"/>
  <c r="Y178" i="2" s="1"/>
  <c r="H178" i="2" s="1"/>
  <c r="L178" i="2" s="1"/>
  <c r="Q229" i="2"/>
  <c r="K256" i="2"/>
  <c r="O256" i="2" s="1"/>
  <c r="G256" i="2"/>
  <c r="F257" i="2"/>
  <c r="K234" i="4"/>
  <c r="L234" i="4" s="1"/>
  <c r="O234" i="4" s="1"/>
  <c r="N234" i="4"/>
  <c r="J235" i="4"/>
  <c r="I257" i="7"/>
  <c r="J256" i="7"/>
  <c r="K256" i="7" s="1"/>
  <c r="N256" i="7" s="1"/>
  <c r="M256" i="7"/>
  <c r="U180" i="2" l="1"/>
  <c r="W179" i="2"/>
  <c r="Y179" i="2" s="1"/>
  <c r="H179" i="2" s="1"/>
  <c r="L179" i="2" s="1"/>
  <c r="P199" i="2"/>
  <c r="Q230" i="2"/>
  <c r="K257" i="2"/>
  <c r="O257" i="2" s="1"/>
  <c r="G257" i="2"/>
  <c r="F258" i="2"/>
  <c r="N235" i="4"/>
  <c r="J236" i="4"/>
  <c r="K235" i="4"/>
  <c r="L235" i="4" s="1"/>
  <c r="O235" i="4" s="1"/>
  <c r="J257" i="7"/>
  <c r="K257" i="7" s="1"/>
  <c r="N257" i="7" s="1"/>
  <c r="M257" i="7"/>
  <c r="I258" i="7"/>
  <c r="P200" i="2" l="1"/>
  <c r="U181" i="2"/>
  <c r="W180" i="2"/>
  <c r="Y180" i="2" s="1"/>
  <c r="H180" i="2" s="1"/>
  <c r="L180" i="2" s="1"/>
  <c r="Q231" i="2"/>
  <c r="F259" i="2"/>
  <c r="G258" i="2"/>
  <c r="K258" i="2"/>
  <c r="O258" i="2" s="1"/>
  <c r="K236" i="4"/>
  <c r="L236" i="4" s="1"/>
  <c r="O236" i="4" s="1"/>
  <c r="N236" i="4"/>
  <c r="J237" i="4"/>
  <c r="M258" i="7"/>
  <c r="I259" i="7"/>
  <c r="J258" i="7"/>
  <c r="K258" i="7" s="1"/>
  <c r="N258" i="7" s="1"/>
  <c r="U182" i="2" l="1"/>
  <c r="W181" i="2"/>
  <c r="Y181" i="2" s="1"/>
  <c r="H181" i="2" s="1"/>
  <c r="L181" i="2" s="1"/>
  <c r="P201" i="2"/>
  <c r="Q232" i="2"/>
  <c r="G259" i="2"/>
  <c r="K259" i="2"/>
  <c r="O259" i="2" s="1"/>
  <c r="F260" i="2"/>
  <c r="K237" i="4"/>
  <c r="L237" i="4" s="1"/>
  <c r="O237" i="4" s="1"/>
  <c r="N237" i="4"/>
  <c r="J238" i="4"/>
  <c r="J259" i="7"/>
  <c r="K259" i="7" s="1"/>
  <c r="N259" i="7" s="1"/>
  <c r="M259" i="7"/>
  <c r="I260" i="7"/>
  <c r="P202" i="2" l="1"/>
  <c r="U183" i="2"/>
  <c r="W182" i="2"/>
  <c r="Y182" i="2" s="1"/>
  <c r="H182" i="2" s="1"/>
  <c r="L182" i="2" s="1"/>
  <c r="Q233" i="2"/>
  <c r="K260" i="2"/>
  <c r="O260" i="2" s="1"/>
  <c r="F261" i="2"/>
  <c r="G260" i="2"/>
  <c r="J239" i="4"/>
  <c r="K238" i="4"/>
  <c r="L238" i="4" s="1"/>
  <c r="O238" i="4" s="1"/>
  <c r="N238" i="4"/>
  <c r="J260" i="7"/>
  <c r="K260" i="7" s="1"/>
  <c r="N260" i="7" s="1"/>
  <c r="M260" i="7"/>
  <c r="I261" i="7"/>
  <c r="U184" i="2" l="1"/>
  <c r="W183" i="2"/>
  <c r="Y183" i="2" s="1"/>
  <c r="H183" i="2" s="1"/>
  <c r="L183" i="2" s="1"/>
  <c r="P203" i="2"/>
  <c r="Q234" i="2"/>
  <c r="G261" i="2"/>
  <c r="F262" i="2"/>
  <c r="K261" i="2"/>
  <c r="O261" i="2" s="1"/>
  <c r="K239" i="4"/>
  <c r="L239" i="4" s="1"/>
  <c r="O239" i="4" s="1"/>
  <c r="N239" i="4"/>
  <c r="J240" i="4"/>
  <c r="I262" i="7"/>
  <c r="M261" i="7"/>
  <c r="J261" i="7"/>
  <c r="K261" i="7" s="1"/>
  <c r="N261" i="7" s="1"/>
  <c r="P204" i="2" l="1"/>
  <c r="U185" i="2"/>
  <c r="W184" i="2"/>
  <c r="Y184" i="2" s="1"/>
  <c r="H184" i="2" s="1"/>
  <c r="L184" i="2" s="1"/>
  <c r="Q235" i="2"/>
  <c r="F263" i="2"/>
  <c r="G262" i="2"/>
  <c r="K262" i="2"/>
  <c r="O262" i="2" s="1"/>
  <c r="N240" i="4"/>
  <c r="J241" i="4"/>
  <c r="K240" i="4"/>
  <c r="L240" i="4" s="1"/>
  <c r="O240" i="4" s="1"/>
  <c r="J262" i="7"/>
  <c r="K262" i="7" s="1"/>
  <c r="N262" i="7" s="1"/>
  <c r="M262" i="7"/>
  <c r="I263" i="7"/>
  <c r="U186" i="2" l="1"/>
  <c r="W185" i="2"/>
  <c r="Y185" i="2" s="1"/>
  <c r="H185" i="2" s="1"/>
  <c r="L185" i="2" s="1"/>
  <c r="P205" i="2"/>
  <c r="Q236" i="2"/>
  <c r="G263" i="2"/>
  <c r="K263" i="2"/>
  <c r="O263" i="2" s="1"/>
  <c r="F264" i="2"/>
  <c r="K241" i="4"/>
  <c r="L241" i="4" s="1"/>
  <c r="O241" i="4" s="1"/>
  <c r="N241" i="4"/>
  <c r="J242" i="4"/>
  <c r="M263" i="7"/>
  <c r="I264" i="7"/>
  <c r="J263" i="7"/>
  <c r="K263" i="7" s="1"/>
  <c r="N263" i="7" s="1"/>
  <c r="P206" i="2" l="1"/>
  <c r="U187" i="2"/>
  <c r="W186" i="2"/>
  <c r="Y186" i="2" s="1"/>
  <c r="H186" i="2" s="1"/>
  <c r="L186" i="2" s="1"/>
  <c r="Q237" i="2"/>
  <c r="K264" i="2"/>
  <c r="O264" i="2" s="1"/>
  <c r="G264" i="2"/>
  <c r="F265" i="2"/>
  <c r="K242" i="4"/>
  <c r="L242" i="4" s="1"/>
  <c r="O242" i="4" s="1"/>
  <c r="J243" i="4"/>
  <c r="N242" i="4"/>
  <c r="I265" i="7"/>
  <c r="J264" i="7"/>
  <c r="K264" i="7" s="1"/>
  <c r="N264" i="7" s="1"/>
  <c r="M264" i="7"/>
  <c r="U188" i="2" l="1"/>
  <c r="W187" i="2"/>
  <c r="Y187" i="2" s="1"/>
  <c r="H187" i="2" s="1"/>
  <c r="L187" i="2" s="1"/>
  <c r="P207" i="2"/>
  <c r="Q238" i="2"/>
  <c r="G265" i="2"/>
  <c r="K265" i="2"/>
  <c r="O265" i="2" s="1"/>
  <c r="F266" i="2"/>
  <c r="K243" i="4"/>
  <c r="L243" i="4" s="1"/>
  <c r="O243" i="4" s="1"/>
  <c r="J244" i="4"/>
  <c r="N243" i="4"/>
  <c r="J265" i="7"/>
  <c r="K265" i="7" s="1"/>
  <c r="N265" i="7" s="1"/>
  <c r="M265" i="7"/>
  <c r="I266" i="7"/>
  <c r="P208" i="2" l="1"/>
  <c r="U189" i="2"/>
  <c r="W188" i="2"/>
  <c r="Y188" i="2" s="1"/>
  <c r="H188" i="2" s="1"/>
  <c r="L188" i="2" s="1"/>
  <c r="Q239" i="2"/>
  <c r="F267" i="2"/>
  <c r="G266" i="2"/>
  <c r="K266" i="2"/>
  <c r="O266" i="2" s="1"/>
  <c r="N244" i="4"/>
  <c r="J245" i="4"/>
  <c r="K244" i="4"/>
  <c r="L244" i="4" s="1"/>
  <c r="O244" i="4" s="1"/>
  <c r="M266" i="7"/>
  <c r="I267" i="7"/>
  <c r="J266" i="7"/>
  <c r="K266" i="7" s="1"/>
  <c r="N266" i="7" s="1"/>
  <c r="U190" i="2" l="1"/>
  <c r="W189" i="2"/>
  <c r="Y189" i="2" s="1"/>
  <c r="H189" i="2" s="1"/>
  <c r="L189" i="2" s="1"/>
  <c r="P209" i="2"/>
  <c r="Q240" i="2"/>
  <c r="G267" i="2"/>
  <c r="K267" i="2"/>
  <c r="O267" i="2" s="1"/>
  <c r="F268" i="2"/>
  <c r="K245" i="4"/>
  <c r="L245" i="4" s="1"/>
  <c r="O245" i="4" s="1"/>
  <c r="N245" i="4"/>
  <c r="J246" i="4"/>
  <c r="J267" i="7"/>
  <c r="K267" i="7" s="1"/>
  <c r="N267" i="7" s="1"/>
  <c r="M267" i="7"/>
  <c r="I268" i="7"/>
  <c r="P210" i="2" l="1"/>
  <c r="U191" i="2"/>
  <c r="W190" i="2"/>
  <c r="Y190" i="2" s="1"/>
  <c r="H190" i="2" s="1"/>
  <c r="L190" i="2" s="1"/>
  <c r="Q241" i="2"/>
  <c r="K268" i="2"/>
  <c r="O268" i="2" s="1"/>
  <c r="F269" i="2"/>
  <c r="G268" i="2"/>
  <c r="J247" i="4"/>
  <c r="N246" i="4"/>
  <c r="K246" i="4"/>
  <c r="L246" i="4" s="1"/>
  <c r="O246" i="4" s="1"/>
  <c r="J268" i="7"/>
  <c r="K268" i="7" s="1"/>
  <c r="N268" i="7" s="1"/>
  <c r="M268" i="7"/>
  <c r="I269" i="7"/>
  <c r="P211" i="2" l="1"/>
  <c r="U192" i="2"/>
  <c r="W191" i="2"/>
  <c r="Y191" i="2" s="1"/>
  <c r="H191" i="2" s="1"/>
  <c r="L191" i="2" s="1"/>
  <c r="Q242" i="2"/>
  <c r="G269" i="2"/>
  <c r="F270" i="2"/>
  <c r="K269" i="2"/>
  <c r="O269" i="2" s="1"/>
  <c r="N247" i="4"/>
  <c r="K247" i="4"/>
  <c r="L247" i="4" s="1"/>
  <c r="O247" i="4" s="1"/>
  <c r="J248" i="4"/>
  <c r="I270" i="7"/>
  <c r="J269" i="7"/>
  <c r="K269" i="7" s="1"/>
  <c r="N269" i="7" s="1"/>
  <c r="M269" i="7"/>
  <c r="P212" i="2" l="1"/>
  <c r="U193" i="2"/>
  <c r="W192" i="2"/>
  <c r="Y192" i="2" s="1"/>
  <c r="H192" i="2" s="1"/>
  <c r="L192" i="2" s="1"/>
  <c r="Q243" i="2"/>
  <c r="G270" i="2"/>
  <c r="F271" i="2"/>
  <c r="K270" i="2"/>
  <c r="O270" i="2" s="1"/>
  <c r="N248" i="4"/>
  <c r="K248" i="4"/>
  <c r="L248" i="4" s="1"/>
  <c r="O248" i="4" s="1"/>
  <c r="J249" i="4"/>
  <c r="J270" i="7"/>
  <c r="K270" i="7" s="1"/>
  <c r="N270" i="7" s="1"/>
  <c r="M270" i="7"/>
  <c r="I271" i="7"/>
  <c r="U194" i="2" l="1"/>
  <c r="W193" i="2"/>
  <c r="Y193" i="2" s="1"/>
  <c r="H193" i="2" s="1"/>
  <c r="L193" i="2" s="1"/>
  <c r="P213" i="2"/>
  <c r="Q244" i="2"/>
  <c r="G271" i="2"/>
  <c r="K271" i="2"/>
  <c r="O271" i="2" s="1"/>
  <c r="F272" i="2"/>
  <c r="J250" i="4"/>
  <c r="K249" i="4"/>
  <c r="L249" i="4" s="1"/>
  <c r="O249" i="4" s="1"/>
  <c r="N249" i="4"/>
  <c r="M271" i="7"/>
  <c r="I272" i="7"/>
  <c r="J271" i="7"/>
  <c r="K271" i="7" s="1"/>
  <c r="N271" i="7" s="1"/>
  <c r="P214" i="2" l="1"/>
  <c r="U195" i="2"/>
  <c r="W194" i="2"/>
  <c r="Y194" i="2" s="1"/>
  <c r="H194" i="2" s="1"/>
  <c r="L194" i="2" s="1"/>
  <c r="Q245" i="2"/>
  <c r="K272" i="2"/>
  <c r="O272" i="2" s="1"/>
  <c r="G272" i="2"/>
  <c r="F273" i="2"/>
  <c r="K250" i="4"/>
  <c r="L250" i="4" s="1"/>
  <c r="O250" i="4" s="1"/>
  <c r="N250" i="4"/>
  <c r="J251" i="4"/>
  <c r="I273" i="7"/>
  <c r="J272" i="7"/>
  <c r="K272" i="7" s="1"/>
  <c r="N272" i="7" s="1"/>
  <c r="M272" i="7"/>
  <c r="U196" i="2" l="1"/>
  <c r="W195" i="2"/>
  <c r="Y195" i="2" s="1"/>
  <c r="H195" i="2" s="1"/>
  <c r="L195" i="2" s="1"/>
  <c r="P215" i="2"/>
  <c r="Q246" i="2"/>
  <c r="F274" i="2"/>
  <c r="G273" i="2"/>
  <c r="K273" i="2"/>
  <c r="O273" i="2" s="1"/>
  <c r="J252" i="4"/>
  <c r="K251" i="4"/>
  <c r="L251" i="4" s="1"/>
  <c r="O251" i="4" s="1"/>
  <c r="N251" i="4"/>
  <c r="J273" i="7"/>
  <c r="K273" i="7" s="1"/>
  <c r="N273" i="7" s="1"/>
  <c r="M273" i="7"/>
  <c r="I274" i="7"/>
  <c r="P216" i="2" l="1"/>
  <c r="U197" i="2"/>
  <c r="W196" i="2"/>
  <c r="Y196" i="2" s="1"/>
  <c r="H196" i="2" s="1"/>
  <c r="L196" i="2" s="1"/>
  <c r="Q247" i="2"/>
  <c r="G274" i="2"/>
  <c r="F275" i="2"/>
  <c r="K274" i="2"/>
  <c r="O274" i="2" s="1"/>
  <c r="J253" i="4"/>
  <c r="K252" i="4"/>
  <c r="L252" i="4" s="1"/>
  <c r="O252" i="4" s="1"/>
  <c r="N252" i="4"/>
  <c r="M274" i="7"/>
  <c r="J274" i="7"/>
  <c r="K274" i="7" s="1"/>
  <c r="N274" i="7" s="1"/>
  <c r="I275" i="7"/>
  <c r="U198" i="2" l="1"/>
  <c r="W197" i="2"/>
  <c r="Y197" i="2" s="1"/>
  <c r="H197" i="2" s="1"/>
  <c r="L197" i="2" s="1"/>
  <c r="P217" i="2"/>
  <c r="Q248" i="2"/>
  <c r="G275" i="2"/>
  <c r="K275" i="2"/>
  <c r="O275" i="2" s="1"/>
  <c r="F276" i="2"/>
  <c r="J254" i="4"/>
  <c r="K253" i="4"/>
  <c r="L253" i="4" s="1"/>
  <c r="O253" i="4" s="1"/>
  <c r="N253" i="4"/>
  <c r="I276" i="7"/>
  <c r="J275" i="7"/>
  <c r="K275" i="7" s="1"/>
  <c r="N275" i="7" s="1"/>
  <c r="M275" i="7"/>
  <c r="P218" i="2" l="1"/>
  <c r="U199" i="2"/>
  <c r="W198" i="2"/>
  <c r="Y198" i="2" s="1"/>
  <c r="H198" i="2" s="1"/>
  <c r="L198" i="2" s="1"/>
  <c r="Q249" i="2"/>
  <c r="K276" i="2"/>
  <c r="O276" i="2" s="1"/>
  <c r="F277" i="2"/>
  <c r="G276" i="2"/>
  <c r="J255" i="4"/>
  <c r="K254" i="4"/>
  <c r="L254" i="4" s="1"/>
  <c r="O254" i="4" s="1"/>
  <c r="N254" i="4"/>
  <c r="J276" i="7"/>
  <c r="K276" i="7" s="1"/>
  <c r="N276" i="7" s="1"/>
  <c r="M276" i="7"/>
  <c r="I277" i="7"/>
  <c r="U200" i="2" l="1"/>
  <c r="W199" i="2"/>
  <c r="Y199" i="2" s="1"/>
  <c r="H199" i="2" s="1"/>
  <c r="L199" i="2" s="1"/>
  <c r="P219" i="2"/>
  <c r="Q250" i="2"/>
  <c r="F278" i="2"/>
  <c r="G277" i="2"/>
  <c r="K277" i="2"/>
  <c r="O277" i="2" s="1"/>
  <c r="N255" i="4"/>
  <c r="J256" i="4"/>
  <c r="K255" i="4"/>
  <c r="L255" i="4" s="1"/>
  <c r="O255" i="4" s="1"/>
  <c r="I278" i="7"/>
  <c r="J277" i="7"/>
  <c r="K277" i="7" s="1"/>
  <c r="N277" i="7" s="1"/>
  <c r="M277" i="7"/>
  <c r="U201" i="2" l="1"/>
  <c r="W200" i="2"/>
  <c r="Y200" i="2" s="1"/>
  <c r="H200" i="2" s="1"/>
  <c r="L200" i="2" s="1"/>
  <c r="P220" i="2"/>
  <c r="Q251" i="2"/>
  <c r="G278" i="2"/>
  <c r="K278" i="2"/>
  <c r="O278" i="2" s="1"/>
  <c r="F279" i="2"/>
  <c r="N256" i="4"/>
  <c r="K256" i="4"/>
  <c r="L256" i="4" s="1"/>
  <c r="O256" i="4" s="1"/>
  <c r="J257" i="4"/>
  <c r="J278" i="7"/>
  <c r="K278" i="7" s="1"/>
  <c r="N278" i="7" s="1"/>
  <c r="M278" i="7"/>
  <c r="I279" i="7"/>
  <c r="P221" i="2" l="1"/>
  <c r="U202" i="2"/>
  <c r="W201" i="2"/>
  <c r="Y201" i="2" s="1"/>
  <c r="H201" i="2" s="1"/>
  <c r="L201" i="2" s="1"/>
  <c r="Q252" i="2"/>
  <c r="G279" i="2"/>
  <c r="K279" i="2"/>
  <c r="O279" i="2" s="1"/>
  <c r="F280" i="2"/>
  <c r="N257" i="4"/>
  <c r="J258" i="4"/>
  <c r="K257" i="4"/>
  <c r="L257" i="4" s="1"/>
  <c r="O257" i="4" s="1"/>
  <c r="I280" i="7"/>
  <c r="J279" i="7"/>
  <c r="K279" i="7" s="1"/>
  <c r="N279" i="7" s="1"/>
  <c r="M279" i="7"/>
  <c r="U203" i="2" l="1"/>
  <c r="W202" i="2"/>
  <c r="Y202" i="2" s="1"/>
  <c r="H202" i="2" s="1"/>
  <c r="L202" i="2" s="1"/>
  <c r="P222" i="2"/>
  <c r="Q253" i="2"/>
  <c r="K280" i="2"/>
  <c r="O280" i="2" s="1"/>
  <c r="F281" i="2"/>
  <c r="G280" i="2"/>
  <c r="K258" i="4"/>
  <c r="L258" i="4" s="1"/>
  <c r="O258" i="4" s="1"/>
  <c r="N258" i="4"/>
  <c r="J259" i="4"/>
  <c r="I281" i="7"/>
  <c r="J280" i="7"/>
  <c r="K280" i="7" s="1"/>
  <c r="N280" i="7" s="1"/>
  <c r="M280" i="7"/>
  <c r="P223" i="2" l="1"/>
  <c r="U204" i="2"/>
  <c r="W203" i="2"/>
  <c r="Y203" i="2" s="1"/>
  <c r="H203" i="2" s="1"/>
  <c r="L203" i="2" s="1"/>
  <c r="Q254" i="2"/>
  <c r="K281" i="2"/>
  <c r="O281" i="2" s="1"/>
  <c r="F282" i="2"/>
  <c r="G281" i="2"/>
  <c r="K259" i="4"/>
  <c r="L259" i="4" s="1"/>
  <c r="O259" i="4" s="1"/>
  <c r="N259" i="4"/>
  <c r="J260" i="4"/>
  <c r="M281" i="7"/>
  <c r="I282" i="7"/>
  <c r="J281" i="7"/>
  <c r="K281" i="7" s="1"/>
  <c r="N281" i="7" s="1"/>
  <c r="U205" i="2" l="1"/>
  <c r="W204" i="2"/>
  <c r="Y204" i="2" s="1"/>
  <c r="H204" i="2" s="1"/>
  <c r="L204" i="2" s="1"/>
  <c r="P224" i="2"/>
  <c r="Q255" i="2"/>
  <c r="G282" i="2"/>
  <c r="F283" i="2"/>
  <c r="K282" i="2"/>
  <c r="O282" i="2" s="1"/>
  <c r="J261" i="4"/>
  <c r="K260" i="4"/>
  <c r="L260" i="4" s="1"/>
  <c r="O260" i="4" s="1"/>
  <c r="N260" i="4"/>
  <c r="M282" i="7"/>
  <c r="J282" i="7"/>
  <c r="K282" i="7" s="1"/>
  <c r="N282" i="7" s="1"/>
  <c r="I283" i="7"/>
  <c r="P225" i="2" l="1"/>
  <c r="U206" i="2"/>
  <c r="W205" i="2"/>
  <c r="Y205" i="2" s="1"/>
  <c r="H205" i="2" s="1"/>
  <c r="L205" i="2" s="1"/>
  <c r="Q256" i="2"/>
  <c r="G283" i="2"/>
  <c r="K283" i="2"/>
  <c r="O283" i="2" s="1"/>
  <c r="F284" i="2"/>
  <c r="J262" i="4"/>
  <c r="K261" i="4"/>
  <c r="L261" i="4" s="1"/>
  <c r="O261" i="4" s="1"/>
  <c r="N261" i="4"/>
  <c r="M283" i="7"/>
  <c r="I284" i="7"/>
  <c r="J283" i="7"/>
  <c r="K283" i="7" s="1"/>
  <c r="N283" i="7" s="1"/>
  <c r="U207" i="2" l="1"/>
  <c r="W206" i="2"/>
  <c r="Y206" i="2" s="1"/>
  <c r="H206" i="2" s="1"/>
  <c r="L206" i="2" s="1"/>
  <c r="P226" i="2"/>
  <c r="Q257" i="2"/>
  <c r="K284" i="2"/>
  <c r="O284" i="2" s="1"/>
  <c r="F285" i="2"/>
  <c r="G284" i="2"/>
  <c r="N262" i="4"/>
  <c r="J263" i="4"/>
  <c r="K262" i="4"/>
  <c r="L262" i="4" s="1"/>
  <c r="O262" i="4" s="1"/>
  <c r="J284" i="7"/>
  <c r="K284" i="7" s="1"/>
  <c r="N284" i="7" s="1"/>
  <c r="M284" i="7"/>
  <c r="I285" i="7"/>
  <c r="P227" i="2" l="1"/>
  <c r="U208" i="2"/>
  <c r="W207" i="2"/>
  <c r="Y207" i="2" s="1"/>
  <c r="H207" i="2" s="1"/>
  <c r="L207" i="2" s="1"/>
  <c r="Q258" i="2"/>
  <c r="G285" i="2"/>
  <c r="F286" i="2"/>
  <c r="K285" i="2"/>
  <c r="O285" i="2" s="1"/>
  <c r="K263" i="4"/>
  <c r="L263" i="4" s="1"/>
  <c r="O263" i="4" s="1"/>
  <c r="N263" i="4"/>
  <c r="J264" i="4"/>
  <c r="J285" i="7"/>
  <c r="K285" i="7" s="1"/>
  <c r="N285" i="7" s="1"/>
  <c r="M285" i="7"/>
  <c r="I286" i="7"/>
  <c r="U209" i="2" l="1"/>
  <c r="W208" i="2"/>
  <c r="Y208" i="2" s="1"/>
  <c r="H208" i="2" s="1"/>
  <c r="L208" i="2" s="1"/>
  <c r="P228" i="2"/>
  <c r="Q259" i="2"/>
  <c r="G286" i="2"/>
  <c r="F287" i="2"/>
  <c r="K286" i="2"/>
  <c r="O286" i="2" s="1"/>
  <c r="K264" i="4"/>
  <c r="L264" i="4" s="1"/>
  <c r="O264" i="4" s="1"/>
  <c r="N264" i="4"/>
  <c r="J265" i="4"/>
  <c r="I287" i="7"/>
  <c r="J286" i="7"/>
  <c r="K286" i="7" s="1"/>
  <c r="N286" i="7" s="1"/>
  <c r="M286" i="7"/>
  <c r="P229" i="2" l="1"/>
  <c r="U210" i="2"/>
  <c r="W209" i="2"/>
  <c r="Y209" i="2" s="1"/>
  <c r="H209" i="2" s="1"/>
  <c r="L209" i="2" s="1"/>
  <c r="Q260" i="2"/>
  <c r="G287" i="2"/>
  <c r="K287" i="2"/>
  <c r="O287" i="2" s="1"/>
  <c r="F288" i="2"/>
  <c r="J266" i="4"/>
  <c r="K265" i="4"/>
  <c r="L265" i="4" s="1"/>
  <c r="O265" i="4" s="1"/>
  <c r="N265" i="4"/>
  <c r="J287" i="7"/>
  <c r="K287" i="7" s="1"/>
  <c r="N287" i="7" s="1"/>
  <c r="M287" i="7"/>
  <c r="I288" i="7"/>
  <c r="U211" i="2" l="1"/>
  <c r="W210" i="2"/>
  <c r="Y210" i="2" s="1"/>
  <c r="H210" i="2" s="1"/>
  <c r="L210" i="2" s="1"/>
  <c r="P230" i="2"/>
  <c r="Q261" i="2"/>
  <c r="K288" i="2"/>
  <c r="O288" i="2" s="1"/>
  <c r="G288" i="2"/>
  <c r="F289" i="2"/>
  <c r="K266" i="4"/>
  <c r="L266" i="4" s="1"/>
  <c r="O266" i="4" s="1"/>
  <c r="N266" i="4"/>
  <c r="J267" i="4"/>
  <c r="I289" i="7"/>
  <c r="J288" i="7"/>
  <c r="K288" i="7" s="1"/>
  <c r="N288" i="7" s="1"/>
  <c r="M288" i="7"/>
  <c r="P231" i="2" l="1"/>
  <c r="U212" i="2"/>
  <c r="W211" i="2"/>
  <c r="Y211" i="2" s="1"/>
  <c r="H211" i="2" s="1"/>
  <c r="L211" i="2" s="1"/>
  <c r="Q262" i="2"/>
  <c r="G289" i="2"/>
  <c r="F290" i="2"/>
  <c r="K289" i="2"/>
  <c r="O289" i="2" s="1"/>
  <c r="N267" i="4"/>
  <c r="J268" i="4"/>
  <c r="K267" i="4"/>
  <c r="L267" i="4" s="1"/>
  <c r="O267" i="4" s="1"/>
  <c r="J289" i="7"/>
  <c r="K289" i="7" s="1"/>
  <c r="N289" i="7" s="1"/>
  <c r="M289" i="7"/>
  <c r="I290" i="7"/>
  <c r="U213" i="2" l="1"/>
  <c r="W212" i="2"/>
  <c r="Y212" i="2" s="1"/>
  <c r="H212" i="2" s="1"/>
  <c r="L212" i="2" s="1"/>
  <c r="P232" i="2"/>
  <c r="Q263" i="2"/>
  <c r="G290" i="2"/>
  <c r="F291" i="2"/>
  <c r="K290" i="2"/>
  <c r="O290" i="2" s="1"/>
  <c r="J269" i="4"/>
  <c r="K268" i="4"/>
  <c r="L268" i="4" s="1"/>
  <c r="O268" i="4" s="1"/>
  <c r="N268" i="4"/>
  <c r="M290" i="7"/>
  <c r="I291" i="7"/>
  <c r="J290" i="7"/>
  <c r="K290" i="7" s="1"/>
  <c r="N290" i="7" s="1"/>
  <c r="P233" i="2" l="1"/>
  <c r="U214" i="2"/>
  <c r="W213" i="2"/>
  <c r="Y213" i="2" s="1"/>
  <c r="H213" i="2" s="1"/>
  <c r="L213" i="2" s="1"/>
  <c r="Q264" i="2"/>
  <c r="G291" i="2"/>
  <c r="K291" i="2"/>
  <c r="O291" i="2" s="1"/>
  <c r="F292" i="2"/>
  <c r="J270" i="4"/>
  <c r="K269" i="4"/>
  <c r="L269" i="4" s="1"/>
  <c r="O269" i="4" s="1"/>
  <c r="N269" i="4"/>
  <c r="I292" i="7"/>
  <c r="J291" i="7"/>
  <c r="K291" i="7" s="1"/>
  <c r="N291" i="7" s="1"/>
  <c r="M291" i="7"/>
  <c r="U215" i="2" l="1"/>
  <c r="W214" i="2"/>
  <c r="Y214" i="2" s="1"/>
  <c r="H214" i="2" s="1"/>
  <c r="L214" i="2" s="1"/>
  <c r="P234" i="2"/>
  <c r="Q265" i="2"/>
  <c r="K292" i="2"/>
  <c r="O292" i="2" s="1"/>
  <c r="F293" i="2"/>
  <c r="G292" i="2"/>
  <c r="N270" i="4"/>
  <c r="J271" i="4"/>
  <c r="K270" i="4"/>
  <c r="L270" i="4" s="1"/>
  <c r="O270" i="4" s="1"/>
  <c r="J292" i="7"/>
  <c r="K292" i="7" s="1"/>
  <c r="N292" i="7" s="1"/>
  <c r="M292" i="7"/>
  <c r="I293" i="7"/>
  <c r="P235" i="2" l="1"/>
  <c r="U216" i="2"/>
  <c r="W215" i="2"/>
  <c r="Y215" i="2" s="1"/>
  <c r="H215" i="2" s="1"/>
  <c r="L215" i="2" s="1"/>
  <c r="Q266" i="2"/>
  <c r="G293" i="2"/>
  <c r="F294" i="2"/>
  <c r="K293" i="2"/>
  <c r="O293" i="2" s="1"/>
  <c r="N271" i="4"/>
  <c r="K271" i="4"/>
  <c r="L271" i="4" s="1"/>
  <c r="O271" i="4" s="1"/>
  <c r="J272" i="4"/>
  <c r="M293" i="7"/>
  <c r="I294" i="7"/>
  <c r="J293" i="7"/>
  <c r="K293" i="7" s="1"/>
  <c r="N293" i="7" s="1"/>
  <c r="U217" i="2" l="1"/>
  <c r="W216" i="2"/>
  <c r="Y216" i="2" s="1"/>
  <c r="H216" i="2" s="1"/>
  <c r="L216" i="2" s="1"/>
  <c r="P236" i="2"/>
  <c r="Q267" i="2"/>
  <c r="G294" i="2"/>
  <c r="K294" i="2"/>
  <c r="O294" i="2" s="1"/>
  <c r="F295" i="2"/>
  <c r="K272" i="4"/>
  <c r="L272" i="4" s="1"/>
  <c r="O272" i="4" s="1"/>
  <c r="N272" i="4"/>
  <c r="J273" i="4"/>
  <c r="J294" i="7"/>
  <c r="K294" i="7" s="1"/>
  <c r="N294" i="7" s="1"/>
  <c r="M294" i="7"/>
  <c r="I295" i="7"/>
  <c r="P237" i="2" l="1"/>
  <c r="U218" i="2"/>
  <c r="W217" i="2"/>
  <c r="Y217" i="2" s="1"/>
  <c r="H217" i="2" s="1"/>
  <c r="L217" i="2" s="1"/>
  <c r="Q268" i="2"/>
  <c r="G295" i="2"/>
  <c r="K295" i="2"/>
  <c r="O295" i="2" s="1"/>
  <c r="F296" i="2"/>
  <c r="K273" i="4"/>
  <c r="L273" i="4" s="1"/>
  <c r="O273" i="4" s="1"/>
  <c r="J274" i="4"/>
  <c r="N273" i="4"/>
  <c r="J295" i="7"/>
  <c r="K295" i="7" s="1"/>
  <c r="N295" i="7" s="1"/>
  <c r="M295" i="7"/>
  <c r="I296" i="7"/>
  <c r="U219" i="2" l="1"/>
  <c r="W218" i="2"/>
  <c r="Y218" i="2" s="1"/>
  <c r="H218" i="2" s="1"/>
  <c r="L218" i="2" s="1"/>
  <c r="P238" i="2"/>
  <c r="Q269" i="2"/>
  <c r="K296" i="2"/>
  <c r="O296" i="2" s="1"/>
  <c r="F297" i="2"/>
  <c r="G296" i="2"/>
  <c r="K274" i="4"/>
  <c r="L274" i="4" s="1"/>
  <c r="O274" i="4" s="1"/>
  <c r="N274" i="4"/>
  <c r="J275" i="4"/>
  <c r="I297" i="7"/>
  <c r="J296" i="7"/>
  <c r="K296" i="7" s="1"/>
  <c r="N296" i="7" s="1"/>
  <c r="M296" i="7"/>
  <c r="P239" i="2" l="1"/>
  <c r="U220" i="2"/>
  <c r="W219" i="2"/>
  <c r="Y219" i="2" s="1"/>
  <c r="H219" i="2" s="1"/>
  <c r="L219" i="2" s="1"/>
  <c r="Q270" i="2"/>
  <c r="K297" i="2"/>
  <c r="O297" i="2" s="1"/>
  <c r="F298" i="2"/>
  <c r="G297" i="2"/>
  <c r="N275" i="4"/>
  <c r="J276" i="4"/>
  <c r="K275" i="4"/>
  <c r="L275" i="4" s="1"/>
  <c r="O275" i="4" s="1"/>
  <c r="J297" i="7"/>
  <c r="K297" i="7" s="1"/>
  <c r="N297" i="7" s="1"/>
  <c r="M297" i="7"/>
  <c r="I298" i="7"/>
  <c r="U221" i="2" l="1"/>
  <c r="W220" i="2"/>
  <c r="Y220" i="2" s="1"/>
  <c r="H220" i="2" s="1"/>
  <c r="L220" i="2" s="1"/>
  <c r="P240" i="2"/>
  <c r="Q271" i="2"/>
  <c r="G298" i="2"/>
  <c r="F299" i="2"/>
  <c r="K298" i="2"/>
  <c r="O298" i="2" s="1"/>
  <c r="J277" i="4"/>
  <c r="K276" i="4"/>
  <c r="L276" i="4" s="1"/>
  <c r="O276" i="4" s="1"/>
  <c r="N276" i="4"/>
  <c r="M298" i="7"/>
  <c r="I299" i="7"/>
  <c r="J298" i="7"/>
  <c r="K298" i="7" s="1"/>
  <c r="N298" i="7" s="1"/>
  <c r="P241" i="2" l="1"/>
  <c r="U222" i="2"/>
  <c r="W221" i="2"/>
  <c r="Y221" i="2" s="1"/>
  <c r="H221" i="2" s="1"/>
  <c r="L221" i="2" s="1"/>
  <c r="Q272" i="2"/>
  <c r="G299" i="2"/>
  <c r="K299" i="2"/>
  <c r="O299" i="2" s="1"/>
  <c r="F300" i="2"/>
  <c r="K277" i="4"/>
  <c r="L277" i="4" s="1"/>
  <c r="O277" i="4" s="1"/>
  <c r="J278" i="4"/>
  <c r="N277" i="4"/>
  <c r="I300" i="7"/>
  <c r="J299" i="7"/>
  <c r="K299" i="7" s="1"/>
  <c r="N299" i="7" s="1"/>
  <c r="M299" i="7"/>
  <c r="U223" i="2" l="1"/>
  <c r="W222" i="2"/>
  <c r="Y222" i="2" s="1"/>
  <c r="H222" i="2" s="1"/>
  <c r="L222" i="2" s="1"/>
  <c r="P242" i="2"/>
  <c r="Q273" i="2"/>
  <c r="K300" i="2"/>
  <c r="O300" i="2" s="1"/>
  <c r="F301" i="2"/>
  <c r="G300" i="2"/>
  <c r="N278" i="4"/>
  <c r="J279" i="4"/>
  <c r="K278" i="4"/>
  <c r="L278" i="4" s="1"/>
  <c r="O278" i="4" s="1"/>
  <c r="J300" i="7"/>
  <c r="K300" i="7" s="1"/>
  <c r="N300" i="7" s="1"/>
  <c r="M300" i="7"/>
  <c r="I301" i="7"/>
  <c r="P243" i="2" l="1"/>
  <c r="U224" i="2"/>
  <c r="W223" i="2"/>
  <c r="Y223" i="2" s="1"/>
  <c r="H223" i="2" s="1"/>
  <c r="L223" i="2" s="1"/>
  <c r="Q274" i="2"/>
  <c r="G301" i="2"/>
  <c r="K301" i="2"/>
  <c r="O301" i="2" s="1"/>
  <c r="F302" i="2"/>
  <c r="N279" i="4"/>
  <c r="K279" i="4"/>
  <c r="L279" i="4" s="1"/>
  <c r="O279" i="4" s="1"/>
  <c r="J280" i="4"/>
  <c r="M301" i="7"/>
  <c r="I302" i="7"/>
  <c r="J301" i="7"/>
  <c r="K301" i="7" s="1"/>
  <c r="N301" i="7" s="1"/>
  <c r="U225" i="2" l="1"/>
  <c r="W224" i="2"/>
  <c r="Y224" i="2" s="1"/>
  <c r="H224" i="2" s="1"/>
  <c r="L224" i="2" s="1"/>
  <c r="P244" i="2"/>
  <c r="Q275" i="2"/>
  <c r="G302" i="2"/>
  <c r="F303" i="2"/>
  <c r="K302" i="2"/>
  <c r="O302" i="2" s="1"/>
  <c r="K280" i="4"/>
  <c r="L280" i="4" s="1"/>
  <c r="O280" i="4" s="1"/>
  <c r="N280" i="4"/>
  <c r="J281" i="4"/>
  <c r="J302" i="7"/>
  <c r="K302" i="7" s="1"/>
  <c r="N302" i="7" s="1"/>
  <c r="M302" i="7"/>
  <c r="I303" i="7"/>
  <c r="P245" i="2" l="1"/>
  <c r="U226" i="2"/>
  <c r="W225" i="2"/>
  <c r="Y225" i="2" s="1"/>
  <c r="H225" i="2" s="1"/>
  <c r="L225" i="2" s="1"/>
  <c r="Q276" i="2"/>
  <c r="G303" i="2"/>
  <c r="K303" i="2"/>
  <c r="O303" i="2" s="1"/>
  <c r="F304" i="2"/>
  <c r="J282" i="4"/>
  <c r="K281" i="4"/>
  <c r="L281" i="4" s="1"/>
  <c r="O281" i="4" s="1"/>
  <c r="N281" i="4"/>
  <c r="J303" i="7"/>
  <c r="K303" i="7" s="1"/>
  <c r="N303" i="7" s="1"/>
  <c r="M303" i="7"/>
  <c r="I304" i="7"/>
  <c r="U227" i="2" l="1"/>
  <c r="W226" i="2"/>
  <c r="Y226" i="2" s="1"/>
  <c r="H226" i="2" s="1"/>
  <c r="L226" i="2" s="1"/>
  <c r="P246" i="2"/>
  <c r="Q277" i="2"/>
  <c r="K304" i="2"/>
  <c r="O304" i="2" s="1"/>
  <c r="G304" i="2"/>
  <c r="F305" i="2"/>
  <c r="K282" i="4"/>
  <c r="L282" i="4" s="1"/>
  <c r="O282" i="4" s="1"/>
  <c r="N282" i="4"/>
  <c r="J283" i="4"/>
  <c r="I305" i="7"/>
  <c r="J304" i="7"/>
  <c r="K304" i="7" s="1"/>
  <c r="N304" i="7" s="1"/>
  <c r="M304" i="7"/>
  <c r="P247" i="2" l="1"/>
  <c r="U228" i="2"/>
  <c r="W227" i="2"/>
  <c r="Y227" i="2" s="1"/>
  <c r="H227" i="2" s="1"/>
  <c r="L227" i="2" s="1"/>
  <c r="Q278" i="2"/>
  <c r="G305" i="2"/>
  <c r="F306" i="2"/>
  <c r="K305" i="2"/>
  <c r="O305" i="2" s="1"/>
  <c r="N283" i="4"/>
  <c r="J284" i="4"/>
  <c r="K283" i="4"/>
  <c r="L283" i="4" s="1"/>
  <c r="O283" i="4" s="1"/>
  <c r="J305" i="7"/>
  <c r="K305" i="7" s="1"/>
  <c r="N305" i="7" s="1"/>
  <c r="M305" i="7"/>
  <c r="I306" i="7"/>
  <c r="U229" i="2" l="1"/>
  <c r="W228" i="2"/>
  <c r="Y228" i="2" s="1"/>
  <c r="H228" i="2" s="1"/>
  <c r="L228" i="2" s="1"/>
  <c r="P248" i="2"/>
  <c r="Q279" i="2"/>
  <c r="G306" i="2"/>
  <c r="F307" i="2"/>
  <c r="K306" i="2"/>
  <c r="O306" i="2" s="1"/>
  <c r="J285" i="4"/>
  <c r="K284" i="4"/>
  <c r="L284" i="4" s="1"/>
  <c r="O284" i="4" s="1"/>
  <c r="N284" i="4"/>
  <c r="M306" i="7"/>
  <c r="I307" i="7"/>
  <c r="J306" i="7"/>
  <c r="K306" i="7" s="1"/>
  <c r="N306" i="7" s="1"/>
  <c r="P249" i="2" l="1"/>
  <c r="U230" i="2"/>
  <c r="W229" i="2"/>
  <c r="Y229" i="2" s="1"/>
  <c r="H229" i="2" s="1"/>
  <c r="L229" i="2" s="1"/>
  <c r="Q280" i="2"/>
  <c r="G307" i="2"/>
  <c r="F308" i="2"/>
  <c r="K307" i="2"/>
  <c r="O307" i="2" s="1"/>
  <c r="J286" i="4"/>
  <c r="K285" i="4"/>
  <c r="L285" i="4" s="1"/>
  <c r="O285" i="4" s="1"/>
  <c r="N285" i="4"/>
  <c r="I308" i="7"/>
  <c r="J307" i="7"/>
  <c r="K307" i="7" s="1"/>
  <c r="N307" i="7" s="1"/>
  <c r="M307" i="7"/>
  <c r="U231" i="2" l="1"/>
  <c r="W230" i="2"/>
  <c r="Y230" i="2" s="1"/>
  <c r="H230" i="2" s="1"/>
  <c r="L230" i="2" s="1"/>
  <c r="P250" i="2"/>
  <c r="Q281" i="2"/>
  <c r="F309" i="2"/>
  <c r="G308" i="2"/>
  <c r="K308" i="2"/>
  <c r="O308" i="2" s="1"/>
  <c r="N286" i="4"/>
  <c r="J287" i="4"/>
  <c r="K286" i="4"/>
  <c r="L286" i="4" s="1"/>
  <c r="O286" i="4" s="1"/>
  <c r="J308" i="7"/>
  <c r="K308" i="7" s="1"/>
  <c r="N308" i="7" s="1"/>
  <c r="M308" i="7"/>
  <c r="I309" i="7"/>
  <c r="P251" i="2" l="1"/>
  <c r="U232" i="2"/>
  <c r="W231" i="2"/>
  <c r="Y231" i="2" s="1"/>
  <c r="H231" i="2" s="1"/>
  <c r="L231" i="2" s="1"/>
  <c r="Q282" i="2"/>
  <c r="G309" i="2"/>
  <c r="K309" i="2"/>
  <c r="O309" i="2" s="1"/>
  <c r="F310" i="2"/>
  <c r="K287" i="4"/>
  <c r="L287" i="4" s="1"/>
  <c r="O287" i="4" s="1"/>
  <c r="N287" i="4"/>
  <c r="J288" i="4"/>
  <c r="M309" i="7"/>
  <c r="I310" i="7"/>
  <c r="J309" i="7"/>
  <c r="K309" i="7" s="1"/>
  <c r="N309" i="7" s="1"/>
  <c r="U233" i="2" l="1"/>
  <c r="W232" i="2"/>
  <c r="Y232" i="2" s="1"/>
  <c r="H232" i="2" s="1"/>
  <c r="L232" i="2" s="1"/>
  <c r="P252" i="2"/>
  <c r="Q283" i="2"/>
  <c r="K310" i="2"/>
  <c r="O310" i="2" s="1"/>
  <c r="F311" i="2"/>
  <c r="G310" i="2"/>
  <c r="K288" i="4"/>
  <c r="L288" i="4" s="1"/>
  <c r="O288" i="4" s="1"/>
  <c r="N288" i="4"/>
  <c r="J289" i="4"/>
  <c r="J310" i="7"/>
  <c r="K310" i="7" s="1"/>
  <c r="N310" i="7" s="1"/>
  <c r="M310" i="7"/>
  <c r="I311" i="7"/>
  <c r="P253" i="2" l="1"/>
  <c r="U234" i="2"/>
  <c r="W233" i="2"/>
  <c r="Y233" i="2" s="1"/>
  <c r="H233" i="2" s="1"/>
  <c r="L233" i="2" s="1"/>
  <c r="Q284" i="2"/>
  <c r="K311" i="2"/>
  <c r="O311" i="2" s="1"/>
  <c r="F312" i="2"/>
  <c r="G311" i="2"/>
  <c r="J290" i="4"/>
  <c r="K289" i="4"/>
  <c r="L289" i="4" s="1"/>
  <c r="O289" i="4" s="1"/>
  <c r="N289" i="4"/>
  <c r="J311" i="7"/>
  <c r="K311" i="7" s="1"/>
  <c r="N311" i="7" s="1"/>
  <c r="M311" i="7"/>
  <c r="I312" i="7"/>
  <c r="U235" i="2" l="1"/>
  <c r="W234" i="2"/>
  <c r="Y234" i="2" s="1"/>
  <c r="H234" i="2" s="1"/>
  <c r="L234" i="2" s="1"/>
  <c r="P254" i="2"/>
  <c r="Q285" i="2"/>
  <c r="G312" i="2"/>
  <c r="K312" i="2"/>
  <c r="O312" i="2" s="1"/>
  <c r="F313" i="2"/>
  <c r="K290" i="4"/>
  <c r="L290" i="4" s="1"/>
  <c r="O290" i="4" s="1"/>
  <c r="N290" i="4"/>
  <c r="J291" i="4"/>
  <c r="I313" i="7"/>
  <c r="J312" i="7"/>
  <c r="K312" i="7" s="1"/>
  <c r="N312" i="7" s="1"/>
  <c r="M312" i="7"/>
  <c r="P255" i="2" l="1"/>
  <c r="U236" i="2"/>
  <c r="W235" i="2"/>
  <c r="Y235" i="2" s="1"/>
  <c r="H235" i="2" s="1"/>
  <c r="L235" i="2" s="1"/>
  <c r="Q286" i="2"/>
  <c r="G313" i="2"/>
  <c r="K313" i="2"/>
  <c r="O313" i="2" s="1"/>
  <c r="F314" i="2"/>
  <c r="N291" i="4"/>
  <c r="J292" i="4"/>
  <c r="K291" i="4"/>
  <c r="L291" i="4" s="1"/>
  <c r="O291" i="4" s="1"/>
  <c r="J313" i="7"/>
  <c r="K313" i="7" s="1"/>
  <c r="N313" i="7" s="1"/>
  <c r="M313" i="7"/>
  <c r="I314" i="7"/>
  <c r="U237" i="2" l="1"/>
  <c r="W236" i="2"/>
  <c r="Y236" i="2" s="1"/>
  <c r="H236" i="2" s="1"/>
  <c r="L236" i="2" s="1"/>
  <c r="P256" i="2"/>
  <c r="Q287" i="2"/>
  <c r="K314" i="2"/>
  <c r="O314" i="2" s="1"/>
  <c r="G314" i="2"/>
  <c r="F315" i="2"/>
  <c r="J293" i="4"/>
  <c r="K292" i="4"/>
  <c r="L292" i="4" s="1"/>
  <c r="O292" i="4" s="1"/>
  <c r="N292" i="4"/>
  <c r="M314" i="7"/>
  <c r="I315" i="7"/>
  <c r="J314" i="7"/>
  <c r="K314" i="7" s="1"/>
  <c r="N314" i="7" s="1"/>
  <c r="P257" i="2" l="1"/>
  <c r="U238" i="2"/>
  <c r="W237" i="2"/>
  <c r="Y237" i="2" s="1"/>
  <c r="H237" i="2" s="1"/>
  <c r="L237" i="2" s="1"/>
  <c r="Q288" i="2"/>
  <c r="K315" i="2"/>
  <c r="O315" i="2" s="1"/>
  <c r="F316" i="2"/>
  <c r="G315" i="2"/>
  <c r="J294" i="4"/>
  <c r="K293" i="4"/>
  <c r="L293" i="4" s="1"/>
  <c r="O293" i="4" s="1"/>
  <c r="N293" i="4"/>
  <c r="I316" i="7"/>
  <c r="J315" i="7"/>
  <c r="K315" i="7" s="1"/>
  <c r="N315" i="7" s="1"/>
  <c r="M315" i="7"/>
  <c r="U239" i="2" l="1"/>
  <c r="W238" i="2"/>
  <c r="Y238" i="2" s="1"/>
  <c r="H238" i="2" s="1"/>
  <c r="L238" i="2" s="1"/>
  <c r="P258" i="2"/>
  <c r="Q289" i="2"/>
  <c r="G316" i="2"/>
  <c r="F317" i="2"/>
  <c r="K316" i="2"/>
  <c r="O316" i="2" s="1"/>
  <c r="N294" i="4"/>
  <c r="J295" i="4"/>
  <c r="K294" i="4"/>
  <c r="L294" i="4" s="1"/>
  <c r="O294" i="4" s="1"/>
  <c r="J316" i="7"/>
  <c r="K316" i="7" s="1"/>
  <c r="N316" i="7" s="1"/>
  <c r="M316" i="7"/>
  <c r="I317" i="7"/>
  <c r="P259" i="2" l="1"/>
  <c r="U240" i="2"/>
  <c r="W239" i="2"/>
  <c r="Y239" i="2" s="1"/>
  <c r="H239" i="2" s="1"/>
  <c r="L239" i="2" s="1"/>
  <c r="Q290" i="2"/>
  <c r="G317" i="2"/>
  <c r="K317" i="2"/>
  <c r="O317" i="2" s="1"/>
  <c r="F318" i="2"/>
  <c r="K295" i="4"/>
  <c r="L295" i="4" s="1"/>
  <c r="O295" i="4" s="1"/>
  <c r="N295" i="4"/>
  <c r="J296" i="4"/>
  <c r="M317" i="7"/>
  <c r="I318" i="7"/>
  <c r="J317" i="7"/>
  <c r="K317" i="7" s="1"/>
  <c r="N317" i="7" s="1"/>
  <c r="U241" i="2" l="1"/>
  <c r="W240" i="2"/>
  <c r="Y240" i="2" s="1"/>
  <c r="H240" i="2" s="1"/>
  <c r="L240" i="2" s="1"/>
  <c r="P260" i="2"/>
  <c r="Q291" i="2"/>
  <c r="K318" i="2"/>
  <c r="O318" i="2" s="1"/>
  <c r="G318" i="2"/>
  <c r="F319" i="2"/>
  <c r="K296" i="4"/>
  <c r="L296" i="4" s="1"/>
  <c r="O296" i="4" s="1"/>
  <c r="N296" i="4"/>
  <c r="J297" i="4"/>
  <c r="J318" i="7"/>
  <c r="K318" i="7" s="1"/>
  <c r="N318" i="7" s="1"/>
  <c r="M318" i="7"/>
  <c r="I319" i="7"/>
  <c r="P261" i="2" l="1"/>
  <c r="U242" i="2"/>
  <c r="W241" i="2"/>
  <c r="Y241" i="2" s="1"/>
  <c r="H241" i="2" s="1"/>
  <c r="L241" i="2" s="1"/>
  <c r="Q292" i="2"/>
  <c r="G319" i="2"/>
  <c r="K319" i="2"/>
  <c r="O319" i="2" s="1"/>
  <c r="F320" i="2"/>
  <c r="K297" i="4"/>
  <c r="L297" i="4" s="1"/>
  <c r="O297" i="4" s="1"/>
  <c r="N297" i="4"/>
  <c r="J319" i="7"/>
  <c r="K319" i="7" s="1"/>
  <c r="N319" i="7" s="1"/>
  <c r="M319" i="7"/>
  <c r="I320" i="7"/>
  <c r="U243" i="2" l="1"/>
  <c r="W242" i="2"/>
  <c r="Y242" i="2" s="1"/>
  <c r="H242" i="2" s="1"/>
  <c r="L242" i="2" s="1"/>
  <c r="P262" i="2"/>
  <c r="Q293" i="2"/>
  <c r="G320" i="2"/>
  <c r="K320" i="2"/>
  <c r="O320" i="2" s="1"/>
  <c r="F321" i="2"/>
  <c r="I321" i="7"/>
  <c r="J320" i="7"/>
  <c r="K320" i="7" s="1"/>
  <c r="N320" i="7" s="1"/>
  <c r="M320" i="7"/>
  <c r="P263" i="2" l="1"/>
  <c r="U244" i="2"/>
  <c r="W243" i="2"/>
  <c r="Y243" i="2" s="1"/>
  <c r="H243" i="2" s="1"/>
  <c r="L243" i="2" s="1"/>
  <c r="Q294" i="2"/>
  <c r="G321" i="2"/>
  <c r="K321" i="2"/>
  <c r="O321" i="2" s="1"/>
  <c r="F322" i="2"/>
  <c r="J321" i="7"/>
  <c r="K321" i="7" s="1"/>
  <c r="N321" i="7" s="1"/>
  <c r="M321" i="7"/>
  <c r="I322" i="7"/>
  <c r="U245" i="2" l="1"/>
  <c r="W244" i="2"/>
  <c r="Y244" i="2" s="1"/>
  <c r="H244" i="2" s="1"/>
  <c r="L244" i="2" s="1"/>
  <c r="P264" i="2"/>
  <c r="Q295" i="2"/>
  <c r="K322" i="2"/>
  <c r="O322" i="2" s="1"/>
  <c r="F323" i="2"/>
  <c r="G322" i="2"/>
  <c r="M322" i="7"/>
  <c r="I323" i="7"/>
  <c r="J322" i="7"/>
  <c r="K322" i="7" s="1"/>
  <c r="N322" i="7" s="1"/>
  <c r="P265" i="2" l="1"/>
  <c r="U246" i="2"/>
  <c r="W245" i="2"/>
  <c r="Y245" i="2" s="1"/>
  <c r="H245" i="2" s="1"/>
  <c r="L245" i="2" s="1"/>
  <c r="Q296" i="2"/>
  <c r="G323" i="2"/>
  <c r="F324" i="2"/>
  <c r="K323" i="2"/>
  <c r="O323" i="2" s="1"/>
  <c r="I324" i="7"/>
  <c r="J323" i="7"/>
  <c r="K323" i="7" s="1"/>
  <c r="N323" i="7" s="1"/>
  <c r="M323" i="7"/>
  <c r="U247" i="2" l="1"/>
  <c r="W246" i="2"/>
  <c r="Y246" i="2" s="1"/>
  <c r="H246" i="2" s="1"/>
  <c r="L246" i="2" s="1"/>
  <c r="P266" i="2"/>
  <c r="Q297" i="2"/>
  <c r="F325" i="2"/>
  <c r="K324" i="2"/>
  <c r="O324" i="2" s="1"/>
  <c r="G324" i="2"/>
  <c r="J324" i="7"/>
  <c r="K324" i="7" s="1"/>
  <c r="N324" i="7" s="1"/>
  <c r="M324" i="7"/>
  <c r="I325" i="7"/>
  <c r="P267" i="2" l="1"/>
  <c r="U248" i="2"/>
  <c r="W247" i="2"/>
  <c r="Y247" i="2" s="1"/>
  <c r="H247" i="2" s="1"/>
  <c r="L247" i="2" s="1"/>
  <c r="Q298" i="2"/>
  <c r="G325" i="2"/>
  <c r="K325" i="2"/>
  <c r="O325" i="2" s="1"/>
  <c r="F326" i="2"/>
  <c r="M325" i="7"/>
  <c r="I326" i="7"/>
  <c r="J325" i="7"/>
  <c r="K325" i="7" s="1"/>
  <c r="N325" i="7" s="1"/>
  <c r="U249" i="2" l="1"/>
  <c r="W248" i="2"/>
  <c r="Y248" i="2" s="1"/>
  <c r="H248" i="2" s="1"/>
  <c r="L248" i="2" s="1"/>
  <c r="P268" i="2"/>
  <c r="Q299" i="2"/>
  <c r="K326" i="2"/>
  <c r="O326" i="2" s="1"/>
  <c r="F327" i="2"/>
  <c r="G326" i="2"/>
  <c r="J326" i="7"/>
  <c r="K326" i="7" s="1"/>
  <c r="N326" i="7" s="1"/>
  <c r="M326" i="7"/>
  <c r="I327" i="7"/>
  <c r="P269" i="2" l="1"/>
  <c r="U250" i="2"/>
  <c r="W249" i="2"/>
  <c r="Y249" i="2" s="1"/>
  <c r="H249" i="2" s="1"/>
  <c r="L249" i="2" s="1"/>
  <c r="Q300" i="2"/>
  <c r="G327" i="2"/>
  <c r="F328" i="2"/>
  <c r="K327" i="2"/>
  <c r="O327" i="2" s="1"/>
  <c r="J327" i="7"/>
  <c r="K327" i="7" s="1"/>
  <c r="N327" i="7" s="1"/>
  <c r="M327" i="7"/>
  <c r="I328" i="7"/>
  <c r="U251" i="2" l="1"/>
  <c r="W250" i="2"/>
  <c r="Y250" i="2" s="1"/>
  <c r="H250" i="2" s="1"/>
  <c r="L250" i="2" s="1"/>
  <c r="P270" i="2"/>
  <c r="Q301" i="2"/>
  <c r="F329" i="2"/>
  <c r="K328" i="2"/>
  <c r="O328" i="2" s="1"/>
  <c r="G328" i="2"/>
  <c r="I329" i="7"/>
  <c r="J328" i="7"/>
  <c r="K328" i="7" s="1"/>
  <c r="N328" i="7" s="1"/>
  <c r="M328" i="7"/>
  <c r="P271" i="2" l="1"/>
  <c r="U252" i="2"/>
  <c r="W251" i="2"/>
  <c r="Y251" i="2" s="1"/>
  <c r="H251" i="2" s="1"/>
  <c r="L251" i="2" s="1"/>
  <c r="Q302" i="2"/>
  <c r="G329" i="2"/>
  <c r="K329" i="2"/>
  <c r="O329" i="2" s="1"/>
  <c r="F330" i="2"/>
  <c r="J329" i="7"/>
  <c r="K329" i="7" s="1"/>
  <c r="N329" i="7" s="1"/>
  <c r="M329" i="7"/>
  <c r="I330" i="7"/>
  <c r="U253" i="2" l="1"/>
  <c r="W252" i="2"/>
  <c r="Y252" i="2" s="1"/>
  <c r="H252" i="2" s="1"/>
  <c r="L252" i="2" s="1"/>
  <c r="P272" i="2"/>
  <c r="Q303" i="2"/>
  <c r="K330" i="2"/>
  <c r="O330" i="2" s="1"/>
  <c r="F331" i="2"/>
  <c r="G330" i="2"/>
  <c r="M330" i="7"/>
  <c r="I331" i="7"/>
  <c r="J330" i="7"/>
  <c r="K330" i="7" s="1"/>
  <c r="N330" i="7" s="1"/>
  <c r="P273" i="2" l="1"/>
  <c r="U254" i="2"/>
  <c r="W253" i="2"/>
  <c r="Y253" i="2" s="1"/>
  <c r="H253" i="2" s="1"/>
  <c r="L253" i="2" s="1"/>
  <c r="Q304" i="2"/>
  <c r="G331" i="2"/>
  <c r="K331" i="2"/>
  <c r="O331" i="2" s="1"/>
  <c r="F332" i="2"/>
  <c r="I332" i="7"/>
  <c r="J331" i="7"/>
  <c r="K331" i="7" s="1"/>
  <c r="N331" i="7" s="1"/>
  <c r="M331" i="7"/>
  <c r="U255" i="2" l="1"/>
  <c r="W254" i="2"/>
  <c r="Y254" i="2" s="1"/>
  <c r="H254" i="2" s="1"/>
  <c r="L254" i="2" s="1"/>
  <c r="P274" i="2"/>
  <c r="Q305" i="2"/>
  <c r="K332" i="2"/>
  <c r="O332" i="2" s="1"/>
  <c r="F333" i="2"/>
  <c r="G332" i="2"/>
  <c r="J332" i="7"/>
  <c r="K332" i="7" s="1"/>
  <c r="N332" i="7" s="1"/>
  <c r="M332" i="7"/>
  <c r="I333" i="7"/>
  <c r="U256" i="2" l="1"/>
  <c r="W255" i="2"/>
  <c r="Y255" i="2" s="1"/>
  <c r="H255" i="2" s="1"/>
  <c r="L255" i="2" s="1"/>
  <c r="P275" i="2"/>
  <c r="Q306" i="2"/>
  <c r="G333" i="2"/>
  <c r="K333" i="2"/>
  <c r="O333" i="2" s="1"/>
  <c r="F334" i="2"/>
  <c r="M333" i="7"/>
  <c r="I334" i="7"/>
  <c r="J333" i="7"/>
  <c r="K333" i="7" s="1"/>
  <c r="N333" i="7" s="1"/>
  <c r="P276" i="2" l="1"/>
  <c r="U257" i="2"/>
  <c r="W256" i="2"/>
  <c r="Y256" i="2" s="1"/>
  <c r="H256" i="2" s="1"/>
  <c r="L256" i="2" s="1"/>
  <c r="Q307" i="2"/>
  <c r="K334" i="2"/>
  <c r="O334" i="2" s="1"/>
  <c r="G334" i="2"/>
  <c r="F335" i="2"/>
  <c r="J334" i="7"/>
  <c r="K334" i="7" s="1"/>
  <c r="N334" i="7" s="1"/>
  <c r="M334" i="7"/>
  <c r="I335" i="7"/>
  <c r="U258" i="2" l="1"/>
  <c r="W257" i="2"/>
  <c r="Y257" i="2" s="1"/>
  <c r="H257" i="2" s="1"/>
  <c r="L257" i="2" s="1"/>
  <c r="P277" i="2"/>
  <c r="Q308" i="2"/>
  <c r="K335" i="2"/>
  <c r="O335" i="2" s="1"/>
  <c r="F336" i="2"/>
  <c r="G335" i="2"/>
  <c r="J335" i="7"/>
  <c r="K335" i="7" s="1"/>
  <c r="N335" i="7" s="1"/>
  <c r="M335" i="7"/>
  <c r="I336" i="7"/>
  <c r="P278" i="2" l="1"/>
  <c r="U259" i="2"/>
  <c r="W258" i="2"/>
  <c r="Y258" i="2" s="1"/>
  <c r="H258" i="2" s="1"/>
  <c r="L258" i="2" s="1"/>
  <c r="Q309" i="2"/>
  <c r="K336" i="2"/>
  <c r="O336" i="2" s="1"/>
  <c r="F337" i="2"/>
  <c r="G336" i="2"/>
  <c r="I337" i="7"/>
  <c r="J336" i="7"/>
  <c r="K336" i="7" s="1"/>
  <c r="N336" i="7" s="1"/>
  <c r="M336" i="7"/>
  <c r="U260" i="2" l="1"/>
  <c r="W259" i="2"/>
  <c r="Y259" i="2" s="1"/>
  <c r="H259" i="2" s="1"/>
  <c r="L259" i="2" s="1"/>
  <c r="P279" i="2"/>
  <c r="Q310" i="2"/>
  <c r="G337" i="2"/>
  <c r="F338" i="2"/>
  <c r="K337" i="2"/>
  <c r="O337" i="2" s="1"/>
  <c r="J337" i="7"/>
  <c r="K337" i="7" s="1"/>
  <c r="N337" i="7" s="1"/>
  <c r="M337" i="7"/>
  <c r="I338" i="7"/>
  <c r="P280" i="2" l="1"/>
  <c r="U261" i="2"/>
  <c r="W260" i="2"/>
  <c r="Y260" i="2" s="1"/>
  <c r="H260" i="2" s="1"/>
  <c r="L260" i="2" s="1"/>
  <c r="Q311" i="2"/>
  <c r="K338" i="2"/>
  <c r="O338" i="2" s="1"/>
  <c r="F339" i="2"/>
  <c r="G338" i="2"/>
  <c r="M338" i="7"/>
  <c r="I339" i="7"/>
  <c r="J338" i="7"/>
  <c r="K338" i="7" s="1"/>
  <c r="N338" i="7" s="1"/>
  <c r="P281" i="2" l="1"/>
  <c r="U262" i="2"/>
  <c r="W261" i="2"/>
  <c r="Y261" i="2" s="1"/>
  <c r="H261" i="2" s="1"/>
  <c r="L261" i="2" s="1"/>
  <c r="Q312" i="2"/>
  <c r="G339" i="2"/>
  <c r="K339" i="2"/>
  <c r="O339" i="2" s="1"/>
  <c r="I340" i="7"/>
  <c r="J339" i="7"/>
  <c r="K339" i="7" s="1"/>
  <c r="N339" i="7" s="1"/>
  <c r="M339" i="7"/>
  <c r="U263" i="2" l="1"/>
  <c r="W262" i="2"/>
  <c r="Y262" i="2" s="1"/>
  <c r="H262" i="2" s="1"/>
  <c r="L262" i="2" s="1"/>
  <c r="P282" i="2"/>
  <c r="Q313" i="2"/>
  <c r="J340" i="7"/>
  <c r="K340" i="7" s="1"/>
  <c r="N340" i="7" s="1"/>
  <c r="M340" i="7"/>
  <c r="I341" i="7"/>
  <c r="P283" i="2" l="1"/>
  <c r="U264" i="2"/>
  <c r="W263" i="2"/>
  <c r="Y263" i="2" s="1"/>
  <c r="H263" i="2" s="1"/>
  <c r="L263" i="2" s="1"/>
  <c r="Q314" i="2"/>
  <c r="M341" i="7"/>
  <c r="I342" i="7"/>
  <c r="J341" i="7"/>
  <c r="K341" i="7" s="1"/>
  <c r="N341" i="7" s="1"/>
  <c r="U265" i="2" l="1"/>
  <c r="W264" i="2"/>
  <c r="Y264" i="2" s="1"/>
  <c r="H264" i="2" s="1"/>
  <c r="L264" i="2" s="1"/>
  <c r="P284" i="2"/>
  <c r="Q315" i="2"/>
  <c r="J342" i="7"/>
  <c r="K342" i="7" s="1"/>
  <c r="N342" i="7" s="1"/>
  <c r="M342" i="7"/>
  <c r="I343" i="7"/>
  <c r="P285" i="2" l="1"/>
  <c r="U266" i="2"/>
  <c r="W265" i="2"/>
  <c r="Y265" i="2" s="1"/>
  <c r="H265" i="2" s="1"/>
  <c r="L265" i="2" s="1"/>
  <c r="Q316" i="2"/>
  <c r="J343" i="7"/>
  <c r="K343" i="7" s="1"/>
  <c r="N343" i="7" s="1"/>
  <c r="M343" i="7"/>
  <c r="I344" i="7"/>
  <c r="U267" i="2" l="1"/>
  <c r="W266" i="2"/>
  <c r="Y266" i="2" s="1"/>
  <c r="H266" i="2" s="1"/>
  <c r="L266" i="2" s="1"/>
  <c r="P286" i="2"/>
  <c r="Q317" i="2"/>
  <c r="I345" i="7"/>
  <c r="J344" i="7"/>
  <c r="K344" i="7" s="1"/>
  <c r="N344" i="7" s="1"/>
  <c r="M344" i="7"/>
  <c r="P287" i="2" l="1"/>
  <c r="U268" i="2"/>
  <c r="W267" i="2"/>
  <c r="Y267" i="2" s="1"/>
  <c r="H267" i="2" s="1"/>
  <c r="L267" i="2" s="1"/>
  <c r="Q318" i="2"/>
  <c r="J345" i="7"/>
  <c r="K345" i="7" s="1"/>
  <c r="N345" i="7" s="1"/>
  <c r="M345" i="7"/>
  <c r="I346" i="7"/>
  <c r="U269" i="2" l="1"/>
  <c r="W268" i="2"/>
  <c r="Y268" i="2" s="1"/>
  <c r="H268" i="2" s="1"/>
  <c r="L268" i="2" s="1"/>
  <c r="P288" i="2"/>
  <c r="Q319" i="2"/>
  <c r="M346" i="7"/>
  <c r="I347" i="7"/>
  <c r="J346" i="7"/>
  <c r="K346" i="7" s="1"/>
  <c r="N346" i="7" s="1"/>
  <c r="P289" i="2" l="1"/>
  <c r="U270" i="2"/>
  <c r="W269" i="2"/>
  <c r="Y269" i="2" s="1"/>
  <c r="H269" i="2" s="1"/>
  <c r="L269" i="2" s="1"/>
  <c r="Q320" i="2"/>
  <c r="M347" i="7"/>
  <c r="I348" i="7"/>
  <c r="J347" i="7"/>
  <c r="K347" i="7" s="1"/>
  <c r="N347" i="7" s="1"/>
  <c r="U271" i="2" l="1"/>
  <c r="W270" i="2"/>
  <c r="Y270" i="2" s="1"/>
  <c r="H270" i="2" s="1"/>
  <c r="L270" i="2" s="1"/>
  <c r="P290" i="2"/>
  <c r="Q321" i="2"/>
  <c r="M348" i="7"/>
  <c r="J348" i="7"/>
  <c r="K348" i="7" s="1"/>
  <c r="N348" i="7" s="1"/>
  <c r="I349" i="7"/>
  <c r="P291" i="2" l="1"/>
  <c r="U272" i="2"/>
  <c r="W271" i="2"/>
  <c r="Y271" i="2" s="1"/>
  <c r="H271" i="2" s="1"/>
  <c r="L271" i="2" s="1"/>
  <c r="Q322" i="2"/>
  <c r="I350" i="7"/>
  <c r="M349" i="7"/>
  <c r="J349" i="7"/>
  <c r="K349" i="7" s="1"/>
  <c r="N349" i="7" s="1"/>
  <c r="U273" i="2" l="1"/>
  <c r="W272" i="2"/>
  <c r="Y272" i="2" s="1"/>
  <c r="H272" i="2" s="1"/>
  <c r="L272" i="2" s="1"/>
  <c r="P292" i="2"/>
  <c r="Q323" i="2"/>
  <c r="J350" i="7"/>
  <c r="K350" i="7" s="1"/>
  <c r="N350" i="7" s="1"/>
  <c r="M350" i="7"/>
  <c r="I351" i="7"/>
  <c r="P293" i="2" l="1"/>
  <c r="U274" i="2"/>
  <c r="W273" i="2"/>
  <c r="Y273" i="2" s="1"/>
  <c r="H273" i="2" s="1"/>
  <c r="L273" i="2" s="1"/>
  <c r="Q324" i="2"/>
  <c r="M351" i="7"/>
  <c r="I352" i="7"/>
  <c r="J351" i="7"/>
  <c r="K351" i="7" s="1"/>
  <c r="N351" i="7" s="1"/>
  <c r="U275" i="2" l="1"/>
  <c r="W274" i="2"/>
  <c r="Y274" i="2" s="1"/>
  <c r="H274" i="2" s="1"/>
  <c r="L274" i="2" s="1"/>
  <c r="P294" i="2"/>
  <c r="Q325" i="2"/>
  <c r="J352" i="7"/>
  <c r="K352" i="7" s="1"/>
  <c r="N352" i="7" s="1"/>
  <c r="M352" i="7"/>
  <c r="I353" i="7"/>
  <c r="P295" i="2" l="1"/>
  <c r="U276" i="2"/>
  <c r="W275" i="2"/>
  <c r="Y275" i="2" s="1"/>
  <c r="H275" i="2" s="1"/>
  <c r="L275" i="2" s="1"/>
  <c r="Q326" i="2"/>
  <c r="J353" i="7"/>
  <c r="K353" i="7" s="1"/>
  <c r="N353" i="7" s="1"/>
  <c r="I354" i="7"/>
  <c r="M353" i="7"/>
  <c r="U277" i="2" l="1"/>
  <c r="W276" i="2"/>
  <c r="Y276" i="2" s="1"/>
  <c r="H276" i="2" s="1"/>
  <c r="L276" i="2" s="1"/>
  <c r="P296" i="2"/>
  <c r="Q327" i="2"/>
  <c r="I355" i="7"/>
  <c r="J354" i="7"/>
  <c r="K354" i="7" s="1"/>
  <c r="N354" i="7" s="1"/>
  <c r="M354" i="7"/>
  <c r="P297" i="2" l="1"/>
  <c r="U278" i="2"/>
  <c r="W277" i="2"/>
  <c r="Y277" i="2" s="1"/>
  <c r="H277" i="2" s="1"/>
  <c r="L277" i="2" s="1"/>
  <c r="Q328" i="2"/>
  <c r="I356" i="7"/>
  <c r="M355" i="7"/>
  <c r="J355" i="7"/>
  <c r="K355" i="7" s="1"/>
  <c r="N355" i="7" s="1"/>
  <c r="U279" i="2" l="1"/>
  <c r="W278" i="2"/>
  <c r="Y278" i="2" s="1"/>
  <c r="H278" i="2" s="1"/>
  <c r="L278" i="2" s="1"/>
  <c r="P298" i="2"/>
  <c r="Q329" i="2"/>
  <c r="M356" i="7"/>
  <c r="J356" i="7"/>
  <c r="K356" i="7" s="1"/>
  <c r="N356" i="7" s="1"/>
  <c r="I357" i="7"/>
  <c r="P299" i="2" l="1"/>
  <c r="U280" i="2"/>
  <c r="W279" i="2"/>
  <c r="Y279" i="2" s="1"/>
  <c r="H279" i="2" s="1"/>
  <c r="L279" i="2" s="1"/>
  <c r="Q330" i="2"/>
  <c r="I358" i="7"/>
  <c r="J357" i="7"/>
  <c r="K357" i="7" s="1"/>
  <c r="N357" i="7" s="1"/>
  <c r="M357" i="7"/>
  <c r="U281" i="2" l="1"/>
  <c r="W280" i="2"/>
  <c r="Y280" i="2" s="1"/>
  <c r="H280" i="2" s="1"/>
  <c r="L280" i="2" s="1"/>
  <c r="P300" i="2"/>
  <c r="Q331" i="2"/>
  <c r="J358" i="7"/>
  <c r="K358" i="7" s="1"/>
  <c r="N358" i="7" s="1"/>
  <c r="M358" i="7"/>
  <c r="I359" i="7"/>
  <c r="P301" i="2" l="1"/>
  <c r="U282" i="2"/>
  <c r="W281" i="2"/>
  <c r="Y281" i="2" s="1"/>
  <c r="H281" i="2" s="1"/>
  <c r="L281" i="2" s="1"/>
  <c r="Q332" i="2"/>
  <c r="M359" i="7"/>
  <c r="I360" i="7"/>
  <c r="J359" i="7"/>
  <c r="K359" i="7" s="1"/>
  <c r="N359" i="7" s="1"/>
  <c r="U283" i="2" l="1"/>
  <c r="W282" i="2"/>
  <c r="Y282" i="2" s="1"/>
  <c r="H282" i="2" s="1"/>
  <c r="L282" i="2" s="1"/>
  <c r="P302" i="2"/>
  <c r="Q333" i="2"/>
  <c r="M360" i="7"/>
  <c r="J360" i="7"/>
  <c r="K360" i="7" s="1"/>
  <c r="N360" i="7" s="1"/>
  <c r="I361" i="7"/>
  <c r="P303" i="2" l="1"/>
  <c r="U284" i="2"/>
  <c r="W283" i="2"/>
  <c r="Y283" i="2" s="1"/>
  <c r="H283" i="2" s="1"/>
  <c r="L283" i="2" s="1"/>
  <c r="Q334" i="2"/>
  <c r="J361" i="7"/>
  <c r="K361" i="7" s="1"/>
  <c r="N361" i="7" s="1"/>
  <c r="M361" i="7"/>
  <c r="I362" i="7"/>
  <c r="U285" i="2" l="1"/>
  <c r="W284" i="2"/>
  <c r="Y284" i="2" s="1"/>
  <c r="H284" i="2" s="1"/>
  <c r="L284" i="2" s="1"/>
  <c r="P304" i="2"/>
  <c r="Q335" i="2"/>
  <c r="I363" i="7"/>
  <c r="J362" i="7"/>
  <c r="K362" i="7" s="1"/>
  <c r="N362" i="7" s="1"/>
  <c r="M362" i="7"/>
  <c r="P305" i="2" l="1"/>
  <c r="U286" i="2"/>
  <c r="W285" i="2"/>
  <c r="Y285" i="2" s="1"/>
  <c r="H285" i="2" s="1"/>
  <c r="L285" i="2" s="1"/>
  <c r="Q336" i="2"/>
  <c r="J363" i="7"/>
  <c r="K363" i="7" s="1"/>
  <c r="N363" i="7" s="1"/>
  <c r="M363" i="7"/>
  <c r="I364" i="7"/>
  <c r="U287" i="2" l="1"/>
  <c r="W286" i="2"/>
  <c r="Y286" i="2" s="1"/>
  <c r="H286" i="2" s="1"/>
  <c r="L286" i="2" s="1"/>
  <c r="P306" i="2"/>
  <c r="Q337" i="2"/>
  <c r="M364" i="7"/>
  <c r="I365" i="7"/>
  <c r="J364" i="7"/>
  <c r="K364" i="7" s="1"/>
  <c r="N364" i="7" s="1"/>
  <c r="P307" i="2" l="1"/>
  <c r="U288" i="2"/>
  <c r="W287" i="2"/>
  <c r="Y287" i="2" s="1"/>
  <c r="H287" i="2" s="1"/>
  <c r="L287" i="2" s="1"/>
  <c r="Q338" i="2"/>
  <c r="I366" i="7"/>
  <c r="J365" i="7"/>
  <c r="K365" i="7" s="1"/>
  <c r="N365" i="7" s="1"/>
  <c r="M365" i="7"/>
  <c r="U289" i="2" l="1"/>
  <c r="W288" i="2"/>
  <c r="Y288" i="2" s="1"/>
  <c r="H288" i="2" s="1"/>
  <c r="L288" i="2" s="1"/>
  <c r="P308" i="2"/>
  <c r="Q339" i="2"/>
  <c r="J366" i="7"/>
  <c r="K366" i="7" s="1"/>
  <c r="N366" i="7" s="1"/>
  <c r="I367" i="7"/>
  <c r="M366" i="7"/>
  <c r="P309" i="2" l="1"/>
  <c r="U290" i="2"/>
  <c r="W289" i="2"/>
  <c r="Y289" i="2" s="1"/>
  <c r="H289" i="2" s="1"/>
  <c r="L289" i="2" s="1"/>
  <c r="M367" i="7"/>
  <c r="J367" i="7"/>
  <c r="K367" i="7" s="1"/>
  <c r="N367" i="7" s="1"/>
  <c r="I368" i="7"/>
  <c r="U291" i="2" l="1"/>
  <c r="W290" i="2"/>
  <c r="Y290" i="2" s="1"/>
  <c r="H290" i="2" s="1"/>
  <c r="L290" i="2" s="1"/>
  <c r="P310" i="2"/>
  <c r="I369" i="7"/>
  <c r="M368" i="7"/>
  <c r="J368" i="7"/>
  <c r="K368" i="7" s="1"/>
  <c r="N368" i="7" s="1"/>
  <c r="P311" i="2" l="1"/>
  <c r="U292" i="2"/>
  <c r="W291" i="2"/>
  <c r="Y291" i="2" s="1"/>
  <c r="H291" i="2" s="1"/>
  <c r="L291" i="2" s="1"/>
  <c r="J369" i="7"/>
  <c r="K369" i="7" s="1"/>
  <c r="N369" i="7" s="1"/>
  <c r="M369" i="7"/>
  <c r="I370" i="7"/>
  <c r="U293" i="2" l="1"/>
  <c r="W292" i="2"/>
  <c r="Y292" i="2" s="1"/>
  <c r="H292" i="2" s="1"/>
  <c r="L292" i="2" s="1"/>
  <c r="P312" i="2"/>
  <c r="I371" i="7"/>
  <c r="J370" i="7"/>
  <c r="K370" i="7" s="1"/>
  <c r="N370" i="7" s="1"/>
  <c r="M370" i="7"/>
  <c r="P313" i="2" l="1"/>
  <c r="U294" i="2"/>
  <c r="W293" i="2"/>
  <c r="Y293" i="2" s="1"/>
  <c r="H293" i="2" s="1"/>
  <c r="L293" i="2" s="1"/>
  <c r="J371" i="7"/>
  <c r="K371" i="7" s="1"/>
  <c r="N371" i="7" s="1"/>
  <c r="M371" i="7"/>
  <c r="I372" i="7"/>
  <c r="U295" i="2" l="1"/>
  <c r="W294" i="2"/>
  <c r="Y294" i="2" s="1"/>
  <c r="H294" i="2" s="1"/>
  <c r="L294" i="2" s="1"/>
  <c r="P314" i="2"/>
  <c r="M372" i="7"/>
  <c r="I373" i="7"/>
  <c r="J372" i="7"/>
  <c r="K372" i="7" s="1"/>
  <c r="N372" i="7" s="1"/>
  <c r="P315" i="2" l="1"/>
  <c r="U296" i="2"/>
  <c r="W295" i="2"/>
  <c r="Y295" i="2" s="1"/>
  <c r="H295" i="2" s="1"/>
  <c r="L295" i="2" s="1"/>
  <c r="I374" i="7"/>
  <c r="J373" i="7"/>
  <c r="K373" i="7" s="1"/>
  <c r="N373" i="7" s="1"/>
  <c r="M373" i="7"/>
  <c r="U297" i="2" l="1"/>
  <c r="W296" i="2"/>
  <c r="Y296" i="2" s="1"/>
  <c r="H296" i="2" s="1"/>
  <c r="L296" i="2" s="1"/>
  <c r="P316" i="2"/>
  <c r="I375" i="7"/>
  <c r="J374" i="7"/>
  <c r="K374" i="7" s="1"/>
  <c r="N374" i="7" s="1"/>
  <c r="M374" i="7"/>
  <c r="P317" i="2" l="1"/>
  <c r="U298" i="2"/>
  <c r="W297" i="2"/>
  <c r="Y297" i="2" s="1"/>
  <c r="H297" i="2" s="1"/>
  <c r="L297" i="2" s="1"/>
  <c r="M375" i="7"/>
  <c r="J375" i="7"/>
  <c r="K375" i="7" s="1"/>
  <c r="N375" i="7" s="1"/>
  <c r="I376" i="7"/>
  <c r="U299" i="2" l="1"/>
  <c r="W298" i="2"/>
  <c r="Y298" i="2" s="1"/>
  <c r="H298" i="2" s="1"/>
  <c r="L298" i="2" s="1"/>
  <c r="P318" i="2"/>
  <c r="M376" i="7"/>
  <c r="I377" i="7"/>
  <c r="J376" i="7"/>
  <c r="K376" i="7" s="1"/>
  <c r="N376" i="7" s="1"/>
  <c r="P319" i="2" l="1"/>
  <c r="U300" i="2"/>
  <c r="W299" i="2"/>
  <c r="Y299" i="2" s="1"/>
  <c r="H299" i="2" s="1"/>
  <c r="L299" i="2" s="1"/>
  <c r="J377" i="7"/>
  <c r="K377" i="7" s="1"/>
  <c r="N377" i="7" s="1"/>
  <c r="M377" i="7"/>
  <c r="I378" i="7"/>
  <c r="U301" i="2" l="1"/>
  <c r="W300" i="2"/>
  <c r="Y300" i="2" s="1"/>
  <c r="H300" i="2" s="1"/>
  <c r="L300" i="2" s="1"/>
  <c r="P320" i="2"/>
  <c r="M378" i="7"/>
  <c r="I379" i="7"/>
  <c r="J378" i="7"/>
  <c r="K378" i="7" s="1"/>
  <c r="N378" i="7" s="1"/>
  <c r="P321" i="2" l="1"/>
  <c r="U302" i="2"/>
  <c r="W301" i="2"/>
  <c r="Y301" i="2" s="1"/>
  <c r="H301" i="2" s="1"/>
  <c r="L301" i="2" s="1"/>
  <c r="I380" i="7"/>
  <c r="J379" i="7"/>
  <c r="K379" i="7" s="1"/>
  <c r="N379" i="7" s="1"/>
  <c r="M379" i="7"/>
  <c r="U303" i="2" l="1"/>
  <c r="W302" i="2"/>
  <c r="Y302" i="2" s="1"/>
  <c r="H302" i="2" s="1"/>
  <c r="L302" i="2" s="1"/>
  <c r="P322" i="2"/>
  <c r="M380" i="7"/>
  <c r="I381" i="7"/>
  <c r="J380" i="7"/>
  <c r="K380" i="7" s="1"/>
  <c r="N380" i="7" s="1"/>
  <c r="P323" i="2" l="1"/>
  <c r="U304" i="2"/>
  <c r="W303" i="2"/>
  <c r="Y303" i="2" s="1"/>
  <c r="H303" i="2" s="1"/>
  <c r="L303" i="2" s="1"/>
  <c r="I382" i="7"/>
  <c r="J381" i="7"/>
  <c r="K381" i="7" s="1"/>
  <c r="N381" i="7" s="1"/>
  <c r="M381" i="7"/>
  <c r="U305" i="2" l="1"/>
  <c r="W304" i="2"/>
  <c r="Y304" i="2" s="1"/>
  <c r="H304" i="2" s="1"/>
  <c r="L304" i="2" s="1"/>
  <c r="P324" i="2"/>
  <c r="M382" i="7"/>
  <c r="J382" i="7"/>
  <c r="K382" i="7" s="1"/>
  <c r="N382" i="7" s="1"/>
  <c r="I383" i="7"/>
  <c r="P325" i="2" l="1"/>
  <c r="U306" i="2"/>
  <c r="W305" i="2"/>
  <c r="Y305" i="2" s="1"/>
  <c r="H305" i="2" s="1"/>
  <c r="L305" i="2" s="1"/>
  <c r="M383" i="7"/>
  <c r="J383" i="7"/>
  <c r="K383" i="7" s="1"/>
  <c r="N383" i="7" s="1"/>
  <c r="I384" i="7"/>
  <c r="U307" i="2" l="1"/>
  <c r="W306" i="2"/>
  <c r="Y306" i="2" s="1"/>
  <c r="H306" i="2" s="1"/>
  <c r="L306" i="2" s="1"/>
  <c r="P326" i="2"/>
  <c r="J384" i="7"/>
  <c r="K384" i="7" s="1"/>
  <c r="N384" i="7" s="1"/>
  <c r="M384" i="7"/>
  <c r="I385" i="7"/>
  <c r="P327" i="2" l="1"/>
  <c r="U308" i="2"/>
  <c r="W307" i="2"/>
  <c r="Y307" i="2" s="1"/>
  <c r="H307" i="2" s="1"/>
  <c r="L307" i="2" s="1"/>
  <c r="I386" i="7"/>
  <c r="M385" i="7"/>
  <c r="J385" i="7"/>
  <c r="K385" i="7" s="1"/>
  <c r="N385" i="7" s="1"/>
  <c r="U309" i="2" l="1"/>
  <c r="W308" i="2"/>
  <c r="Y308" i="2" s="1"/>
  <c r="H308" i="2" s="1"/>
  <c r="L308" i="2" s="1"/>
  <c r="P328" i="2"/>
  <c r="I387" i="7"/>
  <c r="J386" i="7"/>
  <c r="K386" i="7" s="1"/>
  <c r="N386" i="7" s="1"/>
  <c r="M386" i="7"/>
  <c r="P329" i="2" l="1"/>
  <c r="U310" i="2"/>
  <c r="W309" i="2"/>
  <c r="Y309" i="2" s="1"/>
  <c r="H309" i="2" s="1"/>
  <c r="L309" i="2" s="1"/>
  <c r="M387" i="7"/>
  <c r="J387" i="7"/>
  <c r="K387" i="7" s="1"/>
  <c r="N387" i="7" s="1"/>
  <c r="I388" i="7"/>
  <c r="U311" i="2" l="1"/>
  <c r="W310" i="2"/>
  <c r="Y310" i="2" s="1"/>
  <c r="H310" i="2" s="1"/>
  <c r="L310" i="2" s="1"/>
  <c r="P330" i="2"/>
  <c r="I389" i="7"/>
  <c r="M388" i="7"/>
  <c r="J388" i="7"/>
  <c r="K388" i="7" s="1"/>
  <c r="N388" i="7" s="1"/>
  <c r="P331" i="2" l="1"/>
  <c r="U312" i="2"/>
  <c r="W311" i="2"/>
  <c r="Y311" i="2" s="1"/>
  <c r="H311" i="2" s="1"/>
  <c r="L311" i="2" s="1"/>
  <c r="J389" i="7"/>
  <c r="K389" i="7" s="1"/>
  <c r="N389" i="7" s="1"/>
  <c r="M389" i="7"/>
  <c r="I390" i="7"/>
  <c r="U313" i="2" l="1"/>
  <c r="W312" i="2"/>
  <c r="Y312" i="2" s="1"/>
  <c r="H312" i="2" s="1"/>
  <c r="L312" i="2" s="1"/>
  <c r="P332" i="2"/>
  <c r="M390" i="7"/>
  <c r="I391" i="7"/>
  <c r="J390" i="7"/>
  <c r="K390" i="7" s="1"/>
  <c r="N390" i="7" s="1"/>
  <c r="P333" i="2" l="1"/>
  <c r="U314" i="2"/>
  <c r="W313" i="2"/>
  <c r="Y313" i="2" s="1"/>
  <c r="H313" i="2" s="1"/>
  <c r="L313" i="2" s="1"/>
  <c r="J391" i="7"/>
  <c r="K391" i="7" s="1"/>
  <c r="N391" i="7" s="1"/>
  <c r="M391" i="7"/>
  <c r="I392" i="7"/>
  <c r="U315" i="2" l="1"/>
  <c r="W314" i="2"/>
  <c r="Y314" i="2" s="1"/>
  <c r="H314" i="2" s="1"/>
  <c r="L314" i="2" s="1"/>
  <c r="P334" i="2"/>
  <c r="J392" i="7"/>
  <c r="K392" i="7" s="1"/>
  <c r="N392" i="7" s="1"/>
  <c r="M392" i="7"/>
  <c r="I393" i="7"/>
  <c r="P335" i="2" l="1"/>
  <c r="U316" i="2"/>
  <c r="W315" i="2"/>
  <c r="Y315" i="2" s="1"/>
  <c r="H315" i="2" s="1"/>
  <c r="L315" i="2" s="1"/>
  <c r="I394" i="7"/>
  <c r="J393" i="7"/>
  <c r="K393" i="7" s="1"/>
  <c r="N393" i="7" s="1"/>
  <c r="M393" i="7"/>
  <c r="U317" i="2" l="1"/>
  <c r="W316" i="2"/>
  <c r="Y316" i="2" s="1"/>
  <c r="H316" i="2" s="1"/>
  <c r="L316" i="2" s="1"/>
  <c r="P336" i="2"/>
  <c r="J394" i="7"/>
  <c r="K394" i="7" s="1"/>
  <c r="N394" i="7" s="1"/>
  <c r="M394" i="7"/>
  <c r="I395" i="7"/>
  <c r="P337" i="2" l="1"/>
  <c r="U318" i="2"/>
  <c r="W317" i="2"/>
  <c r="Y317" i="2" s="1"/>
  <c r="H317" i="2" s="1"/>
  <c r="L317" i="2" s="1"/>
  <c r="M395" i="7"/>
  <c r="I396" i="7"/>
  <c r="J395" i="7"/>
  <c r="K395" i="7" s="1"/>
  <c r="N395" i="7" s="1"/>
  <c r="U319" i="2" l="1"/>
  <c r="W318" i="2"/>
  <c r="Y318" i="2" s="1"/>
  <c r="H318" i="2" s="1"/>
  <c r="L318" i="2" s="1"/>
  <c r="P338" i="2"/>
  <c r="I397" i="7"/>
  <c r="M396" i="7"/>
  <c r="J396" i="7"/>
  <c r="K396" i="7" s="1"/>
  <c r="N396" i="7" s="1"/>
  <c r="P339" i="2" l="1"/>
  <c r="U320" i="2"/>
  <c r="W319" i="2"/>
  <c r="Y319" i="2" s="1"/>
  <c r="H319" i="2" s="1"/>
  <c r="L319" i="2" s="1"/>
  <c r="J397" i="7"/>
  <c r="K397" i="7" s="1"/>
  <c r="N397" i="7" s="1"/>
  <c r="M397" i="7"/>
  <c r="I398" i="7"/>
  <c r="U321" i="2" l="1"/>
  <c r="W320" i="2"/>
  <c r="Y320" i="2" s="1"/>
  <c r="H320" i="2" s="1"/>
  <c r="L320" i="2" s="1"/>
  <c r="M398" i="7"/>
  <c r="J398" i="7"/>
  <c r="K398" i="7" s="1"/>
  <c r="N398" i="7" s="1"/>
  <c r="I399" i="7"/>
  <c r="U322" i="2" l="1"/>
  <c r="W321" i="2"/>
  <c r="Y321" i="2" s="1"/>
  <c r="H321" i="2" s="1"/>
  <c r="L321" i="2" s="1"/>
  <c r="J399" i="7"/>
  <c r="K399" i="7" s="1"/>
  <c r="N399" i="7" s="1"/>
  <c r="M399" i="7"/>
  <c r="I400" i="7"/>
  <c r="U323" i="2" l="1"/>
  <c r="W322" i="2"/>
  <c r="Y322" i="2" s="1"/>
  <c r="H322" i="2" s="1"/>
  <c r="L322" i="2" s="1"/>
  <c r="J400" i="7"/>
  <c r="K400" i="7" s="1"/>
  <c r="N400" i="7" s="1"/>
  <c r="M400" i="7"/>
  <c r="I401" i="7"/>
  <c r="U324" i="2" l="1"/>
  <c r="W323" i="2"/>
  <c r="Y323" i="2" s="1"/>
  <c r="H323" i="2" s="1"/>
  <c r="L323" i="2" s="1"/>
  <c r="I402" i="7"/>
  <c r="J401" i="7"/>
  <c r="K401" i="7" s="1"/>
  <c r="N401" i="7" s="1"/>
  <c r="M401" i="7"/>
  <c r="U325" i="2" l="1"/>
  <c r="W324" i="2"/>
  <c r="Y324" i="2" s="1"/>
  <c r="H324" i="2" s="1"/>
  <c r="L324" i="2" s="1"/>
  <c r="J402" i="7"/>
  <c r="K402" i="7" s="1"/>
  <c r="N402" i="7" s="1"/>
  <c r="M402" i="7"/>
  <c r="I403" i="7"/>
  <c r="U326" i="2" l="1"/>
  <c r="W325" i="2"/>
  <c r="Y325" i="2" s="1"/>
  <c r="H325" i="2" s="1"/>
  <c r="L325" i="2" s="1"/>
  <c r="M403" i="7"/>
  <c r="I404" i="7"/>
  <c r="J403" i="7"/>
  <c r="K403" i="7" s="1"/>
  <c r="N403" i="7" s="1"/>
  <c r="U327" i="2" l="1"/>
  <c r="W326" i="2"/>
  <c r="Y326" i="2" s="1"/>
  <c r="H326" i="2" s="1"/>
  <c r="L326" i="2" s="1"/>
  <c r="I405" i="7"/>
  <c r="J404" i="7"/>
  <c r="K404" i="7" s="1"/>
  <c r="N404" i="7" s="1"/>
  <c r="M404" i="7"/>
  <c r="U328" i="2" l="1"/>
  <c r="W327" i="2"/>
  <c r="Y327" i="2" s="1"/>
  <c r="H327" i="2" s="1"/>
  <c r="L327" i="2" s="1"/>
  <c r="J405" i="7"/>
  <c r="K405" i="7" s="1"/>
  <c r="N405" i="7" s="1"/>
  <c r="M405" i="7"/>
  <c r="I406" i="7"/>
  <c r="U329" i="2" l="1"/>
  <c r="W328" i="2"/>
  <c r="Y328" i="2" s="1"/>
  <c r="H328" i="2" s="1"/>
  <c r="L328" i="2" s="1"/>
  <c r="M406" i="7"/>
  <c r="J406" i="7"/>
  <c r="K406" i="7" s="1"/>
  <c r="N406" i="7" s="1"/>
  <c r="I407" i="7"/>
  <c r="U330" i="2" l="1"/>
  <c r="W329" i="2"/>
  <c r="Y329" i="2" s="1"/>
  <c r="H329" i="2" s="1"/>
  <c r="L329" i="2" s="1"/>
  <c r="J407" i="7"/>
  <c r="K407" i="7" s="1"/>
  <c r="N407" i="7" s="1"/>
  <c r="M407" i="7"/>
  <c r="I408" i="7"/>
  <c r="U331" i="2" l="1"/>
  <c r="W330" i="2"/>
  <c r="Y330" i="2" s="1"/>
  <c r="H330" i="2" s="1"/>
  <c r="L330" i="2" s="1"/>
  <c r="J408" i="7"/>
  <c r="K408" i="7" s="1"/>
  <c r="N408" i="7" s="1"/>
  <c r="M408" i="7"/>
  <c r="I409" i="7"/>
  <c r="U332" i="2" l="1"/>
  <c r="W331" i="2"/>
  <c r="Y331" i="2" s="1"/>
  <c r="H331" i="2" s="1"/>
  <c r="L331" i="2" s="1"/>
  <c r="I410" i="7"/>
  <c r="J409" i="7"/>
  <c r="K409" i="7" s="1"/>
  <c r="N409" i="7" s="1"/>
  <c r="M409" i="7"/>
  <c r="U333" i="2" l="1"/>
  <c r="W332" i="2"/>
  <c r="Y332" i="2" s="1"/>
  <c r="H332" i="2" s="1"/>
  <c r="L332" i="2" s="1"/>
  <c r="J410" i="7"/>
  <c r="K410" i="7" s="1"/>
  <c r="N410" i="7" s="1"/>
  <c r="M410" i="7"/>
  <c r="I411" i="7"/>
  <c r="U334" i="2" l="1"/>
  <c r="W333" i="2"/>
  <c r="Y333" i="2" s="1"/>
  <c r="H333" i="2" s="1"/>
  <c r="L333" i="2" s="1"/>
  <c r="M411" i="7"/>
  <c r="I412" i="7"/>
  <c r="J411" i="7"/>
  <c r="K411" i="7" s="1"/>
  <c r="N411" i="7" s="1"/>
  <c r="U335" i="2" l="1"/>
  <c r="W334" i="2"/>
  <c r="Y334" i="2" s="1"/>
  <c r="H334" i="2" s="1"/>
  <c r="L334" i="2" s="1"/>
  <c r="M412" i="7"/>
  <c r="J412" i="7"/>
  <c r="K412" i="7" s="1"/>
  <c r="N412" i="7" s="1"/>
  <c r="U336" i="2" l="1"/>
  <c r="W335" i="2"/>
  <c r="Y335" i="2" s="1"/>
  <c r="H335" i="2" s="1"/>
  <c r="L335" i="2" s="1"/>
  <c r="U337" i="2" l="1"/>
  <c r="W336" i="2"/>
  <c r="Y336" i="2" s="1"/>
  <c r="H336" i="2" s="1"/>
  <c r="L336" i="2" s="1"/>
  <c r="U338" i="2" l="1"/>
  <c r="W337" i="2"/>
  <c r="Y337" i="2" s="1"/>
  <c r="H337" i="2" s="1"/>
  <c r="L337" i="2" s="1"/>
  <c r="U339" i="2" l="1"/>
  <c r="W339" i="2" s="1"/>
  <c r="Y339" i="2" s="1"/>
  <c r="H339" i="2" s="1"/>
  <c r="L339" i="2" s="1"/>
  <c r="W338" i="2"/>
  <c r="Y338" i="2" s="1"/>
  <c r="H338" i="2" s="1"/>
  <c r="L338" i="2" s="1"/>
  <c r="Y33" i="8"/>
  <c r="Y33" i="12"/>
  <c r="Y33" i="14"/>
</calcChain>
</file>

<file path=xl/sharedStrings.xml><?xml version="1.0" encoding="utf-8"?>
<sst xmlns="http://schemas.openxmlformats.org/spreadsheetml/2006/main" count="442" uniqueCount="196">
  <si>
    <t>kg</t>
  </si>
  <si>
    <t>Newtons</t>
  </si>
  <si>
    <t>lb</t>
  </si>
  <si>
    <t>Convert</t>
  </si>
  <si>
    <t>g</t>
  </si>
  <si>
    <t>m/sec^2</t>
  </si>
  <si>
    <t>airplane</t>
  </si>
  <si>
    <t>aspect ratio</t>
  </si>
  <si>
    <t>Cdo</t>
  </si>
  <si>
    <t>span efficiency  (e)</t>
  </si>
  <si>
    <t>propeller efficiency</t>
  </si>
  <si>
    <t>motor efficiency</t>
  </si>
  <si>
    <t>k     Drag due to lift factor</t>
  </si>
  <si>
    <t xml:space="preserve">    k=1/(pi*ar*e)  </t>
  </si>
  <si>
    <t>(L/D)  max    (emax)</t>
  </si>
  <si>
    <t xml:space="preserve"> 1/(2*sqrt(k*cdo)) </t>
  </si>
  <si>
    <t>N/m^2</t>
  </si>
  <si>
    <t>m</t>
  </si>
  <si>
    <t>Take off</t>
  </si>
  <si>
    <t>Density of air</t>
  </si>
  <si>
    <t>kg/m^3</t>
  </si>
  <si>
    <t>m/sec</t>
  </si>
  <si>
    <t xml:space="preserve"> vlo=1.2*sqrt(2.*wos/(sigma*rhosl*clmax));    % Take-off Velocity [Brandt Eq.5.52, Pg.221]</t>
  </si>
  <si>
    <t>Wing Loading</t>
  </si>
  <si>
    <t>Vlo</t>
  </si>
  <si>
    <t>P/W</t>
  </si>
  <si>
    <t>watts/N=m/sec</t>
  </si>
  <si>
    <t>tow=(1/alpha)*(q*cdo./(wos) +  k.*wos/q);</t>
  </si>
  <si>
    <t xml:space="preserve">    hpow=v.*tow/(eta_p*eta_m*550.)*745.699872;      % Power(watts)/Weight(lbf)</t>
  </si>
  <si>
    <t>Maximum speed</t>
  </si>
  <si>
    <t>velocity</t>
  </si>
  <si>
    <t>T/W</t>
  </si>
  <si>
    <t>q</t>
  </si>
  <si>
    <t xml:space="preserve">    pow=1/3*(vlo).^3/(eta_p*eta_m*g*d);        % Power-electric(watts)/Weight (N) </t>
  </si>
  <si>
    <t>ft/sec</t>
  </si>
  <si>
    <t>velocity conversions  from m/sec</t>
  </si>
  <si>
    <t>knots</t>
  </si>
  <si>
    <t>miles/hour</t>
  </si>
  <si>
    <t>miles/hr</t>
  </si>
  <si>
    <t>ft</t>
  </si>
  <si>
    <t xml:space="preserve">    </t>
  </si>
  <si>
    <t xml:space="preserve">        </t>
  </si>
  <si>
    <t xml:space="preserve">    vlo=1.2*sqrt(2*wos/(sigma*rhosl*clmax));   % Take-off Velocity [Brandt Eq.5.52, Pg.221]</t>
  </si>
  <si>
    <t xml:space="preserve">    hpow=vlo.^3/(alpha*2*550.*eta_p*eta_m*g*d);       % Power(HP)/Weight(lbf) [Simplified version of Brandt Eq.5.77, Pg.250]</t>
  </si>
  <si>
    <t>Altitude</t>
  </si>
  <si>
    <t>Cl Max</t>
  </si>
  <si>
    <t>Landing Distance</t>
  </si>
  <si>
    <t>Reverse Force Fraction</t>
  </si>
  <si>
    <t>Power/Weight</t>
  </si>
  <si>
    <t>Rho Sea Level</t>
  </si>
  <si>
    <t>(from takeoff)</t>
  </si>
  <si>
    <t>Density at Altitude</t>
  </si>
  <si>
    <t>W/N</t>
  </si>
  <si>
    <t>Altitude (landing)</t>
  </si>
  <si>
    <t>Rate of Climb</t>
  </si>
  <si>
    <t>m/s</t>
  </si>
  <si>
    <t>Cl</t>
  </si>
  <si>
    <t>at min D/V</t>
  </si>
  <si>
    <t>Vpmin</t>
  </si>
  <si>
    <t>m/min</t>
  </si>
  <si>
    <t>Airspeed</t>
  </si>
  <si>
    <t>Load Factor</t>
  </si>
  <si>
    <t>Density</t>
  </si>
  <si>
    <t>Dynamic Pressure</t>
  </si>
  <si>
    <t>kg/m^2</t>
  </si>
  <si>
    <t>watts/lbf</t>
  </si>
  <si>
    <t>ozf/ft^2</t>
  </si>
  <si>
    <t>Airplane</t>
  </si>
  <si>
    <t>Maximum Speed</t>
  </si>
  <si>
    <t>Landing</t>
  </si>
  <si>
    <t>Ceiling</t>
  </si>
  <si>
    <t>Turns</t>
  </si>
  <si>
    <t xml:space="preserve">Thrust </t>
  </si>
  <si>
    <t>Landing Velocity</t>
  </si>
  <si>
    <t xml:space="preserve"> </t>
  </si>
  <si>
    <t>Not used for electric</t>
  </si>
  <si>
    <t>Used to correct the thrust for altitude</t>
  </si>
  <si>
    <t>Vto=Vapproach</t>
  </si>
  <si>
    <t>fps</t>
  </si>
  <si>
    <t>ft/min</t>
  </si>
  <si>
    <t>VTO = VTO_nw - Vw</t>
  </si>
  <si>
    <t>ft/s</t>
  </si>
  <si>
    <t>Vapproach</t>
  </si>
  <si>
    <t>Vapp</t>
  </si>
  <si>
    <t>~</t>
  </si>
  <si>
    <t>W/S</t>
  </si>
  <si>
    <t>N/m</t>
  </si>
  <si>
    <t>mph</t>
  </si>
  <si>
    <t>English 2nd axis</t>
  </si>
  <si>
    <t>lbs/sqft</t>
  </si>
  <si>
    <t>W/lb</t>
  </si>
  <si>
    <t>Plot, Vapproach</t>
  </si>
  <si>
    <t>deg bank angle</t>
  </si>
  <si>
    <t>CLmax</t>
  </si>
  <si>
    <t>CLMax</t>
  </si>
  <si>
    <t>AR</t>
  </si>
  <si>
    <t>CD0</t>
  </si>
  <si>
    <t>e</t>
  </si>
  <si>
    <t>Pitch/diam</t>
  </si>
  <si>
    <t>Vlaunch</t>
  </si>
  <si>
    <t>Power_loading</t>
  </si>
  <si>
    <t>lb/ft2</t>
  </si>
  <si>
    <t>(BTW 4 to 10)</t>
    <phoneticPr fontId="5" type="noConversion"/>
  </si>
  <si>
    <t>(BTW 0.02 to 0.05)</t>
    <phoneticPr fontId="5" type="noConversion"/>
  </si>
  <si>
    <t>(BTW 0.8 to 0.85)</t>
    <phoneticPr fontId="5" type="noConversion"/>
  </si>
  <si>
    <t>(BTW 0.5 to 0.85)</t>
    <phoneticPr fontId="5" type="noConversion"/>
  </si>
  <si>
    <t>(BTW 0.65 to 0.90)</t>
    <phoneticPr fontId="5" type="noConversion"/>
  </si>
  <si>
    <t>m/s</t>
    <phoneticPr fontId="5" type="noConversion"/>
  </si>
  <si>
    <t>mph</t>
    <phoneticPr fontId="5" type="noConversion"/>
  </si>
  <si>
    <t>mph</t>
    <phoneticPr fontId="5" type="noConversion"/>
  </si>
  <si>
    <t>m</t>
    <phoneticPr fontId="5" type="noConversion"/>
  </si>
  <si>
    <t>ft</t>
    <phoneticPr fontId="5" type="noConversion"/>
  </si>
  <si>
    <t>Unit conversion</t>
    <phoneticPr fontId="5" type="noConversion"/>
  </si>
  <si>
    <t>seconds</t>
    <phoneticPr fontId="5" type="noConversion"/>
  </si>
  <si>
    <t>Time</t>
    <phoneticPr fontId="5" type="noConversion"/>
  </si>
  <si>
    <t>S wing area</t>
  </si>
  <si>
    <t xml:space="preserve">b  wing span </t>
  </si>
  <si>
    <t>m^2</t>
  </si>
  <si>
    <t xml:space="preserve">m </t>
  </si>
  <si>
    <t>j10 216</t>
  </si>
  <si>
    <t>HP</t>
  </si>
  <si>
    <t>=</t>
  </si>
  <si>
    <t>WATT</t>
  </si>
  <si>
    <t>A</t>
  </si>
  <si>
    <t>lbs</t>
  </si>
  <si>
    <t>Kg</t>
  </si>
  <si>
    <t>meter</t>
  </si>
  <si>
    <t>K</t>
  </si>
  <si>
    <t>Knots</t>
  </si>
  <si>
    <t>[slug/ft3]</t>
  </si>
  <si>
    <t>[ft]</t>
  </si>
  <si>
    <t xml:space="preserve">meter^2 </t>
  </si>
  <si>
    <t>ft^2</t>
  </si>
  <si>
    <t>Weight (Lbs)</t>
  </si>
  <si>
    <t>S wing Area (ft sq)</t>
  </si>
  <si>
    <t>Density at 3000m (slug/ft^3)</t>
  </si>
  <si>
    <t>Operating Altitude (ft)</t>
  </si>
  <si>
    <t>CL</t>
  </si>
  <si>
    <t>V freestream (ft/s)</t>
  </si>
  <si>
    <t>CD</t>
  </si>
  <si>
    <t>Thrust Req (lb)</t>
  </si>
  <si>
    <t xml:space="preserve">Parasite Power </t>
  </si>
  <si>
    <t>Lift Induced Power</t>
  </si>
  <si>
    <t>Total Power</t>
  </si>
  <si>
    <t>Unit Conversion</t>
  </si>
  <si>
    <t>Power Available</t>
  </si>
  <si>
    <t>V for max Range</t>
  </si>
  <si>
    <t>Thrust Req</t>
  </si>
  <si>
    <t>Best Range</t>
  </si>
  <si>
    <t>New Thrust</t>
  </si>
  <si>
    <t>P_ind</t>
  </si>
  <si>
    <t>P_prof</t>
  </si>
  <si>
    <t>P_par</t>
  </si>
  <si>
    <t>P_req</t>
  </si>
  <si>
    <t>P_av</t>
  </si>
  <si>
    <t>Cp</t>
  </si>
  <si>
    <t>Ku</t>
  </si>
  <si>
    <t>mu</t>
  </si>
  <si>
    <t>Cpi</t>
  </si>
  <si>
    <t>Cp0</t>
  </si>
  <si>
    <t>Cpp</t>
  </si>
  <si>
    <t>V_inf</t>
  </si>
  <si>
    <t>Ct</t>
  </si>
  <si>
    <t>Vi</t>
  </si>
  <si>
    <t>lambda_h</t>
  </si>
  <si>
    <t>Flat plate area</t>
  </si>
  <si>
    <t>Solidity</t>
  </si>
  <si>
    <t>rad/ft</t>
  </si>
  <si>
    <t>deg/ft</t>
  </si>
  <si>
    <t>theta twist</t>
  </si>
  <si>
    <t>Disk Loading</t>
  </si>
  <si>
    <t>Taper ratio</t>
  </si>
  <si>
    <t>a(lift curve slope)</t>
  </si>
  <si>
    <t>%</t>
  </si>
  <si>
    <t>Root Cutout</t>
  </si>
  <si>
    <t>v</t>
  </si>
  <si>
    <t>dr</t>
  </si>
  <si>
    <t>Speed</t>
  </si>
  <si>
    <t>rads</t>
  </si>
  <si>
    <t>deg</t>
  </si>
  <si>
    <t>theta_0</t>
  </si>
  <si>
    <t>shp</t>
  </si>
  <si>
    <t>Power</t>
  </si>
  <si>
    <t>rad/s</t>
  </si>
  <si>
    <t>Omega</t>
  </si>
  <si>
    <t>blades</t>
  </si>
  <si>
    <t>n</t>
  </si>
  <si>
    <t>slugs/ft^3</t>
  </si>
  <si>
    <t>Chord</t>
  </si>
  <si>
    <t>Area</t>
  </si>
  <si>
    <t>Tip speed</t>
  </si>
  <si>
    <t>Radius</t>
  </si>
  <si>
    <t>Tip Twist</t>
  </si>
  <si>
    <t>Weight</t>
  </si>
  <si>
    <t>V_inf (ft/s)</t>
  </si>
  <si>
    <t>V_inf (knots)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</si>
</sst>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6100"/>
      <name val="Calibri"/>
      <family val="2"/>
      <charset val="129"/>
      <scheme val="minor"/>
    </font>
    <font>
      <sz val="11"/>
      <color rgb="FF9C5700"/>
      <name val="Calibri"/>
      <family val="2"/>
      <charset val="129"/>
      <scheme val="minor"/>
    </font>
    <font>
      <sz val="8"/>
      <name val="Calibri"/>
      <family val="3"/>
      <charset val="129"/>
      <scheme val="minor"/>
    </font>
    <font>
      <b/>
      <sz val="11"/>
      <color theme="1"/>
      <name val="Calibri"/>
      <family val="3"/>
      <charset val="129"/>
      <scheme val="minor"/>
    </font>
    <font>
      <b/>
      <sz val="11"/>
      <color rgb="FFFA7D00"/>
      <name val="Calibri"/>
      <family val="2"/>
      <charset val="129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rgb="FF000000"/>
      <name val="Verdana"/>
      <family val="2"/>
    </font>
    <font>
      <b/>
      <sz val="9"/>
      <color rgb="FF000000"/>
      <name val="Verdana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00FF00"/>
        <bgColor indexed="64"/>
      </patternFill>
    </fill>
    <fill>
      <patternFill patternType="solid">
        <fgColor rgb="FFFFFFCC"/>
      </patternFill>
    </fill>
    <fill>
      <patternFill patternType="solid">
        <fgColor rgb="FFFFFF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99FF66"/>
        <bgColor indexed="64"/>
      </patternFill>
    </fill>
  </fills>
  <borders count="2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rgb="FF999999"/>
      </left>
      <right style="medium">
        <color rgb="FF999999"/>
      </right>
      <top style="medium">
        <color rgb="FF999999"/>
      </top>
      <bottom style="medium">
        <color rgb="FF999999"/>
      </bottom>
      <diagonal/>
    </border>
    <border>
      <left style="medium">
        <color rgb="FF999999"/>
      </left>
      <right style="medium">
        <color rgb="FF999999"/>
      </right>
      <top/>
      <bottom style="medium">
        <color rgb="FF999999"/>
      </bottom>
      <diagonal/>
    </border>
    <border>
      <left style="medium">
        <color rgb="FF999999"/>
      </left>
      <right style="medium">
        <color rgb="FF999999"/>
      </right>
      <top style="medium">
        <color rgb="FF999999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7">
    <xf numFmtId="0" fontId="0" fillId="0" borderId="0"/>
    <xf numFmtId="0" fontId="3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7" fillId="6" borderId="1" applyNumberFormat="0" applyAlignment="0" applyProtection="0">
      <alignment vertical="center"/>
    </xf>
    <xf numFmtId="0" fontId="8" fillId="7" borderId="0" applyNumberFormat="0" applyBorder="0" applyAlignment="0" applyProtection="0"/>
    <xf numFmtId="0" fontId="9" fillId="8" borderId="1" applyNumberFormat="0" applyAlignment="0" applyProtection="0"/>
    <xf numFmtId="0" fontId="10" fillId="10" borderId="19" applyNumberFormat="0" applyFont="0" applyAlignment="0" applyProtection="0"/>
  </cellStyleXfs>
  <cellXfs count="69">
    <xf numFmtId="0" fontId="0" fillId="0" borderId="0" xfId="0"/>
    <xf numFmtId="0" fontId="0" fillId="0" borderId="0" xfId="0" applyAlignment="1">
      <alignment horizontal="right"/>
    </xf>
    <xf numFmtId="2" fontId="0" fillId="0" borderId="0" xfId="0" applyNumberFormat="1"/>
    <xf numFmtId="0" fontId="0" fillId="2" borderId="0" xfId="0" applyFill="1"/>
    <xf numFmtId="0" fontId="0" fillId="3" borderId="0" xfId="0" applyFill="1"/>
    <xf numFmtId="0" fontId="1" fillId="0" borderId="0" xfId="0" applyFont="1"/>
    <xf numFmtId="1" fontId="0" fillId="0" borderId="0" xfId="0" applyNumberFormat="1"/>
    <xf numFmtId="164" fontId="1" fillId="0" borderId="0" xfId="0" applyNumberFormat="1" applyFont="1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2" fillId="0" borderId="0" xfId="0" applyFont="1"/>
    <xf numFmtId="0" fontId="4" fillId="5" borderId="0" xfId="2" applyAlignment="1"/>
    <xf numFmtId="0" fontId="3" fillId="4" borderId="0" xfId="1" applyAlignment="1"/>
    <xf numFmtId="0" fontId="4" fillId="5" borderId="1" xfId="2" applyBorder="1" applyAlignment="1"/>
    <xf numFmtId="0" fontId="6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2" xfId="0" applyBorder="1"/>
    <xf numFmtId="0" fontId="0" fillId="0" borderId="8" xfId="0" applyBorder="1"/>
    <xf numFmtId="0" fontId="0" fillId="0" borderId="0" xfId="0" applyBorder="1"/>
    <xf numFmtId="0" fontId="0" fillId="0" borderId="9" xfId="0" applyBorder="1"/>
    <xf numFmtId="0" fontId="6" fillId="0" borderId="0" xfId="0" applyFont="1" applyBorder="1"/>
    <xf numFmtId="0" fontId="0" fillId="0" borderId="10" xfId="0" applyBorder="1"/>
    <xf numFmtId="0" fontId="0" fillId="0" borderId="11" xfId="0" applyBorder="1"/>
    <xf numFmtId="0" fontId="7" fillId="6" borderId="12" xfId="3" applyBorder="1" applyAlignment="1"/>
    <xf numFmtId="0" fontId="9" fillId="8" borderId="1" xfId="5" applyAlignment="1"/>
    <xf numFmtId="0" fontId="9" fillId="8" borderId="1" xfId="5"/>
    <xf numFmtId="0" fontId="8" fillId="7" borderId="1" xfId="4" applyBorder="1" applyAlignment="1"/>
    <xf numFmtId="0" fontId="8" fillId="7" borderId="0" xfId="4"/>
    <xf numFmtId="0" fontId="0" fillId="9" borderId="13" xfId="0" applyFill="1" applyBorder="1"/>
    <xf numFmtId="0" fontId="0" fillId="9" borderId="14" xfId="0" applyFill="1" applyBorder="1"/>
    <xf numFmtId="0" fontId="0" fillId="9" borderId="15" xfId="0" applyFill="1" applyBorder="1"/>
    <xf numFmtId="0" fontId="0" fillId="9" borderId="16" xfId="0" applyFill="1" applyBorder="1"/>
    <xf numFmtId="0" fontId="0" fillId="9" borderId="17" xfId="0" applyFill="1" applyBorder="1"/>
    <xf numFmtId="0" fontId="0" fillId="9" borderId="18" xfId="0" applyFill="1" applyBorder="1"/>
    <xf numFmtId="0" fontId="0" fillId="9" borderId="0" xfId="0" applyFill="1" applyBorder="1"/>
    <xf numFmtId="0" fontId="0" fillId="0" borderId="7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1" fillId="11" borderId="20" xfId="0" applyFont="1" applyFill="1" applyBorder="1" applyAlignment="1">
      <alignment vertical="center" wrapText="1"/>
    </xf>
    <xf numFmtId="0" fontId="11" fillId="12" borderId="20" xfId="0" applyFont="1" applyFill="1" applyBorder="1" applyAlignment="1">
      <alignment vertical="center" wrapText="1"/>
    </xf>
    <xf numFmtId="0" fontId="12" fillId="13" borderId="21" xfId="0" applyFont="1" applyFill="1" applyBorder="1" applyAlignment="1">
      <alignment horizontal="center" vertical="center" wrapText="1"/>
    </xf>
    <xf numFmtId="0" fontId="12" fillId="13" borderId="22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4" xfId="0" applyFont="1" applyBorder="1"/>
    <xf numFmtId="0" fontId="1" fillId="0" borderId="4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1" fillId="0" borderId="23" xfId="0" applyFont="1" applyFill="1" applyBorder="1" applyAlignment="1">
      <alignment horizontal="center"/>
    </xf>
    <xf numFmtId="0" fontId="1" fillId="0" borderId="11" xfId="0" applyFon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8" fillId="7" borderId="4" xfId="4" applyBorder="1"/>
    <xf numFmtId="0" fontId="8" fillId="7" borderId="0" xfId="4" applyBorder="1"/>
    <xf numFmtId="0" fontId="8" fillId="7" borderId="5" xfId="4" applyBorder="1"/>
    <xf numFmtId="0" fontId="3" fillId="4" borderId="4" xfId="1" applyBorder="1" applyAlignment="1"/>
    <xf numFmtId="0" fontId="3" fillId="4" borderId="0" xfId="1" applyBorder="1" applyAlignment="1"/>
    <xf numFmtId="0" fontId="0" fillId="10" borderId="19" xfId="6" applyFont="1"/>
    <xf numFmtId="0" fontId="1" fillId="0" borderId="10" xfId="0" applyFont="1" applyBorder="1" applyAlignment="1">
      <alignment horizontal="center"/>
    </xf>
    <xf numFmtId="0" fontId="8" fillId="10" borderId="19" xfId="6" applyFont="1"/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</cellXfs>
  <cellStyles count="7">
    <cellStyle name="Bad" xfId="4" builtinId="27"/>
    <cellStyle name="Calculation" xfId="3" builtinId="22"/>
    <cellStyle name="Good" xfId="1" builtinId="26"/>
    <cellStyle name="Input" xfId="5" builtinId="20"/>
    <cellStyle name="Neutral" xfId="2" builtinId="28"/>
    <cellStyle name="Normal" xfId="0" builtinId="0"/>
    <cellStyle name="Note" xfId="6" builtinId="1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4886679311071513E-2"/>
          <c:y val="9.2395988064096324E-2"/>
          <c:w val="0.71495556502704583"/>
          <c:h val="0.80986129883143665"/>
        </c:manualLayout>
      </c:layout>
      <c:scatterChart>
        <c:scatterStyle val="smoothMarker"/>
        <c:varyColors val="0"/>
        <c:ser>
          <c:idx val="1"/>
          <c:order val="0"/>
          <c:tx>
            <c:v>Max Speed</c:v>
          </c:tx>
          <c:spPr>
            <a:ln w="76200" cmpd="thickThin"/>
          </c:spPr>
          <c:marker>
            <c:symbol val="none"/>
          </c:marker>
          <c:xVal>
            <c:numRef>
              <c:f>Hand_launch!$F$3:$F$280</c:f>
              <c:numCache>
                <c:formatCode>General</c:formatCode>
                <c:ptCount val="27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  <c:pt idx="262">
                  <c:v>1310</c:v>
                </c:pt>
                <c:pt idx="263">
                  <c:v>1315</c:v>
                </c:pt>
                <c:pt idx="264">
                  <c:v>1320</c:v>
                </c:pt>
                <c:pt idx="265">
                  <c:v>1325</c:v>
                </c:pt>
                <c:pt idx="266">
                  <c:v>1330</c:v>
                </c:pt>
                <c:pt idx="267">
                  <c:v>1335</c:v>
                </c:pt>
                <c:pt idx="268">
                  <c:v>1340</c:v>
                </c:pt>
                <c:pt idx="269">
                  <c:v>1345</c:v>
                </c:pt>
                <c:pt idx="270">
                  <c:v>1350</c:v>
                </c:pt>
                <c:pt idx="271">
                  <c:v>1355</c:v>
                </c:pt>
                <c:pt idx="272">
                  <c:v>1360</c:v>
                </c:pt>
                <c:pt idx="273">
                  <c:v>1365</c:v>
                </c:pt>
                <c:pt idx="274">
                  <c:v>1370</c:v>
                </c:pt>
                <c:pt idx="275">
                  <c:v>1375</c:v>
                </c:pt>
                <c:pt idx="276">
                  <c:v>1380</c:v>
                </c:pt>
                <c:pt idx="277">
                  <c:v>1385</c:v>
                </c:pt>
              </c:numCache>
            </c:numRef>
          </c:xVal>
          <c:yVal>
            <c:numRef>
              <c:f>maximum_speed!$L$3:$L$280</c:f>
              <c:numCache>
                <c:formatCode>General</c:formatCode>
                <c:ptCount val="278"/>
                <c:pt idx="8">
                  <c:v>511.7765318010089</c:v>
                </c:pt>
                <c:pt idx="9">
                  <c:v>454.94480977563302</c:v>
                </c:pt>
                <c:pt idx="10">
                  <c:v>409.4828560797161</c:v>
                </c:pt>
                <c:pt idx="11">
                  <c:v>372.28982480522382</c:v>
                </c:pt>
                <c:pt idx="12">
                  <c:v>341.29848534680031</c:v>
                </c:pt>
                <c:pt idx="13">
                  <c:v>315.07767805458326</c:v>
                </c:pt>
                <c:pt idx="14">
                  <c:v>292.60514603581424</c:v>
                </c:pt>
                <c:pt idx="15">
                  <c:v>273.13123423580367</c:v>
                </c:pt>
                <c:pt idx="16">
                  <c:v>256.09370136353425</c:v>
                </c:pt>
                <c:pt idx="17">
                  <c:v>241.06259819646357</c:v>
                </c:pt>
                <c:pt idx="18">
                  <c:v>227.70351978372506</c:v>
                </c:pt>
                <c:pt idx="19">
                  <c:v>215.75246221673996</c:v>
                </c:pt>
                <c:pt idx="20">
                  <c:v>204.99822236864534</c:v>
                </c:pt>
                <c:pt idx="21">
                  <c:v>195.26982627959961</c:v>
                </c:pt>
                <c:pt idx="22">
                  <c:v>186.42738616427795</c:v>
                </c:pt>
                <c:pt idx="23">
                  <c:v>178.35534254784685</c:v>
                </c:pt>
                <c:pt idx="24">
                  <c:v>170.95739586794488</c:v>
                </c:pt>
                <c:pt idx="25">
                  <c:v>164.15265449218862</c:v>
                </c:pt>
                <c:pt idx="26">
                  <c:v>157.87267165471508</c:v>
                </c:pt>
                <c:pt idx="27">
                  <c:v>152.05914085127063</c:v>
                </c:pt>
                <c:pt idx="28">
                  <c:v>146.66208507820932</c:v>
                </c:pt>
                <c:pt idx="29">
                  <c:v>141.63842071169833</c:v>
                </c:pt>
                <c:pt idx="30">
                  <c:v>136.95080861108275</c:v>
                </c:pt>
                <c:pt idx="31">
                  <c:v>132.56672758934033</c:v>
                </c:pt>
                <c:pt idx="32">
                  <c:v>128.45772160782678</c:v>
                </c:pt>
                <c:pt idx="33">
                  <c:v>124.59878384470309</c:v>
                </c:pt>
                <c:pt idx="34">
                  <c:v>120.96784945717015</c:v>
                </c:pt>
                <c:pt idx="35">
                  <c:v>117.54537529874877</c:v>
                </c:pt>
                <c:pt idx="36">
                  <c:v>114.31398968367964</c:v>
                </c:pt>
                <c:pt idx="37">
                  <c:v>111.25819894628552</c:v>
                </c:pt>
                <c:pt idx="38">
                  <c:v>108.36414033306582</c:v>
                </c:pt>
                <c:pt idx="39">
                  <c:v>105.61937291139169</c:v>
                </c:pt>
                <c:pt idx="40">
                  <c:v>103.0126998418972</c:v>
                </c:pt>
                <c:pt idx="41">
                  <c:v>100.53401665978878</c:v>
                </c:pt>
                <c:pt idx="42">
                  <c:v>98.174181230253083</c:v>
                </c:pt>
                <c:pt idx="43">
                  <c:v>95.924901849622273</c:v>
                </c:pt>
                <c:pt idx="44">
                  <c:v>93.778640605470997</c:v>
                </c:pt>
                <c:pt idx="45">
                  <c:v>91.728529622033946</c:v>
                </c:pt>
                <c:pt idx="46">
                  <c:v>89.768298230134164</c:v>
                </c:pt>
                <c:pt idx="47">
                  <c:v>87.892209434567079</c:v>
                </c:pt>
                <c:pt idx="48">
                  <c:v>86.095004323061914</c:v>
                </c:pt>
                <c:pt idx="49">
                  <c:v>84.371853282308763</c:v>
                </c:pt>
                <c:pt idx="50">
                  <c:v>82.718313068062514</c:v>
                </c:pt>
                <c:pt idx="51">
                  <c:v>81.13028892582274</c:v>
                </c:pt>
                <c:pt idx="52">
                  <c:v>79.604001082204476</c:v>
                </c:pt>
                <c:pt idx="53">
                  <c:v>78.135955029738554</c:v>
                </c:pt>
                <c:pt idx="54">
                  <c:v>76.722915113360969</c:v>
                </c:pt>
                <c:pt idx="55">
                  <c:v>75.361880998376009</c:v>
                </c:pt>
                <c:pt idx="56">
                  <c:v>74.050066659709032</c:v>
                </c:pt>
                <c:pt idx="57">
                  <c:v>72.784881582817022</c:v>
                </c:pt>
                <c:pt idx="58">
                  <c:v>71.563913909332285</c:v>
                </c:pt>
                <c:pt idx="59">
                  <c:v>70.384915296708698</c:v>
                </c:pt>
                <c:pt idx="60">
                  <c:v>69.245787291903198</c:v>
                </c:pt>
                <c:pt idx="61">
                  <c:v>68.144569045350977</c:v>
                </c:pt>
                <c:pt idx="62">
                  <c:v>67.079426213910722</c:v>
                </c:pt>
                <c:pt idx="63">
                  <c:v>66.048640920672369</c:v>
                </c:pt>
                <c:pt idx="64">
                  <c:v>65.05060265603268</c:v>
                </c:pt>
                <c:pt idx="65">
                  <c:v>64.083800018671724</c:v>
                </c:pt>
                <c:pt idx="66">
                  <c:v>63.146813207349567</c:v>
                </c:pt>
                <c:pt idx="67">
                  <c:v>62.238307185079371</c:v>
                </c:pt>
                <c:pt idx="68">
                  <c:v>61.357025446461819</c:v>
                </c:pt>
                <c:pt idx="69">
                  <c:v>60.501784326990261</c:v>
                </c:pt>
                <c:pt idx="70">
                  <c:v>59.671467800129854</c:v>
                </c:pt>
                <c:pt idx="71">
                  <c:v>58.865022714080141</c:v>
                </c:pt>
                <c:pt idx="72">
                  <c:v>58.081454425474021</c:v>
                </c:pt>
                <c:pt idx="73">
                  <c:v>57.319822791950763</c:v>
                </c:pt>
                <c:pt idx="74">
                  <c:v>56.579238489655687</c:v>
                </c:pt>
                <c:pt idx="75">
                  <c:v>55.858859625339662</c:v>
                </c:pt>
                <c:pt idx="76">
                  <c:v>55.157888615924563</c:v>
                </c:pt>
                <c:pt idx="77">
                  <c:v>54.475569311219445</c:v>
                </c:pt>
                <c:pt idx="78">
                  <c:v>53.811184337966225</c:v>
                </c:pt>
                <c:pt idx="79">
                  <c:v>53.164052645603448</c:v>
                </c:pt>
                <c:pt idx="80">
                  <c:v>52.533527236097719</c:v>
                </c:pt>
                <c:pt idx="81">
                  <c:v>51.918993061935822</c:v>
                </c:pt>
                <c:pt idx="82">
                  <c:v>51.319865077922231</c:v>
                </c:pt>
                <c:pt idx="83">
                  <c:v>50.735586433810639</c:v>
                </c:pt>
                <c:pt idx="84">
                  <c:v>50.165626796033109</c:v>
                </c:pt>
                <c:pt idx="85">
                  <c:v>49.6094807878955</c:v>
                </c:pt>
                <c:pt idx="86">
                  <c:v>49.066666538596422</c:v>
                </c:pt>
                <c:pt idx="87">
                  <c:v>48.536724332313867</c:v>
                </c:pt>
                <c:pt idx="88">
                  <c:v>48.019215349399516</c:v>
                </c:pt>
                <c:pt idx="89">
                  <c:v>47.513720492436477</c:v>
                </c:pt>
                <c:pt idx="90">
                  <c:v>47.01983929055973</c:v>
                </c:pt>
                <c:pt idx="91">
                  <c:v>46.537188876019144</c:v>
                </c:pt>
                <c:pt idx="92">
                  <c:v>46.065403027488557</c:v>
                </c:pt>
                <c:pt idx="93">
                  <c:v>45.60413127509667</c:v>
                </c:pt>
                <c:pt idx="94">
                  <c:v>45.15303806258374</c:v>
                </c:pt>
                <c:pt idx="95">
                  <c:v>44.711801962374651</c:v>
                </c:pt>
                <c:pt idx="96">
                  <c:v>44.280114939709883</c:v>
                </c:pt>
                <c:pt idx="97">
                  <c:v>43.85768166229429</c:v>
                </c:pt>
                <c:pt idx="98">
                  <c:v>43.444218852212046</c:v>
                </c:pt>
                <c:pt idx="99">
                  <c:v>43.039454677119728</c:v>
                </c:pt>
                <c:pt idx="100">
                  <c:v>42.64312817796764</c:v>
                </c:pt>
                <c:pt idx="101">
                  <c:v>42.254988730717962</c:v>
                </c:pt>
                <c:pt idx="102">
                  <c:v>41.874795539726485</c:v>
                </c:pt>
                <c:pt idx="103">
                  <c:v>41.502317160636196</c:v>
                </c:pt>
                <c:pt idx="104">
                  <c:v>41.137331050796085</c:v>
                </c:pt>
                <c:pt idx="105">
                  <c:v>40.779623145370437</c:v>
                </c:pt>
                <c:pt idx="106">
                  <c:v>40.428987457441849</c:v>
                </c:pt>
                <c:pt idx="107">
                  <c:v>40.085225700538466</c:v>
                </c:pt>
                <c:pt idx="108">
                  <c:v>39.748146932131789</c:v>
                </c:pt>
                <c:pt idx="109">
                  <c:v>39.417567216758606</c:v>
                </c:pt>
                <c:pt idx="110">
                  <c:v>39.093309307518027</c:v>
                </c:pt>
                <c:pt idx="111">
                  <c:v>38.775202344784823</c:v>
                </c:pt>
                <c:pt idx="112">
                  <c:v>38.463081571063277</c:v>
                </c:pt>
                <c:pt idx="113">
                  <c:v>38.156788060981377</c:v>
                </c:pt>
                <c:pt idx="114">
                  <c:v>37.856168465495998</c:v>
                </c:pt>
                <c:pt idx="115">
                  <c:v>37.561074769443728</c:v>
                </c:pt>
                <c:pt idx="116">
                  <c:v>37.271364061632354</c:v>
                </c:pt>
                <c:pt idx="117">
                  <c:v>36.986898316722353</c:v>
                </c:pt>
                <c:pt idx="118">
                  <c:v>36.707544188199293</c:v>
                </c:pt>
                <c:pt idx="119">
                  <c:v>36.433172811784495</c:v>
                </c:pt>
                <c:pt idx="120">
                  <c:v>36.163659618675268</c:v>
                </c:pt>
                <c:pt idx="121">
                  <c:v>35.898884158045853</c:v>
                </c:pt>
                <c:pt idx="122">
                  <c:v>35.638729928277883</c:v>
                </c:pt>
                <c:pt idx="123">
                  <c:v>35.383084216423526</c:v>
                </c:pt>
                <c:pt idx="124">
                  <c:v>35.131837945436487</c:v>
                </c:pt>
                <c:pt idx="125">
                  <c:v>34.88488552873595</c:v>
                </c:pt>
                <c:pt idx="126">
                  <c:v>34.642124731696036</c:v>
                </c:pt>
                <c:pt idx="127">
                  <c:v>34.403456539679105</c:v>
                </c:pt>
                <c:pt idx="128">
                  <c:v>34.168785032254917</c:v>
                </c:pt>
                <c:pt idx="129">
                  <c:v>33.938017263270169</c:v>
                </c:pt>
                <c:pt idx="130">
                  <c:v>33.711063146453171</c:v>
                </c:pt>
                <c:pt idx="131">
                  <c:v>33.487835346258095</c:v>
                </c:pt>
                <c:pt idx="132">
                  <c:v>33.268249173670817</c:v>
                </c:pt>
                <c:pt idx="133">
                  <c:v>33.052222486715209</c:v>
                </c:pt>
                <c:pt idx="134">
                  <c:v>32.839675595414455</c:v>
                </c:pt>
                <c:pt idx="135">
                  <c:v>32.630531170976212</c:v>
                </c:pt>
                <c:pt idx="136">
                  <c:v>32.424714158984393</c:v>
                </c:pt>
                <c:pt idx="137">
                  <c:v>32.222151696392757</c:v>
                </c:pt>
                <c:pt idx="138">
                  <c:v>32.022773032127347</c:v>
                </c:pt>
                <c:pt idx="139">
                  <c:v>31.826509451116394</c:v>
                </c:pt>
                <c:pt idx="140">
                  <c:v>31.633294201575872</c:v>
                </c:pt>
                <c:pt idx="141">
                  <c:v>31.443062425389396</c:v>
                </c:pt>
                <c:pt idx="142">
                  <c:v>31.255751091429747</c:v>
                </c:pt>
                <c:pt idx="143">
                  <c:v>31.071298931678196</c:v>
                </c:pt>
                <c:pt idx="144">
                  <c:v>30.889646380005409</c:v>
                </c:pt>
                <c:pt idx="145">
                  <c:v>30.710735513485613</c:v>
                </c:pt>
                <c:pt idx="146">
                  <c:v>30.534509996122512</c:v>
                </c:pt>
                <c:pt idx="147">
                  <c:v>30.360915024872096</c:v>
                </c:pt>
                <c:pt idx="148">
                  <c:v>30.189897277853699</c:v>
                </c:pt>
                <c:pt idx="149">
                  <c:v>30.021404864646552</c:v>
                </c:pt>
                <c:pt idx="150">
                  <c:v>29.855387278574419</c:v>
                </c:pt>
                <c:pt idx="151">
                  <c:v>29.691795350886274</c:v>
                </c:pt>
                <c:pt idx="152">
                  <c:v>29.530581206745595</c:v>
                </c:pt>
                <c:pt idx="153">
                  <c:v>29.371698222945561</c:v>
                </c:pt>
                <c:pt idx="154">
                  <c:v>29.215100987271764</c:v>
                </c:pt>
                <c:pt idx="155">
                  <c:v>29.060745259437866</c:v>
                </c:pt>
                <c:pt idx="156">
                  <c:v>28.908587933523876</c:v>
                </c:pt>
                <c:pt idx="157">
                  <c:v>28.758587001849811</c:v>
                </c:pt>
                <c:pt idx="158">
                  <c:v>28.61070152022122</c:v>
                </c:pt>
                <c:pt idx="159">
                  <c:v>28.46489157448632</c:v>
                </c:pt>
                <c:pt idx="160">
                  <c:v>28.321118248347084</c:v>
                </c:pt>
                <c:pt idx="161">
                  <c:v>28.179343592370071</c:v>
                </c:pt>
                <c:pt idx="162">
                  <c:v>28.039530594144857</c:v>
                </c:pt>
                <c:pt idx="163">
                  <c:v>27.901643149541048</c:v>
                </c:pt>
                <c:pt idx="164">
                  <c:v>27.76564603501679</c:v>
                </c:pt>
                <c:pt idx="165">
                  <c:v>27.631504880934269</c:v>
                </c:pt>
                <c:pt idx="166">
                  <c:v>27.49918614583973</c:v>
                </c:pt>
                <c:pt idx="167">
                  <c:v>27.368657091667494</c:v>
                </c:pt>
                <c:pt idx="168">
                  <c:v>27.239885759829686</c:v>
                </c:pt>
                <c:pt idx="169">
                  <c:v>27.112840948154687</c:v>
                </c:pt>
                <c:pt idx="170">
                  <c:v>26.987492188639617</c:v>
                </c:pt>
                <c:pt idx="171">
                  <c:v>26.863809725983423</c:v>
                </c:pt>
                <c:pt idx="172">
                  <c:v>26.741764496868804</c:v>
                </c:pt>
                <c:pt idx="173">
                  <c:v>26.621328109962668</c:v>
                </c:pt>
                <c:pt idx="174">
                  <c:v>26.502472826606247</c:v>
                </c:pt>
                <c:pt idx="175">
                  <c:v>26.385171542167267</c:v>
                </c:pt>
                <c:pt idx="176">
                  <c:v>26.269397768027805</c:v>
                </c:pt>
                <c:pt idx="177">
                  <c:v>26.155125614182797</c:v>
                </c:pt>
                <c:pt idx="178">
                  <c:v>26.042329772425013</c:v>
                </c:pt>
                <c:pt idx="179">
                  <c:v>25.930985500093797</c:v>
                </c:pt>
                <c:pt idx="180">
                  <c:v>25.821068604365365</c:v>
                </c:pt>
                <c:pt idx="181">
                  <c:v>25.712555427063979</c:v>
                </c:pt>
                <c:pt idx="182">
                  <c:v>25.605422829973801</c:v>
                </c:pt>
                <c:pt idx="183">
                  <c:v>25.499648180632363</c:v>
                </c:pt>
                <c:pt idx="184">
                  <c:v>25.395209338587236</c:v>
                </c:pt>
                <c:pt idx="185">
                  <c:v>25.292084642098477</c:v>
                </c:pt>
                <c:pt idx="186">
                  <c:v>25.190252895270021</c:v>
                </c:pt>
                <c:pt idx="187">
                  <c:v>25.089693355593941</c:v>
                </c:pt>
                <c:pt idx="188">
                  <c:v>24.990385721892284</c:v>
                </c:pt>
                <c:pt idx="189">
                  <c:v>24.892310122641639</c:v>
                </c:pt>
                <c:pt idx="190">
                  <c:v>24.795447104666465</c:v>
                </c:pt>
                <c:pt idx="191">
                  <c:v>24.699777622187561</c:v>
                </c:pt>
                <c:pt idx="192">
                  <c:v>24.60528302621281</c:v>
                </c:pt>
                <c:pt idx="193">
                  <c:v>24.511945054257684</c:v>
                </c:pt>
                <c:pt idx="194">
                  <c:v>24.419745820383739</c:v>
                </c:pt>
                <c:pt idx="195">
                  <c:v>24.328667805543567</c:v>
                </c:pt>
                <c:pt idx="196">
                  <c:v>24.238693848221342</c:v>
                </c:pt>
                <c:pt idx="197">
                  <c:v>24.149807135358429</c:v>
                </c:pt>
                <c:pt idx="198">
                  <c:v>24.061991193553915</c:v>
                </c:pt>
                <c:pt idx="199">
                  <c:v>23.975229880530541</c:v>
                </c:pt>
                <c:pt idx="200">
                  <c:v>23.889507376856596</c:v>
                </c:pt>
                <c:pt idx="201">
                  <c:v>23.804808177914921</c:v>
                </c:pt>
                <c:pt idx="202">
                  <c:v>23.721117086110485</c:v>
                </c:pt>
                <c:pt idx="203">
                  <c:v>23.638419203308249</c:v>
                </c:pt>
                <c:pt idx="204">
                  <c:v>23.556699923493479</c:v>
                </c:pt>
                <c:pt idx="205">
                  <c:v>23.475944925646839</c:v>
                </c:pt>
                <c:pt idx="206">
                  <c:v>23.396140166827056</c:v>
                </c:pt>
                <c:pt idx="207">
                  <c:v>23.317271875454026</c:v>
                </c:pt>
                <c:pt idx="208">
                  <c:v>23.23932654478573</c:v>
                </c:pt>
                <c:pt idx="209">
                  <c:v>23.162290926582383</c:v>
                </c:pt>
                <c:pt idx="210">
                  <c:v>23.08615202495163</c:v>
                </c:pt>
                <c:pt idx="211">
                  <c:v>23.010897090368747</c:v>
                </c:pt>
                <c:pt idx="212">
                  <c:v>22.936513613866069</c:v>
                </c:pt>
                <c:pt idx="213">
                  <c:v>22.862989321386131</c:v>
                </c:pt>
                <c:pt idx="214">
                  <c:v>22.790312168293102</c:v>
                </c:pt>
                <c:pt idx="215">
                  <c:v>22.718470334037395</c:v>
                </c:pt>
                <c:pt idx="216">
                  <c:v>22.647452216968492</c:v>
                </c:pt>
                <c:pt idx="217">
                  <c:v>22.577246429291186</c:v>
                </c:pt>
                <c:pt idx="218">
                  <c:v>22.507841792160633</c:v>
                </c:pt>
                <c:pt idx="219">
                  <c:v>22.439227330911816</c:v>
                </c:pt>
                <c:pt idx="220">
                  <c:v>22.371392270419069</c:v>
                </c:pt>
                <c:pt idx="221">
                  <c:v>22.304326030581638</c:v>
                </c:pt>
                <c:pt idx="222">
                  <c:v>22.238018221931199</c:v>
                </c:pt>
                <c:pt idx="223">
                  <c:v>22.172458641357618</c:v>
                </c:pt>
                <c:pt idx="224">
                  <c:v>22.107637267949148</c:v>
                </c:pt>
                <c:pt idx="225">
                  <c:v>22.043544258943591</c:v>
                </c:pt>
                <c:pt idx="226">
                  <c:v>21.980169945786926</c:v>
                </c:pt>
                <c:pt idx="227">
                  <c:v>21.917504830296132</c:v>
                </c:pt>
                <c:pt idx="228">
                  <c:v>21.855539580922965</c:v>
                </c:pt>
                <c:pt idx="229">
                  <c:v>21.794265029115667</c:v>
                </c:pt>
                <c:pt idx="230">
                  <c:v>21.733672165775562</c:v>
                </c:pt>
                <c:pt idx="231">
                  <c:v>21.673752137805661</c:v>
                </c:pt>
                <c:pt idx="232">
                  <c:v>21.614496244748597</c:v>
                </c:pt>
                <c:pt idx="233">
                  <c:v>21.555895935511074</c:v>
                </c:pt>
                <c:pt idx="234">
                  <c:v>21.497942805172329</c:v>
                </c:pt>
                <c:pt idx="235">
                  <c:v>21.440628591874074</c:v>
                </c:pt>
                <c:pt idx="236">
                  <c:v>21.383945173789524</c:v>
                </c:pt>
                <c:pt idx="237">
                  <c:v>21.327884566169143</c:v>
                </c:pt>
                <c:pt idx="238">
                  <c:v>21.272438918460853</c:v>
                </c:pt>
                <c:pt idx="239">
                  <c:v>21.217600511502585</c:v>
                </c:pt>
                <c:pt idx="240">
                  <c:v>21.163361754784969</c:v>
                </c:pt>
                <c:pt idx="241">
                  <c:v>21.109715183782178</c:v>
                </c:pt>
                <c:pt idx="242">
                  <c:v>21.056653457348986</c:v>
                </c:pt>
                <c:pt idx="243">
                  <c:v>21.004169355182075</c:v>
                </c:pt>
                <c:pt idx="244">
                  <c:v>20.952255775343733</c:v>
                </c:pt>
                <c:pt idx="245">
                  <c:v>20.900905731846269</c:v>
                </c:pt>
                <c:pt idx="246">
                  <c:v>20.85011235229528</c:v>
                </c:pt>
                <c:pt idx="247">
                  <c:v>20.79986887559021</c:v>
                </c:pt>
                <c:pt idx="248">
                  <c:v>20.750168649680493</c:v>
                </c:pt>
                <c:pt idx="249">
                  <c:v>20.701005129375822</c:v>
                </c:pt>
                <c:pt idx="250">
                  <c:v>20.652371874208946</c:v>
                </c:pt>
                <c:pt idx="251">
                  <c:v>20.604262546349528</c:v>
                </c:pt>
                <c:pt idx="252">
                  <c:v>20.556670908567721</c:v>
                </c:pt>
                <c:pt idx="253">
                  <c:v>20.509590822245993</c:v>
                </c:pt>
                <c:pt idx="254">
                  <c:v>20.463016245437981</c:v>
                </c:pt>
                <c:pt idx="255">
                  <c:v>20.41694123097292</c:v>
                </c:pt>
                <c:pt idx="256">
                  <c:v>20.371359924604615</c:v>
                </c:pt>
                <c:pt idx="257">
                  <c:v>20.326266563203529</c:v>
                </c:pt>
                <c:pt idx="258">
                  <c:v>20.28165547299097</c:v>
                </c:pt>
                <c:pt idx="259">
                  <c:v>20.237521067814175</c:v>
                </c:pt>
                <c:pt idx="260">
                  <c:v>20.193857847461196</c:v>
                </c:pt>
                <c:pt idx="261">
                  <c:v>20.150660396014519</c:v>
                </c:pt>
                <c:pt idx="262">
                  <c:v>20.107923380242386</c:v>
                </c:pt>
                <c:pt idx="263">
                  <c:v>20.065641548026846</c:v>
                </c:pt>
                <c:pt idx="264">
                  <c:v>20.023809726827473</c:v>
                </c:pt>
                <c:pt idx="265">
                  <c:v>19.982422822179942</c:v>
                </c:pt>
                <c:pt idx="266">
                  <c:v>19.941475816228401</c:v>
                </c:pt>
                <c:pt idx="267">
                  <c:v>19.900963766290868</c:v>
                </c:pt>
                <c:pt idx="268">
                  <c:v>19.860881803456749</c:v>
                </c:pt>
                <c:pt idx="269">
                  <c:v>19.821225131215588</c:v>
                </c:pt>
                <c:pt idx="270">
                  <c:v>19.781989024116353</c:v>
                </c:pt>
                <c:pt idx="271">
                  <c:v>19.743168826456372</c:v>
                </c:pt>
                <c:pt idx="272">
                  <c:v>19.704759950999179</c:v>
                </c:pt>
                <c:pt idx="273">
                  <c:v>19.666757877720563</c:v>
                </c:pt>
                <c:pt idx="274">
                  <c:v>19.629158152582082</c:v>
                </c:pt>
                <c:pt idx="275">
                  <c:v>19.591956386331287</c:v>
                </c:pt>
                <c:pt idx="276">
                  <c:v>19.555148253328106</c:v>
                </c:pt>
                <c:pt idx="277">
                  <c:v>19.518729490396566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93E-4FBF-B33F-92DEB2B401EF}"/>
            </c:ext>
          </c:extLst>
        </c:ser>
        <c:ser>
          <c:idx val="3"/>
          <c:order val="1"/>
          <c:tx>
            <c:v>Ceiling</c:v>
          </c:tx>
          <c:spPr>
            <a:ln w="76200" cmpd="thickThin"/>
          </c:spPr>
          <c:marker>
            <c:symbol val="none"/>
          </c:marker>
          <c:xVal>
            <c:numRef>
              <c:f>Hand_launch!$F$3:$F$280</c:f>
              <c:numCache>
                <c:formatCode>General</c:formatCode>
                <c:ptCount val="27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  <c:pt idx="262">
                  <c:v>1310</c:v>
                </c:pt>
                <c:pt idx="263">
                  <c:v>1315</c:v>
                </c:pt>
                <c:pt idx="264">
                  <c:v>1320</c:v>
                </c:pt>
                <c:pt idx="265">
                  <c:v>1325</c:v>
                </c:pt>
                <c:pt idx="266">
                  <c:v>1330</c:v>
                </c:pt>
                <c:pt idx="267">
                  <c:v>1335</c:v>
                </c:pt>
                <c:pt idx="268">
                  <c:v>1340</c:v>
                </c:pt>
                <c:pt idx="269">
                  <c:v>1345</c:v>
                </c:pt>
                <c:pt idx="270">
                  <c:v>1350</c:v>
                </c:pt>
                <c:pt idx="271">
                  <c:v>1355</c:v>
                </c:pt>
                <c:pt idx="272">
                  <c:v>1360</c:v>
                </c:pt>
                <c:pt idx="273">
                  <c:v>1365</c:v>
                </c:pt>
                <c:pt idx="274">
                  <c:v>1370</c:v>
                </c:pt>
                <c:pt idx="275">
                  <c:v>1375</c:v>
                </c:pt>
                <c:pt idx="276">
                  <c:v>1380</c:v>
                </c:pt>
                <c:pt idx="277">
                  <c:v>1385</c:v>
                </c:pt>
              </c:numCache>
            </c:numRef>
          </c:xVal>
          <c:yVal>
            <c:numRef>
              <c:f>Ceiling!$K$3:$K$280</c:f>
              <c:numCache>
                <c:formatCode>General</c:formatCode>
                <c:ptCount val="278"/>
                <c:pt idx="0">
                  <c:v>0</c:v>
                </c:pt>
                <c:pt idx="1">
                  <c:v>0.64300675293406007</c:v>
                </c:pt>
                <c:pt idx="2">
                  <c:v>0.90934887069683368</c:v>
                </c:pt>
                <c:pt idx="3">
                  <c:v>1.1137203656916805</c:v>
                </c:pt>
                <c:pt idx="4">
                  <c:v>1.2860135058681201</c:v>
                </c:pt>
                <c:pt idx="5">
                  <c:v>1.4378068095519707</c:v>
                </c:pt>
                <c:pt idx="6">
                  <c:v>1.5750384458522975</c:v>
                </c:pt>
                <c:pt idx="7">
                  <c:v>1.7012359595986748</c:v>
                </c:pt>
                <c:pt idx="8">
                  <c:v>1.8186977413936674</c:v>
                </c:pt>
                <c:pt idx="9">
                  <c:v>1.9290202588021805</c:v>
                </c:pt>
                <c:pt idx="10">
                  <c:v>2.0333658901407867</c:v>
                </c:pt>
                <c:pt idx="11">
                  <c:v>2.1326121371470337</c:v>
                </c:pt>
                <c:pt idx="12">
                  <c:v>2.2274407313833611</c:v>
                </c:pt>
                <c:pt idx="13">
                  <c:v>2.3183938181733588</c:v>
                </c:pt>
                <c:pt idx="14">
                  <c:v>2.4059109668612524</c:v>
                </c:pt>
                <c:pt idx="15">
                  <c:v>2.4903544456125219</c:v>
                </c:pt>
                <c:pt idx="16">
                  <c:v>2.5720270117362403</c:v>
                </c:pt>
                <c:pt idx="17">
                  <c:v>2.6511847603325682</c:v>
                </c:pt>
                <c:pt idx="18">
                  <c:v>2.7280466120905014</c:v>
                </c:pt>
                <c:pt idx="19">
                  <c:v>2.8028014560537935</c:v>
                </c:pt>
                <c:pt idx="20">
                  <c:v>2.8756136191039414</c:v>
                </c:pt>
                <c:pt idx="21">
                  <c:v>2.9466271176880987</c:v>
                </c:pt>
                <c:pt idx="22">
                  <c:v>3.0159690076348058</c:v>
                </c:pt>
                <c:pt idx="23">
                  <c:v>3.0837520554241187</c:v>
                </c:pt>
                <c:pt idx="24">
                  <c:v>3.1500768917045949</c:v>
                </c:pt>
                <c:pt idx="25">
                  <c:v>3.2150337646703009</c:v>
                </c:pt>
                <c:pt idx="26">
                  <c:v>3.2787039805827067</c:v>
                </c:pt>
                <c:pt idx="27">
                  <c:v>3.3411610970750414</c:v>
                </c:pt>
                <c:pt idx="28">
                  <c:v>3.4024719191973496</c:v>
                </c:pt>
                <c:pt idx="29">
                  <c:v>3.4626973366503311</c:v>
                </c:pt>
                <c:pt idx="30">
                  <c:v>3.5218930321013588</c:v>
                </c:pt>
                <c:pt idx="31">
                  <c:v>3.5801100840453088</c:v>
                </c:pt>
                <c:pt idx="32">
                  <c:v>3.6373954827873347</c:v>
                </c:pt>
                <c:pt idx="33">
                  <c:v>3.6937925743767086</c:v>
                </c:pt>
                <c:pt idx="34">
                  <c:v>3.7493414444191822</c:v>
                </c:pt>
                <c:pt idx="35">
                  <c:v>3.804079251429723</c:v>
                </c:pt>
                <c:pt idx="36">
                  <c:v>3.8580405176043611</c:v>
                </c:pt>
                <c:pt idx="37">
                  <c:v>3.9112573834760256</c:v>
                </c:pt>
                <c:pt idx="38">
                  <c:v>3.9637598317903335</c:v>
                </c:pt>
                <c:pt idx="39">
                  <c:v>4.0155758850298593</c:v>
                </c:pt>
                <c:pt idx="40">
                  <c:v>4.0667317802815734</c:v>
                </c:pt>
                <c:pt idx="41">
                  <c:v>4.1172521245450762</c:v>
                </c:pt>
                <c:pt idx="42">
                  <c:v>4.1671600330908518</c:v>
                </c:pt>
                <c:pt idx="43">
                  <c:v>4.2164772530761452</c:v>
                </c:pt>
                <c:pt idx="44">
                  <c:v>4.2652242742940674</c:v>
                </c:pt>
                <c:pt idx="45">
                  <c:v>4.3134204286559124</c:v>
                </c:pt>
                <c:pt idx="46">
                  <c:v>4.3610839797766969</c:v>
                </c:pt>
                <c:pt idx="47">
                  <c:v>4.4082322038413269</c:v>
                </c:pt>
                <c:pt idx="48">
                  <c:v>4.4548814627667221</c:v>
                </c:pt>
                <c:pt idx="49">
                  <c:v>4.5010472705384208</c:v>
                </c:pt>
                <c:pt idx="50">
                  <c:v>4.5467443534841694</c:v>
                </c:pt>
                <c:pt idx="51">
                  <c:v>4.591986705148325</c:v>
                </c:pt>
                <c:pt idx="52">
                  <c:v>4.6367876363467175</c:v>
                </c:pt>
                <c:pt idx="53">
                  <c:v>4.6811598209094054</c:v>
                </c:pt>
                <c:pt idx="54">
                  <c:v>4.7251153375568924</c:v>
                </c:pt>
                <c:pt idx="55">
                  <c:v>4.7686657083018709</c:v>
                </c:pt>
                <c:pt idx="56">
                  <c:v>4.8118219337225048</c:v>
                </c:pt>
                <c:pt idx="57">
                  <c:v>4.8545945254131988</c:v>
                </c:pt>
                <c:pt idx="58">
                  <c:v>4.8969935358840928</c:v>
                </c:pt>
                <c:pt idx="59">
                  <c:v>4.9390285861502567</c:v>
                </c:pt>
                <c:pt idx="60">
                  <c:v>4.9807088912250439</c:v>
                </c:pt>
                <c:pt idx="61">
                  <c:v>5.0220432837090332</c:v>
                </c:pt>
                <c:pt idx="62">
                  <c:v>5.0630402356455564</c:v>
                </c:pt>
                <c:pt idx="63">
                  <c:v>5.1037078787960244</c:v>
                </c:pt>
                <c:pt idx="64">
                  <c:v>5.1440540234724805</c:v>
                </c:pt>
                <c:pt idx="65">
                  <c:v>5.1840861760509176</c:v>
                </c:pt>
                <c:pt idx="66">
                  <c:v>5.2238115552765709</c:v>
                </c:pt>
                <c:pt idx="67">
                  <c:v>5.2632371074615127</c:v>
                </c:pt>
                <c:pt idx="68">
                  <c:v>5.3023695206651364</c:v>
                </c:pt>
                <c:pt idx="69">
                  <c:v>5.3412152379395303</c:v>
                </c:pt>
                <c:pt idx="70">
                  <c:v>5.3797804697140057</c:v>
                </c:pt>
                <c:pt idx="71">
                  <c:v>5.4180712053861972</c:v>
                </c:pt>
                <c:pt idx="72">
                  <c:v>5.4560932241810027</c:v>
                </c:pt>
                <c:pt idx="73">
                  <c:v>5.4938521053330742</c:v>
                </c:pt>
                <c:pt idx="74">
                  <c:v>5.5313532376437013</c:v>
                </c:pt>
                <c:pt idx="75">
                  <c:v>5.5686018284584025</c:v>
                </c:pt>
                <c:pt idx="76">
                  <c:v>5.605602912107587</c:v>
                </c:pt>
                <c:pt idx="77">
                  <c:v>5.6423613578490226</c:v>
                </c:pt>
                <c:pt idx="78">
                  <c:v>5.6788818773475702</c:v>
                </c:pt>
                <c:pt idx="79">
                  <c:v>5.7151690317247379</c:v>
                </c:pt>
                <c:pt idx="80">
                  <c:v>5.7512272382078828</c:v>
                </c:pt>
                <c:pt idx="81">
                  <c:v>5.7870607764065403</c:v>
                </c:pt>
                <c:pt idx="82">
                  <c:v>5.8226737942410862</c:v>
                </c:pt>
                <c:pt idx="83">
                  <c:v>5.8580703135470031</c:v>
                </c:pt>
                <c:pt idx="84">
                  <c:v>5.8932542353761974</c:v>
                </c:pt>
                <c:pt idx="85">
                  <c:v>5.9282293450151116</c:v>
                </c:pt>
                <c:pt idx="86">
                  <c:v>5.9629993167379363</c:v>
                </c:pt>
                <c:pt idx="87">
                  <c:v>5.9975677183118075</c:v>
                </c:pt>
                <c:pt idx="88">
                  <c:v>6.0319380152696116</c:v>
                </c:pt>
                <c:pt idx="89">
                  <c:v>6.0661135749649056</c:v>
                </c:pt>
                <c:pt idx="90">
                  <c:v>6.1000976704223602</c:v>
                </c:pt>
                <c:pt idx="91">
                  <c:v>6.1338934839962063</c:v>
                </c:pt>
                <c:pt idx="92">
                  <c:v>6.1675041108482374</c:v>
                </c:pt>
                <c:pt idx="93">
                  <c:v>6.200932562256158</c:v>
                </c:pt>
                <c:pt idx="94">
                  <c:v>6.2341817687622418</c:v>
                </c:pt>
                <c:pt idx="95">
                  <c:v>6.2672545831716722</c:v>
                </c:pt>
                <c:pt idx="96">
                  <c:v>6.3001537834091899</c:v>
                </c:pt>
                <c:pt idx="97">
                  <c:v>6.3328820752421988</c:v>
                </c:pt>
                <c:pt idx="98">
                  <c:v>6.3654420948778361</c:v>
                </c:pt>
                <c:pt idx="99">
                  <c:v>6.3978364114411006</c:v>
                </c:pt>
                <c:pt idx="100">
                  <c:v>6.4300675293406018</c:v>
                </c:pt>
                <c:pt idx="101">
                  <c:v>6.4621378905281146</c:v>
                </c:pt>
                <c:pt idx="102">
                  <c:v>6.4940498766577042</c:v>
                </c:pt>
                <c:pt idx="103">
                  <c:v>6.5258058111498203</c:v>
                </c:pt>
                <c:pt idx="104">
                  <c:v>6.5574079611654135</c:v>
                </c:pt>
                <c:pt idx="105">
                  <c:v>6.5888585394948622</c:v>
                </c:pt>
                <c:pt idx="106">
                  <c:v>6.6201597063660911</c:v>
                </c:pt>
                <c:pt idx="107">
                  <c:v>6.6513135711761455</c:v>
                </c:pt>
                <c:pt idx="108">
                  <c:v>6.6823221941500828</c:v>
                </c:pt>
                <c:pt idx="109">
                  <c:v>6.7131875879309053</c:v>
                </c:pt>
                <c:pt idx="110">
                  <c:v>6.7439117191040081</c:v>
                </c:pt>
                <c:pt idx="111">
                  <c:v>6.7744965096593841</c:v>
                </c:pt>
                <c:pt idx="112">
                  <c:v>6.8049438383946992</c:v>
                </c:pt>
                <c:pt idx="113">
                  <c:v>6.835255542262102</c:v>
                </c:pt>
                <c:pt idx="114">
                  <c:v>6.8654334176615235</c:v>
                </c:pt>
                <c:pt idx="115">
                  <c:v>6.8954792216830292</c:v>
                </c:pt>
                <c:pt idx="116">
                  <c:v>6.9253946733006622</c:v>
                </c:pt>
                <c:pt idx="117">
                  <c:v>6.9551814545200763</c:v>
                </c:pt>
                <c:pt idx="118">
                  <c:v>6.984841211482105</c:v>
                </c:pt>
                <c:pt idx="119">
                  <c:v>7.0143755555243557</c:v>
                </c:pt>
                <c:pt idx="120">
                  <c:v>7.0437860642027177</c:v>
                </c:pt>
                <c:pt idx="121">
                  <c:v>7.0730742822746624</c:v>
                </c:pt>
                <c:pt idx="122">
                  <c:v>7.1022417226460277</c:v>
                </c:pt>
                <c:pt idx="123">
                  <c:v>7.1312898672829741</c:v>
                </c:pt>
                <c:pt idx="124">
                  <c:v>7.1602201680906177</c:v>
                </c:pt>
                <c:pt idx="125">
                  <c:v>7.1890340477598542</c:v>
                </c:pt>
                <c:pt idx="126">
                  <c:v>7.2177329005837576</c:v>
                </c:pt>
                <c:pt idx="127">
                  <c:v>7.2463180932448745</c:v>
                </c:pt>
                <c:pt idx="128">
                  <c:v>7.2747909655746694</c:v>
                </c:pt>
                <c:pt idx="129">
                  <c:v>7.3031528312863383</c:v>
                </c:pt>
                <c:pt idx="130">
                  <c:v>7.3314049786820839</c:v>
                </c:pt>
                <c:pt idx="131">
                  <c:v>7.3595486713359843</c:v>
                </c:pt>
                <c:pt idx="132">
                  <c:v>7.3875851487534172</c:v>
                </c:pt>
                <c:pt idx="133">
                  <c:v>7.4155156270080669</c:v>
                </c:pt>
                <c:pt idx="134">
                  <c:v>7.4433412993574102</c:v>
                </c:pt>
                <c:pt idx="135">
                  <c:v>7.4710633368375658</c:v>
                </c:pt>
                <c:pt idx="136">
                  <c:v>7.4986828888383643</c:v>
                </c:pt>
                <c:pt idx="137">
                  <c:v>7.5262010836594095</c:v>
                </c:pt>
                <c:pt idx="138">
                  <c:v>7.5536190290479217</c:v>
                </c:pt>
                <c:pt idx="139">
                  <c:v>7.5809378127190632</c:v>
                </c:pt>
                <c:pt idx="140">
                  <c:v>7.6081585028594461</c:v>
                </c:pt>
                <c:pt idx="141">
                  <c:v>7.6352821486145022</c:v>
                </c:pt>
                <c:pt idx="142">
                  <c:v>7.6623097805603031</c:v>
                </c:pt>
                <c:pt idx="143">
                  <c:v>7.6892424111604711</c:v>
                </c:pt>
                <c:pt idx="144">
                  <c:v>7.7160810352087221</c:v>
                </c:pt>
                <c:pt idx="145">
                  <c:v>7.742826630257615</c:v>
                </c:pt>
                <c:pt idx="146">
                  <c:v>7.7694801570340148</c:v>
                </c:pt>
                <c:pt idx="147">
                  <c:v>7.7960425598417631</c:v>
                </c:pt>
                <c:pt idx="148">
                  <c:v>7.8225147669520512</c:v>
                </c:pt>
                <c:pt idx="149">
                  <c:v>7.8488976909819446</c:v>
                </c:pt>
                <c:pt idx="150">
                  <c:v>7.8751922292614873</c:v>
                </c:pt>
                <c:pt idx="151">
                  <c:v>7.9013992641898128</c:v>
                </c:pt>
                <c:pt idx="152">
                  <c:v>7.9275196635806671</c:v>
                </c:pt>
                <c:pt idx="153">
                  <c:v>7.9535542809977056</c:v>
                </c:pt>
                <c:pt idx="154">
                  <c:v>7.9795039560799594</c:v>
                </c:pt>
                <c:pt idx="155">
                  <c:v>8.0053695148577955</c:v>
                </c:pt>
                <c:pt idx="156">
                  <c:v>8.0311517700597186</c:v>
                </c:pt>
                <c:pt idx="157">
                  <c:v>8.0568515214103424</c:v>
                </c:pt>
                <c:pt idx="158">
                  <c:v>8.0824695559198343</c:v>
                </c:pt>
                <c:pt idx="159">
                  <c:v>8.1080066481651176</c:v>
                </c:pt>
                <c:pt idx="160">
                  <c:v>8.1334635605631469</c:v>
                </c:pt>
                <c:pt idx="161">
                  <c:v>8.1588410436364889</c:v>
                </c:pt>
                <c:pt idx="162">
                  <c:v>8.1841398362715037</c:v>
                </c:pt>
                <c:pt idx="163">
                  <c:v>8.2093606659693652</c:v>
                </c:pt>
                <c:pt idx="164">
                  <c:v>8.2345042490901523</c:v>
                </c:pt>
                <c:pt idx="165">
                  <c:v>8.2595712910902677</c:v>
                </c:pt>
                <c:pt idx="166">
                  <c:v>8.2845624867533818</c:v>
                </c:pt>
                <c:pt idx="167">
                  <c:v>8.3094785204151158</c:v>
                </c:pt>
                <c:pt idx="168">
                  <c:v>8.3343200661817036</c:v>
                </c:pt>
                <c:pt idx="169">
                  <c:v>8.3590877881427819</c:v>
                </c:pt>
                <c:pt idx="170">
                  <c:v>8.3837823405785397</c:v>
                </c:pt>
                <c:pt idx="171">
                  <c:v>8.4084043681613796</c:v>
                </c:pt>
                <c:pt idx="172">
                  <c:v>8.4329545061522904</c:v>
                </c:pt>
                <c:pt idx="173">
                  <c:v>8.4574333805920698</c:v>
                </c:pt>
                <c:pt idx="174">
                  <c:v>8.4818416084876169</c:v>
                </c:pt>
                <c:pt idx="175">
                  <c:v>8.506179797993374</c:v>
                </c:pt>
                <c:pt idx="176">
                  <c:v>8.5304485485881347</c:v>
                </c:pt>
                <c:pt idx="177">
                  <c:v>8.5546484512473224</c:v>
                </c:pt>
                <c:pt idx="178">
                  <c:v>8.5787800886109089</c:v>
                </c:pt>
                <c:pt idx="179">
                  <c:v>8.6028440351470863</c:v>
                </c:pt>
                <c:pt idx="180">
                  <c:v>8.6268408573118247</c:v>
                </c:pt>
                <c:pt idx="181">
                  <c:v>8.6507711137044563</c:v>
                </c:pt>
                <c:pt idx="182">
                  <c:v>8.6746353552193902</c:v>
                </c:pt>
                <c:pt idx="183">
                  <c:v>8.6984341251940869</c:v>
                </c:pt>
                <c:pt idx="184">
                  <c:v>8.7221679595533939</c:v>
                </c:pt>
                <c:pt idx="185">
                  <c:v>8.7458373869503561</c:v>
                </c:pt>
                <c:pt idx="186">
                  <c:v>8.7694429289036062</c:v>
                </c:pt>
                <c:pt idx="187">
                  <c:v>8.7929850999314354</c:v>
                </c:pt>
                <c:pt idx="188">
                  <c:v>8.8164644076826537</c:v>
                </c:pt>
                <c:pt idx="189">
                  <c:v>8.8398813530642961</c:v>
                </c:pt>
                <c:pt idx="190">
                  <c:v>8.8632364303663174</c:v>
                </c:pt>
                <c:pt idx="191">
                  <c:v>8.8865301273833239</c:v>
                </c:pt>
                <c:pt idx="192">
                  <c:v>8.9097629255334443</c:v>
                </c:pt>
                <c:pt idx="193">
                  <c:v>8.9329352999744192</c:v>
                </c:pt>
                <c:pt idx="194">
                  <c:v>8.9560477197169881</c:v>
                </c:pt>
                <c:pt idx="195">
                  <c:v>8.9791006477356436</c:v>
                </c:pt>
                <c:pt idx="196">
                  <c:v>9.0020945410768416</c:v>
                </c:pt>
                <c:pt idx="197">
                  <c:v>9.0250298509647209</c:v>
                </c:pt>
                <c:pt idx="198">
                  <c:v>9.0479070229044183</c:v>
                </c:pt>
                <c:pt idx="199">
                  <c:v>9.0707264967830383</c:v>
                </c:pt>
                <c:pt idx="200">
                  <c:v>9.0934887069683388</c:v>
                </c:pt>
                <c:pt idx="201">
                  <c:v>9.1161940824051939</c:v>
                </c:pt>
                <c:pt idx="202">
                  <c:v>9.1388430467099226</c:v>
                </c:pt>
                <c:pt idx="203">
                  <c:v>9.1614360182624814</c:v>
                </c:pt>
                <c:pt idx="204">
                  <c:v>9.1839734102966499</c:v>
                </c:pt>
                <c:pt idx="205">
                  <c:v>9.20645563098822</c:v>
                </c:pt>
                <c:pt idx="206">
                  <c:v>9.2288830835412323</c:v>
                </c:pt>
                <c:pt idx="207">
                  <c:v>9.2512561662723574</c:v>
                </c:pt>
                <c:pt idx="208">
                  <c:v>9.2735752726934351</c:v>
                </c:pt>
                <c:pt idx="209">
                  <c:v>9.295840791592223</c:v>
                </c:pt>
                <c:pt idx="210">
                  <c:v>9.3180531071114174</c:v>
                </c:pt>
                <c:pt idx="211">
                  <c:v>9.3402125988259765</c:v>
                </c:pt>
                <c:pt idx="212">
                  <c:v>9.3623196418188108</c:v>
                </c:pt>
                <c:pt idx="213">
                  <c:v>9.384374606754843</c:v>
                </c:pt>
                <c:pt idx="214">
                  <c:v>9.4063778599535297</c:v>
                </c:pt>
                <c:pt idx="215">
                  <c:v>9.4283297634598426</c:v>
                </c:pt>
                <c:pt idx="216">
                  <c:v>9.4502306751137848</c:v>
                </c:pt>
                <c:pt idx="217">
                  <c:v>9.4720809486184372</c:v>
                </c:pt>
                <c:pt idx="218">
                  <c:v>9.4938809336066114</c:v>
                </c:pt>
                <c:pt idx="219">
                  <c:v>9.5156309757061273</c:v>
                </c:pt>
                <c:pt idx="220">
                  <c:v>9.5373314166037417</c:v>
                </c:pt>
                <c:pt idx="221">
                  <c:v>9.5589825941077837</c:v>
                </c:pt>
                <c:pt idx="222">
                  <c:v>9.580584842209495</c:v>
                </c:pt>
                <c:pt idx="223">
                  <c:v>9.6021384911431653</c:v>
                </c:pt>
                <c:pt idx="224">
                  <c:v>9.6236438674450095</c:v>
                </c:pt>
                <c:pt idx="225">
                  <c:v>9.6451012940109031</c:v>
                </c:pt>
                <c:pt idx="226">
                  <c:v>9.6665110901529285</c:v>
                </c:pt>
                <c:pt idx="227">
                  <c:v>9.6878735716548441</c:v>
                </c:pt>
                <c:pt idx="228">
                  <c:v>9.7091890508263976</c:v>
                </c:pt>
                <c:pt idx="229">
                  <c:v>9.7304578365566137</c:v>
                </c:pt>
                <c:pt idx="230">
                  <c:v>9.7516802343660132</c:v>
                </c:pt>
                <c:pt idx="231">
                  <c:v>9.7728565464578256</c:v>
                </c:pt>
                <c:pt idx="232">
                  <c:v>9.7939870717681856</c:v>
                </c:pt>
                <c:pt idx="233">
                  <c:v>9.8150721060153803</c:v>
                </c:pt>
                <c:pt idx="234">
                  <c:v>9.836111941748122</c:v>
                </c:pt>
                <c:pt idx="235">
                  <c:v>9.8571068683929166</c:v>
                </c:pt>
                <c:pt idx="236">
                  <c:v>9.8780571723005135</c:v>
                </c:pt>
                <c:pt idx="237">
                  <c:v>9.898963136791469</c:v>
                </c:pt>
                <c:pt idx="238">
                  <c:v>9.9198250422008574</c:v>
                </c:pt>
                <c:pt idx="239">
                  <c:v>9.9406431659221131</c:v>
                </c:pt>
                <c:pt idx="240">
                  <c:v>9.9614177824500878</c:v>
                </c:pt>
                <c:pt idx="241">
                  <c:v>9.9821491634232569</c:v>
                </c:pt>
                <c:pt idx="242">
                  <c:v>10.002837577665172</c:v>
                </c:pt>
                <c:pt idx="243">
                  <c:v>10.023483291225125</c:v>
                </c:pt>
                <c:pt idx="244">
                  <c:v>10.044086567418066</c:v>
                </c:pt>
                <c:pt idx="245">
                  <c:v>10.064647666863797</c:v>
                </c:pt>
                <c:pt idx="246">
                  <c:v>10.085166847525413</c:v>
                </c:pt>
                <c:pt idx="247">
                  <c:v>10.105644364747082</c:v>
                </c:pt>
                <c:pt idx="248">
                  <c:v>10.126080471291113</c:v>
                </c:pt>
                <c:pt idx="249">
                  <c:v>10.146475417374353</c:v>
                </c:pt>
                <c:pt idx="250">
                  <c:v>10.166829450703935</c:v>
                </c:pt>
                <c:pt idx="251">
                  <c:v>10.187142816512374</c:v>
                </c:pt>
                <c:pt idx="252">
                  <c:v>10.207415757592049</c:v>
                </c:pt>
                <c:pt idx="253">
                  <c:v>10.227648514329053</c:v>
                </c:pt>
                <c:pt idx="254">
                  <c:v>10.247841324736449</c:v>
                </c:pt>
                <c:pt idx="255">
                  <c:v>10.26799442448694</c:v>
                </c:pt>
                <c:pt idx="256">
                  <c:v>10.288108046944961</c:v>
                </c:pt>
                <c:pt idx="257">
                  <c:v>10.308182423198208</c:v>
                </c:pt>
                <c:pt idx="258">
                  <c:v>10.328217782088608</c:v>
                </c:pt>
                <c:pt idx="259">
                  <c:v>10.348214350242756</c:v>
                </c:pt>
                <c:pt idx="260">
                  <c:v>10.368172352101835</c:v>
                </c:pt>
                <c:pt idx="261">
                  <c:v>10.388092009950995</c:v>
                </c:pt>
                <c:pt idx="262">
                  <c:v>10.407973543948241</c:v>
                </c:pt>
                <c:pt idx="263">
                  <c:v>10.427817172152825</c:v>
                </c:pt>
                <c:pt idx="264">
                  <c:v>10.447623110553142</c:v>
                </c:pt>
                <c:pt idx="265">
                  <c:v>10.467391573094172</c:v>
                </c:pt>
                <c:pt idx="266">
                  <c:v>10.487122771704435</c:v>
                </c:pt>
                <c:pt idx="267">
                  <c:v>10.506816916322494</c:v>
                </c:pt>
                <c:pt idx="268">
                  <c:v>10.526474214923025</c:v>
                </c:pt>
                <c:pt idx="269">
                  <c:v>10.546094873542438</c:v>
                </c:pt>
                <c:pt idx="270">
                  <c:v>10.565679096304077</c:v>
                </c:pt>
                <c:pt idx="271">
                  <c:v>10.585227085442984</c:v>
                </c:pt>
                <c:pt idx="272">
                  <c:v>10.604739041330273</c:v>
                </c:pt>
                <c:pt idx="273">
                  <c:v>10.624215162497103</c:v>
                </c:pt>
                <c:pt idx="274">
                  <c:v>10.643655645658221</c:v>
                </c:pt>
                <c:pt idx="275">
                  <c:v>10.66306068573517</c:v>
                </c:pt>
                <c:pt idx="276">
                  <c:v>10.682430475879061</c:v>
                </c:pt>
                <c:pt idx="277">
                  <c:v>10.70176520749304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93E-4FBF-B33F-92DEB2B401EF}"/>
            </c:ext>
          </c:extLst>
        </c:ser>
        <c:ser>
          <c:idx val="4"/>
          <c:order val="2"/>
          <c:tx>
            <c:v>Rate of climb</c:v>
          </c:tx>
          <c:spPr>
            <a:ln w="76200" cmpd="thickThin"/>
          </c:spPr>
          <c:marker>
            <c:symbol val="none"/>
          </c:marker>
          <c:xVal>
            <c:numRef>
              <c:f>Hand_launch!$F$3:$F$280</c:f>
              <c:numCache>
                <c:formatCode>General</c:formatCode>
                <c:ptCount val="27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  <c:pt idx="262">
                  <c:v>1310</c:v>
                </c:pt>
                <c:pt idx="263">
                  <c:v>1315</c:v>
                </c:pt>
                <c:pt idx="264">
                  <c:v>1320</c:v>
                </c:pt>
                <c:pt idx="265">
                  <c:v>1325</c:v>
                </c:pt>
                <c:pt idx="266">
                  <c:v>1330</c:v>
                </c:pt>
                <c:pt idx="267">
                  <c:v>1335</c:v>
                </c:pt>
                <c:pt idx="268">
                  <c:v>1340</c:v>
                </c:pt>
                <c:pt idx="269">
                  <c:v>1345</c:v>
                </c:pt>
                <c:pt idx="270">
                  <c:v>1350</c:v>
                </c:pt>
                <c:pt idx="271">
                  <c:v>1355</c:v>
                </c:pt>
                <c:pt idx="272">
                  <c:v>1360</c:v>
                </c:pt>
                <c:pt idx="273">
                  <c:v>1365</c:v>
                </c:pt>
                <c:pt idx="274">
                  <c:v>1370</c:v>
                </c:pt>
                <c:pt idx="275">
                  <c:v>1375</c:v>
                </c:pt>
                <c:pt idx="276">
                  <c:v>1380</c:v>
                </c:pt>
                <c:pt idx="277">
                  <c:v>1385</c:v>
                </c:pt>
              </c:numCache>
            </c:numRef>
          </c:xVal>
          <c:yVal>
            <c:numRef>
              <c:f>'Rate of climb'!$K$3:$K$280</c:f>
              <c:numCache>
                <c:formatCode>General</c:formatCode>
                <c:ptCount val="278"/>
                <c:pt idx="0">
                  <c:v>11.320754716981131</c:v>
                </c:pt>
                <c:pt idx="1">
                  <c:v>11.839303409265593</c:v>
                </c:pt>
                <c:pt idx="2">
                  <c:v>12.054093310360649</c:v>
                </c:pt>
                <c:pt idx="3">
                  <c:v>12.218907398216217</c:v>
                </c:pt>
                <c:pt idx="4">
                  <c:v>12.357852101550051</c:v>
                </c:pt>
                <c:pt idx="5">
                  <c:v>12.480264842572806</c:v>
                </c:pt>
                <c:pt idx="6">
                  <c:v>12.590934419865549</c:v>
                </c:pt>
                <c:pt idx="7">
                  <c:v>12.692705599443572</c:v>
                </c:pt>
                <c:pt idx="8">
                  <c:v>12.787431903740165</c:v>
                </c:pt>
                <c:pt idx="9">
                  <c:v>12.876400793834513</c:v>
                </c:pt>
                <c:pt idx="10">
                  <c:v>12.960549662301808</c:v>
                </c:pt>
                <c:pt idx="11">
                  <c:v>13.040586164818148</c:v>
                </c:pt>
                <c:pt idx="12">
                  <c:v>13.117060079451301</c:v>
                </c:pt>
                <c:pt idx="13">
                  <c:v>13.190408615837553</c:v>
                </c:pt>
                <c:pt idx="14">
                  <c:v>13.260986261869252</c:v>
                </c:pt>
                <c:pt idx="15">
                  <c:v>13.329085166396482</c:v>
                </c:pt>
                <c:pt idx="16">
                  <c:v>13.394949486118975</c:v>
                </c:pt>
                <c:pt idx="17">
                  <c:v>13.458785747295872</c:v>
                </c:pt>
                <c:pt idx="18">
                  <c:v>13.520770497119683</c:v>
                </c:pt>
                <c:pt idx="19">
                  <c:v>13.581056063954264</c:v>
                </c:pt>
                <c:pt idx="20">
                  <c:v>13.639774968164481</c:v>
                </c:pt>
                <c:pt idx="21">
                  <c:v>13.697043350895036</c:v>
                </c:pt>
                <c:pt idx="22">
                  <c:v>13.752963675507996</c:v>
                </c:pt>
                <c:pt idx="23">
                  <c:v>13.807626881811537</c:v>
                </c:pt>
                <c:pt idx="24">
                  <c:v>13.861114122749965</c:v>
                </c:pt>
                <c:pt idx="25">
                  <c:v>13.913498178403435</c:v>
                </c:pt>
                <c:pt idx="26">
                  <c:v>13.964844617687618</c:v>
                </c:pt>
                <c:pt idx="27">
                  <c:v>14.015212760686387</c:v>
                </c:pt>
                <c:pt idx="28">
                  <c:v>14.064656481906013</c:v>
                </c:pt>
                <c:pt idx="29">
                  <c:v>14.113224885457029</c:v>
                </c:pt>
                <c:pt idx="30">
                  <c:v>14.160962876271174</c:v>
                </c:pt>
                <c:pt idx="31">
                  <c:v>14.207911646274663</c:v>
                </c:pt>
                <c:pt idx="32">
                  <c:v>14.254109090499201</c:v>
                </c:pt>
                <c:pt idx="33">
                  <c:v>14.299590165089587</c:v>
                </c:pt>
                <c:pt idx="34">
                  <c:v>14.34438719682676</c:v>
                </c:pt>
                <c:pt idx="35">
                  <c:v>14.388530151957973</c:v>
                </c:pt>
                <c:pt idx="36">
                  <c:v>14.432046870687897</c:v>
                </c:pt>
                <c:pt idx="37">
                  <c:v>14.474963272544191</c:v>
                </c:pt>
                <c:pt idx="38">
                  <c:v>14.517303536920712</c:v>
                </c:pt>
                <c:pt idx="39">
                  <c:v>14.559090262369695</c:v>
                </c:pt>
                <c:pt idx="40">
                  <c:v>14.600344607622485</c:v>
                </c:pt>
                <c:pt idx="41">
                  <c:v>14.64108641683687</c:v>
                </c:pt>
                <c:pt idx="42">
                  <c:v>14.68133433117521</c:v>
                </c:pt>
                <c:pt idx="43">
                  <c:v>14.721105888493678</c:v>
                </c:pt>
                <c:pt idx="44">
                  <c:v>14.760417612655164</c:v>
                </c:pt>
                <c:pt idx="45">
                  <c:v>14.799285093756156</c:v>
                </c:pt>
                <c:pt idx="46">
                  <c:v>14.837723060372427</c:v>
                </c:pt>
                <c:pt idx="47">
                  <c:v>14.875745444773038</c:v>
                </c:pt>
                <c:pt idx="48">
                  <c:v>14.913365441921473</c:v>
                </c:pt>
                <c:pt idx="49">
                  <c:v>14.950595562972355</c:v>
                </c:pt>
                <c:pt idx="50">
                  <c:v>14.987447683878717</c:v>
                </c:pt>
                <c:pt idx="51">
                  <c:v>15.023933089645098</c:v>
                </c:pt>
                <c:pt idx="52">
                  <c:v>15.060062514693975</c:v>
                </c:pt>
                <c:pt idx="53">
                  <c:v>15.095846179754714</c:v>
                </c:pt>
                <c:pt idx="54">
                  <c:v>15.131293825634382</c:v>
                </c:pt>
                <c:pt idx="55">
                  <c:v>15.166414744186584</c:v>
                </c:pt>
                <c:pt idx="56">
                  <c:v>15.201217806757374</c:v>
                </c:pt>
                <c:pt idx="57">
                  <c:v>15.235711490354969</c:v>
                </c:pt>
                <c:pt idx="58">
                  <c:v>15.269903901762028</c:v>
                </c:pt>
                <c:pt idx="59">
                  <c:v>15.303802799784743</c:v>
                </c:pt>
                <c:pt idx="60">
                  <c:v>15.337415615811834</c:v>
                </c:pt>
                <c:pt idx="61">
                  <c:v>15.370749472837662</c:v>
                </c:pt>
                <c:pt idx="62">
                  <c:v>15.403811203087502</c:v>
                </c:pt>
                <c:pt idx="63">
                  <c:v>15.436607364368454</c:v>
                </c:pt>
                <c:pt idx="64">
                  <c:v>15.469144255256818</c:v>
                </c:pt>
                <c:pt idx="65">
                  <c:v>15.501427929221604</c:v>
                </c:pt>
                <c:pt idx="66">
                  <c:v>15.533464207773845</c:v>
                </c:pt>
                <c:pt idx="67">
                  <c:v>15.565258692722576</c:v>
                </c:pt>
                <c:pt idx="68">
                  <c:v>15.596816777610615</c:v>
                </c:pt>
                <c:pt idx="69">
                  <c:v>15.628143658396194</c:v>
                </c:pt>
                <c:pt idx="70">
                  <c:v>15.659244343440403</c:v>
                </c:pt>
                <c:pt idx="71">
                  <c:v>15.690123662854736</c:v>
                </c:pt>
                <c:pt idx="72">
                  <c:v>15.720786277258235</c:v>
                </c:pt>
                <c:pt idx="73">
                  <c:v>15.751236685989072</c:v>
                </c:pt>
                <c:pt idx="74">
                  <c:v>15.781479234811661</c:v>
                </c:pt>
                <c:pt idx="75">
                  <c:v>15.811518123156556</c:v>
                </c:pt>
                <c:pt idx="76">
                  <c:v>15.841357410927399</c:v>
                </c:pt>
                <c:pt idx="77">
                  <c:v>15.871001024906029</c:v>
                </c:pt>
                <c:pt idx="78">
                  <c:v>15.900452764784511</c:v>
                </c:pt>
                <c:pt idx="79">
                  <c:v>15.929716308850175</c:v>
                </c:pt>
                <c:pt idx="80">
                  <c:v>15.958795219347831</c:v>
                </c:pt>
                <c:pt idx="81">
                  <c:v>15.987692947541278</c:v>
                </c:pt>
                <c:pt idx="82">
                  <c:v>16.016412838494428</c:v>
                </c:pt>
                <c:pt idx="83">
                  <c:v>16.044958135590846</c:v>
                </c:pt>
                <c:pt idx="84">
                  <c:v>16.073331984808942</c:v>
                </c:pt>
                <c:pt idx="85">
                  <c:v>16.101537438768805</c:v>
                </c:pt>
                <c:pt idx="86">
                  <c:v>16.129577460565418</c:v>
                </c:pt>
                <c:pt idx="87">
                  <c:v>16.157454927401808</c:v>
                </c:pt>
                <c:pt idx="88">
                  <c:v>16.18517263403486</c:v>
                </c:pt>
                <c:pt idx="89">
                  <c:v>16.212733296045361</c:v>
                </c:pt>
                <c:pt idx="90">
                  <c:v>16.240139552943166</c:v>
                </c:pt>
                <c:pt idx="91">
                  <c:v>16.267393971117531</c:v>
                </c:pt>
                <c:pt idx="92">
                  <c:v>16.294499046641942</c:v>
                </c:pt>
                <c:pt idx="93">
                  <c:v>16.321457207942075</c:v>
                </c:pt>
                <c:pt idx="94">
                  <c:v>16.348270818335049</c:v>
                </c:pt>
                <c:pt idx="95">
                  <c:v>16.374942178447398</c:v>
                </c:pt>
                <c:pt idx="96">
                  <c:v>16.4014735285188</c:v>
                </c:pt>
                <c:pt idx="97">
                  <c:v>16.42786705059811</c:v>
                </c:pt>
                <c:pt idx="98">
                  <c:v>16.454124870637749</c:v>
                </c:pt>
                <c:pt idx="99">
                  <c:v>16.480249060492181</c:v>
                </c:pt>
                <c:pt idx="100">
                  <c:v>16.506241639825738</c:v>
                </c:pt>
                <c:pt idx="101">
                  <c:v>16.532104577934852</c:v>
                </c:pt>
                <c:pt idx="102">
                  <c:v>16.55783979548924</c:v>
                </c:pt>
                <c:pt idx="103">
                  <c:v>16.583449166196495</c:v>
                </c:pt>
                <c:pt idx="104">
                  <c:v>16.608934518394104</c:v>
                </c:pt>
                <c:pt idx="105">
                  <c:v>16.634297636572736</c:v>
                </c:pt>
                <c:pt idx="106">
                  <c:v>16.659540262834419</c:v>
                </c:pt>
                <c:pt idx="107">
                  <c:v>16.684664098288941</c:v>
                </c:pt>
                <c:pt idx="108">
                  <c:v>16.709670804391642</c:v>
                </c:pt>
                <c:pt idx="109">
                  <c:v>16.734562004225641</c:v>
                </c:pt>
                <c:pt idx="110">
                  <c:v>16.759339283731169</c:v>
                </c:pt>
                <c:pt idx="111">
                  <c:v>16.784004192884794</c:v>
                </c:pt>
                <c:pt idx="112">
                  <c:v>16.808558246830898</c:v>
                </c:pt>
                <c:pt idx="113">
                  <c:v>16.833002926967819</c:v>
                </c:pt>
                <c:pt idx="114">
                  <c:v>16.857339681990823</c:v>
                </c:pt>
                <c:pt idx="115">
                  <c:v>16.881569928893978</c:v>
                </c:pt>
                <c:pt idx="116">
                  <c:v>16.905695053932927</c:v>
                </c:pt>
                <c:pt idx="117">
                  <c:v>16.929716413550395</c:v>
                </c:pt>
                <c:pt idx="118">
                  <c:v>16.953635335266156</c:v>
                </c:pt>
                <c:pt idx="119">
                  <c:v>16.977453118533134</c:v>
                </c:pt>
                <c:pt idx="120">
                  <c:v>17.001171035561217</c:v>
                </c:pt>
                <c:pt idx="121">
                  <c:v>17.0247903321102</c:v>
                </c:pt>
                <c:pt idx="122">
                  <c:v>17.048312228253344</c:v>
                </c:pt>
                <c:pt idx="123">
                  <c:v>17.071737919112806</c:v>
                </c:pt>
                <c:pt idx="124">
                  <c:v>17.095068575568195</c:v>
                </c:pt>
                <c:pt idx="125">
                  <c:v>17.118305344939508</c:v>
                </c:pt>
                <c:pt idx="126">
                  <c:v>17.141449351645491</c:v>
                </c:pt>
                <c:pt idx="127">
                  <c:v>17.164501697838567</c:v>
                </c:pt>
                <c:pt idx="128">
                  <c:v>17.18746346401727</c:v>
                </c:pt>
                <c:pt idx="129">
                  <c:v>17.210335709617215</c:v>
                </c:pt>
                <c:pt idx="130">
                  <c:v>17.233119473581503</c:v>
                </c:pt>
                <c:pt idx="131">
                  <c:v>17.255815774911376</c:v>
                </c:pt>
                <c:pt idx="132">
                  <c:v>17.278425613198042</c:v>
                </c:pt>
                <c:pt idx="133">
                  <c:v>17.300949969136362</c:v>
                </c:pt>
                <c:pt idx="134">
                  <c:v>17.323389805021208</c:v>
                </c:pt>
                <c:pt idx="135">
                  <c:v>17.345746065227186</c:v>
                </c:pt>
                <c:pt idx="136">
                  <c:v>17.36801967667239</c:v>
                </c:pt>
                <c:pt idx="137">
                  <c:v>17.390211549266837</c:v>
                </c:pt>
                <c:pt idx="138">
                  <c:v>17.412322576346202</c:v>
                </c:pt>
                <c:pt idx="139">
                  <c:v>17.434353635091437</c:v>
                </c:pt>
                <c:pt idx="140">
                  <c:v>17.456305586934814</c:v>
                </c:pt>
                <c:pt idx="141">
                  <c:v>17.478179277952975</c:v>
                </c:pt>
                <c:pt idx="142">
                  <c:v>17.499975539247416</c:v>
                </c:pt>
                <c:pt idx="143">
                  <c:v>17.521695187312964</c:v>
                </c:pt>
                <c:pt idx="144">
                  <c:v>17.543339024394662</c:v>
                </c:pt>
                <c:pt idx="145">
                  <c:v>17.564907838833527</c:v>
                </c:pt>
                <c:pt idx="146">
                  <c:v>17.586402405401618</c:v>
                </c:pt>
                <c:pt idx="147">
                  <c:v>17.607823485626731</c:v>
                </c:pt>
                <c:pt idx="148">
                  <c:v>17.62917182810725</c:v>
                </c:pt>
                <c:pt idx="149">
                  <c:v>17.650448168817384</c:v>
                </c:pt>
                <c:pt idx="150">
                  <c:v>17.671653231403216</c:v>
                </c:pt>
                <c:pt idx="151">
                  <c:v>17.692787727469902</c:v>
                </c:pt>
                <c:pt idx="152">
                  <c:v>17.713852356860293</c:v>
                </c:pt>
                <c:pt idx="153">
                  <c:v>17.734847807925355</c:v>
                </c:pt>
                <c:pt idx="154">
                  <c:v>17.755774757786629</c:v>
                </c:pt>
                <c:pt idx="155">
                  <c:v>17.77663387259102</c:v>
                </c:pt>
                <c:pt idx="156">
                  <c:v>17.797425807758259</c:v>
                </c:pt>
                <c:pt idx="157">
                  <c:v>17.818151208221153</c:v>
                </c:pt>
                <c:pt idx="158">
                  <c:v>17.838810708659022</c:v>
                </c:pt>
                <c:pt idx="159">
                  <c:v>17.859404933724491</c:v>
                </c:pt>
                <c:pt idx="160">
                  <c:v>17.87993449826384</c:v>
                </c:pt>
                <c:pt idx="161">
                  <c:v>17.900400007531211</c:v>
                </c:pt>
                <c:pt idx="162">
                  <c:v>17.920802057396784</c:v>
                </c:pt>
                <c:pt idx="163">
                  <c:v>17.941141234549246</c:v>
                </c:pt>
                <c:pt idx="164">
                  <c:v>17.961418116692609</c:v>
                </c:pt>
                <c:pt idx="165">
                  <c:v>17.981633272737689</c:v>
                </c:pt>
                <c:pt idx="166">
                  <c:v>18.00178726298833</c:v>
                </c:pt>
                <c:pt idx="167">
                  <c:v>18.021880639322646</c:v>
                </c:pt>
                <c:pt idx="168">
                  <c:v>18.041913945369291</c:v>
                </c:pt>
                <c:pt idx="169">
                  <c:v>18.06188771667912</c:v>
                </c:pt>
                <c:pt idx="170">
                  <c:v>18.081802480892222</c:v>
                </c:pt>
                <c:pt idx="171">
                  <c:v>18.101658757900534</c:v>
                </c:pt>
                <c:pt idx="172">
                  <c:v>18.121457060006225</c:v>
                </c:pt>
                <c:pt idx="173">
                  <c:v>18.141197892075908</c:v>
                </c:pt>
                <c:pt idx="174">
                  <c:v>18.160881751690855</c:v>
                </c:pt>
                <c:pt idx="175">
                  <c:v>18.180509129293338</c:v>
                </c:pt>
                <c:pt idx="176">
                  <c:v>18.200080508329197</c:v>
                </c:pt>
                <c:pt idx="177">
                  <c:v>18.219596365386796</c:v>
                </c:pt>
                <c:pt idx="178">
                  <c:v>18.239057170332426</c:v>
                </c:pt>
                <c:pt idx="179">
                  <c:v>18.258463386442287</c:v>
                </c:pt>
                <c:pt idx="180">
                  <c:v>18.277815470531181</c:v>
                </c:pt>
                <c:pt idx="181">
                  <c:v>18.297113873077979</c:v>
                </c:pt>
                <c:pt idx="182">
                  <c:v>18.316359038347958</c:v>
                </c:pt>
                <c:pt idx="183">
                  <c:v>18.335551404512152</c:v>
                </c:pt>
                <c:pt idx="184">
                  <c:v>18.354691403763724</c:v>
                </c:pt>
                <c:pt idx="185">
                  <c:v>18.373779462431553</c:v>
                </c:pt>
                <c:pt idx="186">
                  <c:v>18.392816001091017</c:v>
                </c:pt>
                <c:pt idx="187">
                  <c:v>18.4118014346721</c:v>
                </c:pt>
                <c:pt idx="188">
                  <c:v>18.430736172564949</c:v>
                </c:pt>
                <c:pt idx="189">
                  <c:v>18.449620618722843</c:v>
                </c:pt>
                <c:pt idx="190">
                  <c:v>18.46845517176277</c:v>
                </c:pt>
                <c:pt idx="191">
                  <c:v>18.487240225063566</c:v>
                </c:pt>
                <c:pt idx="192">
                  <c:v>18.505976166861814</c:v>
                </c:pt>
                <c:pt idx="193">
                  <c:v>18.524663380345444</c:v>
                </c:pt>
                <c:pt idx="194">
                  <c:v>18.54330224374517</c:v>
                </c:pt>
                <c:pt idx="195">
                  <c:v>18.561893130423819</c:v>
                </c:pt>
                <c:pt idx="196">
                  <c:v>18.580436408963582</c:v>
                </c:pt>
                <c:pt idx="197">
                  <c:v>18.598932443251293</c:v>
                </c:pt>
                <c:pt idx="198">
                  <c:v>18.617381592561724</c:v>
                </c:pt>
                <c:pt idx="199">
                  <c:v>18.635784211639027</c:v>
                </c:pt>
                <c:pt idx="200">
                  <c:v>18.654140650776302</c:v>
                </c:pt>
                <c:pt idx="201">
                  <c:v>18.67245125589341</c:v>
                </c:pt>
                <c:pt idx="202">
                  <c:v>18.690716368613028</c:v>
                </c:pt>
                <c:pt idx="203">
                  <c:v>18.708936326334996</c:v>
                </c:pt>
                <c:pt idx="204">
                  <c:v>18.727111462309065</c:v>
                </c:pt>
                <c:pt idx="205">
                  <c:v>18.745242105705991</c:v>
                </c:pt>
                <c:pt idx="206">
                  <c:v>18.763328581687105</c:v>
                </c:pt>
                <c:pt idx="207">
                  <c:v>18.781371211472344</c:v>
                </c:pt>
                <c:pt idx="208">
                  <c:v>18.799370312406818</c:v>
                </c:pt>
                <c:pt idx="209">
                  <c:v>18.817326198025928</c:v>
                </c:pt>
                <c:pt idx="210">
                  <c:v>18.83523917811911</c:v>
                </c:pt>
                <c:pt idx="211">
                  <c:v>18.853109558792159</c:v>
                </c:pt>
                <c:pt idx="212">
                  <c:v>18.870937642528297</c:v>
                </c:pt>
                <c:pt idx="213">
                  <c:v>18.888723728247886</c:v>
                </c:pt>
                <c:pt idx="214">
                  <c:v>18.906468111366912</c:v>
                </c:pt>
                <c:pt idx="215">
                  <c:v>18.92417108385423</c:v>
                </c:pt>
                <c:pt idx="216">
                  <c:v>18.941832934287632</c:v>
                </c:pt>
                <c:pt idx="217">
                  <c:v>18.959453947908713</c:v>
                </c:pt>
                <c:pt idx="218">
                  <c:v>18.977034406676609</c:v>
                </c:pt>
                <c:pt idx="219">
                  <c:v>18.994574589320685</c:v>
                </c:pt>
                <c:pt idx="220">
                  <c:v>19.012074771392037</c:v>
                </c:pt>
                <c:pt idx="221">
                  <c:v>19.029535225314035</c:v>
                </c:pt>
                <c:pt idx="222">
                  <c:v>19.046956220431788</c:v>
                </c:pt>
                <c:pt idx="223">
                  <c:v>19.064338023060632</c:v>
                </c:pt>
                <c:pt idx="224">
                  <c:v>19.081680896533612</c:v>
                </c:pt>
                <c:pt idx="225">
                  <c:v>19.098985101248044</c:v>
                </c:pt>
                <c:pt idx="226">
                  <c:v>19.116250894711122</c:v>
                </c:pt>
                <c:pt idx="227">
                  <c:v>19.133478531584643</c:v>
                </c:pt>
                <c:pt idx="228">
                  <c:v>19.150668263728807</c:v>
                </c:pt>
                <c:pt idx="229">
                  <c:v>19.1678203402452</c:v>
                </c:pt>
                <c:pt idx="230">
                  <c:v>19.184935007518895</c:v>
                </c:pt>
                <c:pt idx="231">
                  <c:v>19.202012509259756</c:v>
                </c:pt>
                <c:pt idx="232">
                  <c:v>19.219053086542925</c:v>
                </c:pt>
                <c:pt idx="233">
                  <c:v>19.23605697784852</c:v>
                </c:pt>
                <c:pt idx="234">
                  <c:v>19.253024419100591</c:v>
                </c:pt>
                <c:pt idx="235">
                  <c:v>19.269955643705291</c:v>
                </c:pt>
                <c:pt idx="236">
                  <c:v>19.286850882588357</c:v>
                </c:pt>
                <c:pt idx="237">
                  <c:v>19.303710364231847</c:v>
                </c:pt>
                <c:pt idx="238">
                  <c:v>19.320534314710184</c:v>
                </c:pt>
                <c:pt idx="239">
                  <c:v>19.337322957725544</c:v>
                </c:pt>
                <c:pt idx="240">
                  <c:v>19.354076514642536</c:v>
                </c:pt>
                <c:pt idx="241">
                  <c:v>19.370795204522285</c:v>
                </c:pt>
                <c:pt idx="242">
                  <c:v>19.38747924415582</c:v>
                </c:pt>
                <c:pt idx="243">
                  <c:v>19.404128848096903</c:v>
                </c:pt>
                <c:pt idx="244">
                  <c:v>19.42074422869419</c:v>
                </c:pt>
                <c:pt idx="245">
                  <c:v>19.437325596122854</c:v>
                </c:pt>
                <c:pt idx="246">
                  <c:v>19.453873158415597</c:v>
                </c:pt>
                <c:pt idx="247">
                  <c:v>19.47038712149309</c:v>
                </c:pt>
                <c:pt idx="248">
                  <c:v>19.486867689193875</c:v>
                </c:pt>
                <c:pt idx="249">
                  <c:v>19.503315063303742</c:v>
                </c:pt>
                <c:pt idx="250">
                  <c:v>19.51972944358452</c:v>
                </c:pt>
                <c:pt idx="251">
                  <c:v>19.536111027802409</c:v>
                </c:pt>
                <c:pt idx="252">
                  <c:v>19.552460011755777</c:v>
                </c:pt>
                <c:pt idx="253">
                  <c:v>19.568776589302448</c:v>
                </c:pt>
                <c:pt idx="254">
                  <c:v>19.585060952386545</c:v>
                </c:pt>
                <c:pt idx="255">
                  <c:v>19.601313291064809</c:v>
                </c:pt>
                <c:pt idx="256">
                  <c:v>19.617533793532505</c:v>
                </c:pt>
                <c:pt idx="257">
                  <c:v>19.633722646148826</c:v>
                </c:pt>
                <c:pt idx="258">
                  <c:v>19.649880033461876</c:v>
                </c:pt>
                <c:pt idx="259">
                  <c:v>19.666006138233243</c:v>
                </c:pt>
                <c:pt idx="260">
                  <c:v>19.682101141462081</c:v>
                </c:pt>
                <c:pt idx="261">
                  <c:v>19.698165222408825</c:v>
                </c:pt>
                <c:pt idx="262">
                  <c:v>19.714198558618495</c:v>
                </c:pt>
                <c:pt idx="263">
                  <c:v>19.730201325943586</c:v>
                </c:pt>
                <c:pt idx="264">
                  <c:v>19.746173698566558</c:v>
                </c:pt>
                <c:pt idx="265">
                  <c:v>19.762115849021981</c:v>
                </c:pt>
                <c:pt idx="266">
                  <c:v>19.778027948218249</c:v>
                </c:pt>
                <c:pt idx="267">
                  <c:v>19.793910165458975</c:v>
                </c:pt>
                <c:pt idx="268">
                  <c:v>19.809762668464021</c:v>
                </c:pt>
                <c:pt idx="269">
                  <c:v>19.825585623390126</c:v>
                </c:pt>
                <c:pt idx="270">
                  <c:v>19.841379194851257</c:v>
                </c:pt>
                <c:pt idx="271">
                  <c:v>19.85714354593858</c:v>
                </c:pt>
                <c:pt idx="272">
                  <c:v>19.872878838240098</c:v>
                </c:pt>
                <c:pt idx="273">
                  <c:v>19.888585231859992</c:v>
                </c:pt>
                <c:pt idx="274">
                  <c:v>19.904262885437621</c:v>
                </c:pt>
                <c:pt idx="275">
                  <c:v>19.919911956166214</c:v>
                </c:pt>
                <c:pt idx="276">
                  <c:v>19.93553259981126</c:v>
                </c:pt>
                <c:pt idx="277">
                  <c:v>19.951124970728593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93E-4FBF-B33F-92DEB2B401EF}"/>
            </c:ext>
          </c:extLst>
        </c:ser>
        <c:ser>
          <c:idx val="5"/>
          <c:order val="3"/>
          <c:tx>
            <c:v>Turns</c:v>
          </c:tx>
          <c:spPr>
            <a:ln w="76200" cmpd="thickThin"/>
          </c:spPr>
          <c:marker>
            <c:symbol val="none"/>
          </c:marker>
          <c:xVal>
            <c:numRef>
              <c:f>Hand_launch!$F$3:$F$280</c:f>
              <c:numCache>
                <c:formatCode>General</c:formatCode>
                <c:ptCount val="27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  <c:pt idx="262">
                  <c:v>1310</c:v>
                </c:pt>
                <c:pt idx="263">
                  <c:v>1315</c:v>
                </c:pt>
                <c:pt idx="264">
                  <c:v>1320</c:v>
                </c:pt>
                <c:pt idx="265">
                  <c:v>1325</c:v>
                </c:pt>
                <c:pt idx="266">
                  <c:v>1330</c:v>
                </c:pt>
                <c:pt idx="267">
                  <c:v>1335</c:v>
                </c:pt>
                <c:pt idx="268">
                  <c:v>1340</c:v>
                </c:pt>
                <c:pt idx="269">
                  <c:v>1345</c:v>
                </c:pt>
                <c:pt idx="270">
                  <c:v>1350</c:v>
                </c:pt>
                <c:pt idx="271">
                  <c:v>1355</c:v>
                </c:pt>
                <c:pt idx="272">
                  <c:v>1360</c:v>
                </c:pt>
                <c:pt idx="273">
                  <c:v>1365</c:v>
                </c:pt>
                <c:pt idx="274">
                  <c:v>1370</c:v>
                </c:pt>
                <c:pt idx="275">
                  <c:v>1375</c:v>
                </c:pt>
                <c:pt idx="276">
                  <c:v>1380</c:v>
                </c:pt>
                <c:pt idx="277">
                  <c:v>1385</c:v>
                </c:pt>
              </c:numCache>
            </c:numRef>
          </c:xVal>
          <c:yVal>
            <c:numRef>
              <c:f>Turns!$K$3:$K$280</c:f>
              <c:numCache>
                <c:formatCode>General</c:formatCode>
                <c:ptCount val="278"/>
                <c:pt idx="1">
                  <c:v>443.83987785868993</c:v>
                </c:pt>
                <c:pt idx="2">
                  <c:v>222.01937835888927</c:v>
                </c:pt>
                <c:pt idx="3">
                  <c:v>148.12340716097538</c:v>
                </c:pt>
                <c:pt idx="4">
                  <c:v>111.20856803853322</c:v>
                </c:pt>
                <c:pt idx="5">
                  <c:v>89.086181746279706</c:v>
                </c:pt>
                <c:pt idx="6">
                  <c:v>74.360021869120544</c:v>
                </c:pt>
                <c:pt idx="7">
                  <c:v>63.860277086301018</c:v>
                </c:pt>
                <c:pt idx="8">
                  <c:v>56.002041737443754</c:v>
                </c:pt>
                <c:pt idx="9">
                  <c:v>49.904812677894654</c:v>
                </c:pt>
                <c:pt idx="10">
                  <c:v>45.04028802086129</c:v>
                </c:pt>
                <c:pt idx="11">
                  <c:v>41.072275656566624</c:v>
                </c:pt>
                <c:pt idx="12">
                  <c:v>37.776647511825992</c:v>
                </c:pt>
                <c:pt idx="13">
                  <c:v>34.998237997511545</c:v>
                </c:pt>
                <c:pt idx="14">
                  <c:v>32.626214549960515</c:v>
                </c:pt>
                <c:pt idx="15">
                  <c:v>30.579299955820225</c:v>
                </c:pt>
                <c:pt idx="16">
                  <c:v>28.79653630507617</c:v>
                </c:pt>
                <c:pt idx="17">
                  <c:v>27.231308725364293</c:v>
                </c:pt>
                <c:pt idx="18">
                  <c:v>25.84736120484591</c:v>
                </c:pt>
                <c:pt idx="19">
                  <c:v>24.616070576279935</c:v>
                </c:pt>
                <c:pt idx="20">
                  <c:v>23.514538305873511</c:v>
                </c:pt>
                <c:pt idx="21">
                  <c:v>22.524227485318129</c:v>
                </c:pt>
                <c:pt idx="22">
                  <c:v>21.629971553270465</c:v>
                </c:pt>
                <c:pt idx="23">
                  <c:v>20.819241611229518</c:v>
                </c:pt>
                <c:pt idx="24">
                  <c:v>20.081596910444439</c:v>
                </c:pt>
                <c:pt idx="25">
                  <c:v>19.408267221964529</c:v>
                </c:pt>
                <c:pt idx="26">
                  <c:v>18.791831582831502</c:v>
                </c:pt>
                <c:pt idx="27">
                  <c:v>18.225968432006809</c:v>
                </c:pt>
                <c:pt idx="28">
                  <c:v>17.705259288600271</c:v>
                </c:pt>
                <c:pt idx="29">
                  <c:v>17.225033048396224</c:v>
                </c:pt>
                <c:pt idx="30">
                  <c:v>16.781241421074416</c:v>
                </c:pt>
                <c:pt idx="31">
                  <c:v>16.370358476355918</c:v>
                </c:pt>
                <c:pt idx="32">
                  <c:v>15.989299025246675</c:v>
                </c:pt>
                <c:pt idx="33">
                  <c:v>15.635351841054927</c:v>
                </c:pt>
                <c:pt idx="34">
                  <c:v>15.30612466493502</c:v>
                </c:pt>
                <c:pt idx="35">
                  <c:v>14.999498639052225</c:v>
                </c:pt>
                <c:pt idx="36">
                  <c:v>14.713590334220116</c:v>
                </c:pt>
                <c:pt idx="37">
                  <c:v>14.446719935218363</c:v>
                </c:pt>
                <c:pt idx="38">
                  <c:v>14.197384449481417</c:v>
                </c:pt>
                <c:pt idx="39">
                  <c:v>13.964235037527365</c:v>
                </c:pt>
                <c:pt idx="40">
                  <c:v>13.74605774382249</c:v>
                </c:pt>
                <c:pt idx="41">
                  <c:v>13.541757047519297</c:v>
                </c:pt>
                <c:pt idx="42">
                  <c:v>13.350341763089089</c:v>
                </c:pt>
                <c:pt idx="43">
                  <c:v>13.170912908308168</c:v>
                </c:pt>
                <c:pt idx="44">
                  <c:v>13.00265322660954</c:v>
                </c:pt>
                <c:pt idx="45">
                  <c:v>12.84481810645439</c:v>
                </c:pt>
                <c:pt idx="46">
                  <c:v>12.696727685133355</c:v>
                </c:pt>
                <c:pt idx="47">
                  <c:v>12.557759960593192</c:v>
                </c:pt>
                <c:pt idx="48">
                  <c:v>12.427344764285104</c:v>
                </c:pt>
                <c:pt idx="49">
                  <c:v>12.304958472031608</c:v>
                </c:pt>
                <c:pt idx="50">
                  <c:v>12.190119349589432</c:v>
                </c:pt>
                <c:pt idx="51">
                  <c:v>12.08238344579321</c:v>
                </c:pt>
                <c:pt idx="52">
                  <c:v>11.981340959567207</c:v>
                </c:pt>
                <c:pt idx="53">
                  <c:v>11.886613018218769</c:v>
                </c:pt>
                <c:pt idx="54">
                  <c:v>11.797848813699146</c:v>
                </c:pt>
                <c:pt idx="55">
                  <c:v>11.71472305127222</c:v>
                </c:pt>
                <c:pt idx="56">
                  <c:v>11.636933671540167</c:v>
                </c:pt>
                <c:pt idx="57">
                  <c:v>11.564199812255888</c:v>
                </c:pt>
                <c:pt idx="58">
                  <c:v>11.496259980982432</c:v>
                </c:pt>
                <c:pt idx="59">
                  <c:v>11.432870413583649</c:v>
                </c:pt>
                <c:pt idx="60">
                  <c:v>11.373803596865811</c:v>
                </c:pt>
                <c:pt idx="61">
                  <c:v>11.318846936533133</c:v>
                </c:pt>
                <c:pt idx="62">
                  <c:v>11.26780155405085</c:v>
                </c:pt>
                <c:pt idx="63">
                  <c:v>11.220481198092749</c:v>
                </c:pt>
                <c:pt idx="64">
                  <c:v>11.176711258040513</c:v>
                </c:pt>
                <c:pt idx="65">
                  <c:v>11.136327868544637</c:v>
                </c:pt>
                <c:pt idx="66">
                  <c:v>11.099177095488928</c:v>
                </c:pt>
                <c:pt idx="67">
                  <c:v>11.06511419485367</c:v>
                </c:pt>
                <c:pt idx="68">
                  <c:v>11.034002936973261</c:v>
                </c:pt>
                <c:pt idx="69">
                  <c:v>11.00571498955401</c:v>
                </c:pt>
                <c:pt idx="70">
                  <c:v>10.980129353576149</c:v>
                </c:pt>
                <c:pt idx="71">
                  <c:v>10.957131846866107</c:v>
                </c:pt>
                <c:pt idx="72">
                  <c:v>10.936614630704383</c:v>
                </c:pt>
                <c:pt idx="73">
                  <c:v>10.918475775342417</c:v>
                </c:pt>
                <c:pt idx="74">
                  <c:v>10.902618860747792</c:v>
                </c:pt>
                <c:pt idx="75">
                  <c:v>10.888952609289811</c:v>
                </c:pt>
                <c:pt idx="76">
                  <c:v>10.877390547423605</c:v>
                </c:pt>
                <c:pt idx="77">
                  <c:v>10.867850693736512</c:v>
                </c:pt>
                <c:pt idx="78">
                  <c:v>10.860255270990868</c:v>
                </c:pt>
                <c:pt idx="79">
                  <c:v>10.854530440036999</c:v>
                </c:pt>
                <c:pt idx="80">
                  <c:v>10.850606053682714</c:v>
                </c:pt>
                <c:pt idx="81">
                  <c:v>10.8484154287947</c:v>
                </c:pt>
                <c:pt idx="82">
                  <c:v>10.847895135075406</c:v>
                </c:pt>
                <c:pt idx="83">
                  <c:v>10.848984799109093</c:v>
                </c:pt>
                <c:pt idx="84">
                  <c:v>10.85162692240459</c:v>
                </c:pt>
                <c:pt idx="85">
                  <c:v>10.855766712282062</c:v>
                </c:pt>
                <c:pt idx="86">
                  <c:v>10.861351924558418</c:v>
                </c:pt>
                <c:pt idx="87">
                  <c:v>10.868332717081973</c:v>
                </c:pt>
                <c:pt idx="88">
                  <c:v>10.876661513253389</c:v>
                </c:pt>
                <c:pt idx="89">
                  <c:v>10.886292874747461</c:v>
                </c:pt>
                <c:pt idx="90">
                  <c:v>10.897183382720099</c:v>
                </c:pt>
                <c:pt idx="91">
                  <c:v>10.909291526847834</c:v>
                </c:pt>
                <c:pt idx="92">
                  <c:v>10.922577601603871</c:v>
                </c:pt>
                <c:pt idx="93">
                  <c:v>10.937003609226002</c:v>
                </c:pt>
                <c:pt idx="94">
                  <c:v>10.952533168878075</c:v>
                </c:pt>
                <c:pt idx="95">
                  <c:v>10.969131431548623</c:v>
                </c:pt>
                <c:pt idx="96">
                  <c:v>10.986765000268319</c:v>
                </c:pt>
                <c:pt idx="97">
                  <c:v>11.00540185526244</c:v>
                </c:pt>
                <c:pt idx="98">
                  <c:v>11.025011283685856</c:v>
                </c:pt>
                <c:pt idx="99">
                  <c:v>11.045563813616468</c:v>
                </c:pt>
                <c:pt idx="100">
                  <c:v>11.067031152009056</c:v>
                </c:pt>
                <c:pt idx="101">
                  <c:v>11.08938612633505</c:v>
                </c:pt>
                <c:pt idx="102">
                  <c:v>11.112602629655232</c:v>
                </c:pt>
                <c:pt idx="103">
                  <c:v>11.136655568892099</c:v>
                </c:pt>
                <c:pt idx="104">
                  <c:v>11.161520816086517</c:v>
                </c:pt>
                <c:pt idx="105">
                  <c:v>11.187175162439697</c:v>
                </c:pt>
                <c:pt idx="106">
                  <c:v>11.213596274956585</c:v>
                </c:pt>
                <c:pt idx="107">
                  <c:v>11.240762655520438</c:v>
                </c:pt>
                <c:pt idx="108">
                  <c:v>11.268653602241059</c:v>
                </c:pt>
                <c:pt idx="109">
                  <c:v>11.297249172930655</c:v>
                </c:pt>
                <c:pt idx="110">
                  <c:v>11.326530150571884</c:v>
                </c:pt>
                <c:pt idx="111">
                  <c:v>11.356478010652541</c:v>
                </c:pt>
                <c:pt idx="112">
                  <c:v>11.387074890250144</c:v>
                </c:pt>
                <c:pt idx="113">
                  <c:v>11.418303558758046</c:v>
                </c:pt>
                <c:pt idx="114">
                  <c:v>11.450147390152289</c:v>
                </c:pt>
                <c:pt idx="115">
                  <c:v>11.482590336705412</c:v>
                </c:pt>
                <c:pt idx="116">
                  <c:v>11.515616904059849</c:v>
                </c:pt>
                <c:pt idx="117">
                  <c:v>11.549212127579674</c:v>
                </c:pt>
                <c:pt idx="118">
                  <c:v>11.583361549904746</c:v>
                </c:pt>
                <c:pt idx="119">
                  <c:v>11.618051199636616</c:v>
                </c:pt>
                <c:pt idx="120">
                  <c:v>11.653267571090113</c:v>
                </c:pt>
                <c:pt idx="121">
                  <c:v>11.688997605049</c:v>
                </c:pt>
                <c:pt idx="122">
                  <c:v>11.725228670468059</c:v>
                </c:pt>
                <c:pt idx="123">
                  <c:v>11.761948547067778</c:v>
                </c:pt>
                <c:pt idx="124">
                  <c:v>11.799145408771205</c:v>
                </c:pt>
                <c:pt idx="125">
                  <c:v>11.83680780793585</c:v>
                </c:pt>
                <c:pt idx="126">
                  <c:v>11.874924660336443</c:v>
                </c:pt>
                <c:pt idx="127">
                  <c:v>11.913485230857177</c:v>
                </c:pt>
                <c:pt idx="128">
                  <c:v>11.952479119854612</c:v>
                </c:pt>
                <c:pt idx="129">
                  <c:v>11.991896250154866</c:v>
                </c:pt>
                <c:pt idx="130">
                  <c:v>12.031726854650961</c:v>
                </c:pt>
                <c:pt idx="131">
                  <c:v>12.071961464468174</c:v>
                </c:pt>
                <c:pt idx="132">
                  <c:v>12.112590897667392</c:v>
                </c:pt>
                <c:pt idx="133">
                  <c:v>12.153606248458043</c:v>
                </c:pt>
                <c:pt idx="134">
                  <c:v>12.194998876894051</c:v>
                </c:pt>
                <c:pt idx="135">
                  <c:v>12.236760399027741</c:v>
                </c:pt>
                <c:pt idx="136">
                  <c:v>12.278882677498133</c:v>
                </c:pt>
                <c:pt idx="137">
                  <c:v>12.321357812531431</c:v>
                </c:pt>
                <c:pt idx="138">
                  <c:v>12.364178133332793</c:v>
                </c:pt>
                <c:pt idx="139">
                  <c:v>12.407336189849667</c:v>
                </c:pt>
                <c:pt idx="140">
                  <c:v>12.45082474488815</c:v>
                </c:pt>
                <c:pt idx="141">
                  <c:v>12.494636766564804</c:v>
                </c:pt>
                <c:pt idx="142">
                  <c:v>12.538765421077414</c:v>
                </c:pt>
                <c:pt idx="143">
                  <c:v>12.583204065779073</c:v>
                </c:pt>
                <c:pt idx="144">
                  <c:v>12.62794624254084</c:v>
                </c:pt>
                <c:pt idx="145">
                  <c:v>12.672985671389059</c:v>
                </c:pt>
                <c:pt idx="146">
                  <c:v>12.718316244404146</c:v>
                </c:pt>
                <c:pt idx="147">
                  <c:v>12.763932019868408</c:v>
                </c:pt>
                <c:pt idx="148">
                  <c:v>12.809827216651119</c:v>
                </c:pt>
                <c:pt idx="149">
                  <c:v>12.855996208819695</c:v>
                </c:pt>
                <c:pt idx="150">
                  <c:v>12.902433520466415</c:v>
                </c:pt>
                <c:pt idx="151">
                  <c:v>12.949133820740723</c:v>
                </c:pt>
                <c:pt idx="152">
                  <c:v>12.9960919190776</c:v>
                </c:pt>
                <c:pt idx="153">
                  <c:v>13.04330276061307</c:v>
                </c:pt>
                <c:pt idx="154">
                  <c:v>13.090761421778337</c:v>
                </c:pt>
                <c:pt idx="155">
                  <c:v>13.138463106064433</c:v>
                </c:pt>
                <c:pt idx="156">
                  <c:v>13.186403139949805</c:v>
                </c:pt>
                <c:pt idx="157">
                  <c:v>13.234576968983507</c:v>
                </c:pt>
                <c:pt idx="158">
                  <c:v>13.282980154017155</c:v>
                </c:pt>
                <c:pt idx="159">
                  <c:v>13.331608367579056</c:v>
                </c:pt>
                <c:pt idx="160">
                  <c:v>13.380457390384301</c:v>
                </c:pt>
                <c:pt idx="161">
                  <c:v>13.429523107974941</c:v>
                </c:pt>
                <c:pt idx="162">
                  <c:v>13.47880150748458</c:v>
                </c:pt>
                <c:pt idx="163">
                  <c:v>13.528288674522072</c:v>
                </c:pt>
                <c:pt idx="164">
                  <c:v>13.577980790169221</c:v>
                </c:pt>
                <c:pt idx="165">
                  <c:v>13.627874128087671</c:v>
                </c:pt>
                <c:pt idx="166">
                  <c:v>13.677965051730352</c:v>
                </c:pt>
                <c:pt idx="167">
                  <c:v>13.728250011653111</c:v>
                </c:pt>
                <c:pt idx="168">
                  <c:v>13.778725542922386</c:v>
                </c:pt>
                <c:pt idx="169">
                  <c:v>13.829388262614854</c:v>
                </c:pt>
                <c:pt idx="170">
                  <c:v>13.880234867405408</c:v>
                </c:pt>
                <c:pt idx="171">
                  <c:v>13.93126213123969</c:v>
                </c:pt>
                <c:pt idx="172">
                  <c:v>13.982466903087872</c:v>
                </c:pt>
                <c:pt idx="173">
                  <c:v>14.033846104776302</c:v>
                </c:pt>
                <c:pt idx="174">
                  <c:v>14.085396728893937</c:v>
                </c:pt>
                <c:pt idx="175">
                  <c:v>14.137115836770569</c:v>
                </c:pt>
                <c:pt idx="176">
                  <c:v>14.189000556523933</c:v>
                </c:pt>
                <c:pt idx="177">
                  <c:v>14.241048081173076</c:v>
                </c:pt>
                <c:pt idx="178">
                  <c:v>14.293255666815254</c:v>
                </c:pt>
                <c:pt idx="179">
                  <c:v>14.345620630864</c:v>
                </c:pt>
                <c:pt idx="180">
                  <c:v>14.398140350345864</c:v>
                </c:pt>
                <c:pt idx="181">
                  <c:v>14.450812260253663</c:v>
                </c:pt>
                <c:pt idx="182">
                  <c:v>14.503633851954017</c:v>
                </c:pt>
                <c:pt idx="183">
                  <c:v>14.556602671647035</c:v>
                </c:pt>
                <c:pt idx="184">
                  <c:v>14.609716318876321</c:v>
                </c:pt>
                <c:pt idx="185">
                  <c:v>14.662972445087229</c:v>
                </c:pt>
                <c:pt idx="186">
                  <c:v>14.716368752231672</c:v>
                </c:pt>
                <c:pt idx="187">
                  <c:v>14.769902991417666</c:v>
                </c:pt>
                <c:pt idx="188">
                  <c:v>14.823572961601997</c:v>
                </c:pt>
                <c:pt idx="189">
                  <c:v>14.877376508324373</c:v>
                </c:pt>
                <c:pt idx="190">
                  <c:v>14.931311522481558</c:v>
                </c:pt>
                <c:pt idx="191">
                  <c:v>14.985375939140026</c:v>
                </c:pt>
                <c:pt idx="192">
                  <c:v>15.03956773638569</c:v>
                </c:pt>
                <c:pt idx="193">
                  <c:v>15.093884934209429</c:v>
                </c:pt>
                <c:pt idx="194">
                  <c:v>15.148325593427039</c:v>
                </c:pt>
                <c:pt idx="195">
                  <c:v>15.202887814632463</c:v>
                </c:pt>
                <c:pt idx="196">
                  <c:v>15.257569737183031</c:v>
                </c:pt>
                <c:pt idx="197">
                  <c:v>15.312369538215622</c:v>
                </c:pt>
                <c:pt idx="198">
                  <c:v>15.367285431692627</c:v>
                </c:pt>
                <c:pt idx="199">
                  <c:v>15.422315667476687</c:v>
                </c:pt>
                <c:pt idx="200">
                  <c:v>15.477458530433211</c:v>
                </c:pt>
                <c:pt idx="201">
                  <c:v>15.532712339559605</c:v>
                </c:pt>
                <c:pt idx="202">
                  <c:v>15.588075447140492</c:v>
                </c:pt>
                <c:pt idx="203">
                  <c:v>15.643546237927767</c:v>
                </c:pt>
                <c:pt idx="204">
                  <c:v>15.699123128344869</c:v>
                </c:pt>
                <c:pt idx="205">
                  <c:v>15.754804565714288</c:v>
                </c:pt>
                <c:pt idx="206">
                  <c:v>15.810589027507588</c:v>
                </c:pt>
                <c:pt idx="207">
                  <c:v>15.866475020617184</c:v>
                </c:pt>
                <c:pt idx="208">
                  <c:v>15.922461080649082</c:v>
                </c:pt>
                <c:pt idx="209">
                  <c:v>15.978545771235988</c:v>
                </c:pt>
                <c:pt idx="210">
                  <c:v>16.034727683369962</c:v>
                </c:pt>
                <c:pt idx="211">
                  <c:v>16.09100543475413</c:v>
                </c:pt>
                <c:pt idx="212">
                  <c:v>16.147377669172695</c:v>
                </c:pt>
                <c:pt idx="213">
                  <c:v>16.203843055878679</c:v>
                </c:pt>
                <c:pt idx="214">
                  <c:v>16.260400288998905</c:v>
                </c:pt>
                <c:pt idx="215">
                  <c:v>16.317048086955499</c:v>
                </c:pt>
                <c:pt idx="216">
                  <c:v>16.373785191903501</c:v>
                </c:pt>
                <c:pt idx="217">
                  <c:v>16.430610369184059</c:v>
                </c:pt>
                <c:pt idx="218">
                  <c:v>16.487522406792586</c:v>
                </c:pt>
                <c:pt idx="219">
                  <c:v>16.54452011486158</c:v>
                </c:pt>
                <c:pt idx="220">
                  <c:v>16.60160232515749</c:v>
                </c:pt>
                <c:pt idx="221">
                  <c:v>16.658767890591257</c:v>
                </c:pt>
                <c:pt idx="222">
                  <c:v>16.716015684742104</c:v>
                </c:pt>
                <c:pt idx="223">
                  <c:v>16.773344601394108</c:v>
                </c:pt>
                <c:pt idx="224">
                  <c:v>16.830753554085195</c:v>
                </c:pt>
                <c:pt idx="225">
                  <c:v>16.888241475668178</c:v>
                </c:pt>
                <c:pt idx="226">
                  <c:v>16.945807317883432</c:v>
                </c:pt>
                <c:pt idx="227">
                  <c:v>17.003450050942863</c:v>
                </c:pt>
                <c:pt idx="228">
                  <c:v>17.061168663124839</c:v>
                </c:pt>
                <c:pt idx="229">
                  <c:v>17.11896216037972</c:v>
                </c:pt>
                <c:pt idx="230">
                  <c:v>17.176829565945688</c:v>
                </c:pt>
                <c:pt idx="231">
                  <c:v>17.234769919974539</c:v>
                </c:pt>
                <c:pt idx="232">
                  <c:v>17.292782279167191</c:v>
                </c:pt>
                <c:pt idx="233">
                  <c:v>17.350865716418529</c:v>
                </c:pt>
                <c:pt idx="234">
                  <c:v>17.409019320471391</c:v>
                </c:pt>
                <c:pt idx="235">
                  <c:v>17.467242195579374</c:v>
                </c:pt>
                <c:pt idx="236">
                  <c:v>17.525533461178213</c:v>
                </c:pt>
                <c:pt idx="237">
                  <c:v>17.583892251565501</c:v>
                </c:pt>
                <c:pt idx="238">
                  <c:v>17.642317715588437</c:v>
                </c:pt>
                <c:pt idx="239">
                  <c:v>17.700809016339459</c:v>
                </c:pt>
                <c:pt idx="240">
                  <c:v>17.759365330859474</c:v>
                </c:pt>
                <c:pt idx="241">
                  <c:v>17.817985849848441</c:v>
                </c:pt>
                <c:pt idx="242">
                  <c:v>17.876669777383203</c:v>
                </c:pt>
                <c:pt idx="243">
                  <c:v>17.935416330642202</c:v>
                </c:pt>
                <c:pt idx="244">
                  <c:v>17.994224739637016</c:v>
                </c:pt>
                <c:pt idx="245">
                  <c:v>18.053094246950494</c:v>
                </c:pt>
                <c:pt idx="246">
                  <c:v>18.112024107481165</c:v>
                </c:pt>
                <c:pt idx="247">
                  <c:v>18.171013588194018</c:v>
                </c:pt>
                <c:pt idx="248">
                  <c:v>18.230061967877162</c:v>
                </c:pt>
                <c:pt idx="249">
                  <c:v>18.289168536904459</c:v>
                </c:pt>
                <c:pt idx="250">
                  <c:v>18.348332597003775</c:v>
                </c:pt>
                <c:pt idx="251">
                  <c:v>18.407553461030815</c:v>
                </c:pt>
                <c:pt idx="252">
                  <c:v>18.466830452748358</c:v>
                </c:pt>
                <c:pt idx="253">
                  <c:v>18.526162906610654</c:v>
                </c:pt>
                <c:pt idx="254">
                  <c:v>18.585550167553013</c:v>
                </c:pt>
                <c:pt idx="255">
                  <c:v>18.644991590786248</c:v>
                </c:pt>
                <c:pt idx="256">
                  <c:v>18.704486541596019</c:v>
                </c:pt>
                <c:pt idx="257">
                  <c:v>18.764034395146794</c:v>
                </c:pt>
                <c:pt idx="258">
                  <c:v>18.823634536290431</c:v>
                </c:pt>
                <c:pt idx="259">
                  <c:v>18.883286359379134</c:v>
                </c:pt>
                <c:pt idx="260">
                  <c:v>18.942989268082762</c:v>
                </c:pt>
                <c:pt idx="261">
                  <c:v>19.002742675210349</c:v>
                </c:pt>
                <c:pt idx="262">
                  <c:v>19.062546002535658</c:v>
                </c:pt>
                <c:pt idx="263">
                  <c:v>19.122398680626777</c:v>
                </c:pt>
                <c:pt idx="264">
                  <c:v>19.182300148679552</c:v>
                </c:pt>
                <c:pt idx="265">
                  <c:v>19.242249854354792</c:v>
                </c:pt>
                <c:pt idx="266">
                  <c:v>19.302247253619164</c:v>
                </c:pt>
                <c:pt idx="267">
                  <c:v>19.362291810589642</c:v>
                </c:pt>
                <c:pt idx="268">
                  <c:v>19.422382997381458</c:v>
                </c:pt>
                <c:pt idx="269">
                  <c:v>19.482520293959425</c:v>
                </c:pt>
                <c:pt idx="270">
                  <c:v>19.542703187992586</c:v>
                </c:pt>
                <c:pt idx="271">
                  <c:v>19.602931174712065</c:v>
                </c:pt>
                <c:pt idx="272">
                  <c:v>19.66320375677207</c:v>
                </c:pt>
                <c:pt idx="273">
                  <c:v>19.723520444113898</c:v>
                </c:pt>
                <c:pt idx="274">
                  <c:v>19.783880753833007</c:v>
                </c:pt>
                <c:pt idx="275">
                  <c:v>19.844284210048922</c:v>
                </c:pt>
                <c:pt idx="276">
                  <c:v>19.904730343777974</c:v>
                </c:pt>
                <c:pt idx="277">
                  <c:v>19.965218692808833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93E-4FBF-B33F-92DEB2B401EF}"/>
            </c:ext>
          </c:extLst>
        </c:ser>
        <c:ser>
          <c:idx val="2"/>
          <c:order val="4"/>
          <c:tx>
            <c:v>Vapproach</c:v>
          </c:tx>
          <c:spPr>
            <a:ln w="76200" cmpd="thickThin"/>
          </c:spPr>
          <c:marker>
            <c:symbol val="none"/>
          </c:marker>
          <c:xVal>
            <c:numRef>
              <c:f>airplane!$I$44:$I$45</c:f>
              <c:numCache>
                <c:formatCode>General</c:formatCode>
                <c:ptCount val="2"/>
                <c:pt idx="0">
                  <c:v>1092.8410936468053</c:v>
                </c:pt>
                <c:pt idx="1">
                  <c:v>1092.8410936468053</c:v>
                </c:pt>
              </c:numCache>
            </c:numRef>
          </c:xVal>
          <c:yVal>
            <c:numRef>
              <c:f>airplane!$J$44:$J$45</c:f>
              <c:numCache>
                <c:formatCode>General</c:formatCode>
                <c:ptCount val="2"/>
                <c:pt idx="0">
                  <c:v>0</c:v>
                </c:pt>
                <c:pt idx="1">
                  <c:v>800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93E-4FBF-B33F-92DEB2B401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996480"/>
        <c:axId val="192997056"/>
      </c:scatterChart>
      <c:scatterChart>
        <c:scatterStyle val="smoothMarker"/>
        <c:varyColors val="0"/>
        <c:ser>
          <c:idx val="6"/>
          <c:order val="5"/>
          <c:tx>
            <c:v>English Units</c:v>
          </c:tx>
          <c:spPr>
            <a:ln>
              <a:noFill/>
            </a:ln>
          </c:spPr>
          <c:marker>
            <c:symbol val="none"/>
          </c:marker>
          <c:xVal>
            <c:numRef>
              <c:f>airplane!$R$35:$R$36</c:f>
              <c:numCache>
                <c:formatCode>0.00</c:formatCode>
                <c:ptCount val="2"/>
                <c:pt idx="0">
                  <c:v>0.83465867013075312</c:v>
                </c:pt>
                <c:pt idx="1">
                  <c:v>2.0866466753268833</c:v>
                </c:pt>
              </c:numCache>
            </c:numRef>
          </c:xVal>
          <c:yVal>
            <c:numRef>
              <c:f>airplane!$R$38:$R$39</c:f>
              <c:numCache>
                <c:formatCode>General</c:formatCode>
                <c:ptCount val="2"/>
                <c:pt idx="0">
                  <c:v>0</c:v>
                </c:pt>
                <c:pt idx="1">
                  <c:v>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93E-4FBF-B33F-92DEB2B401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998208"/>
        <c:axId val="192997632"/>
      </c:scatterChart>
      <c:valAx>
        <c:axId val="192996480"/>
        <c:scaling>
          <c:orientation val="minMax"/>
          <c:max val="1400"/>
          <c:min val="15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Wing Loading, W/S (N/m</a:t>
                </a:r>
                <a:r>
                  <a:rPr lang="en-US" sz="1400" baseline="30000"/>
                  <a:t>2</a:t>
                </a:r>
                <a:r>
                  <a:rPr lang="en-US" sz="1400"/>
                  <a:t>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192997056"/>
        <c:crosses val="autoZero"/>
        <c:crossBetween val="midCat"/>
      </c:valAx>
      <c:valAx>
        <c:axId val="192997056"/>
        <c:scaling>
          <c:orientation val="minMax"/>
          <c:max val="25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Power Loading, P/W (Watt/N)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192996480"/>
        <c:crosses val="autoZero"/>
        <c:crossBetween val="midCat"/>
      </c:valAx>
      <c:valAx>
        <c:axId val="192997632"/>
        <c:scaling>
          <c:orientation val="minMax"/>
          <c:max val="133"/>
          <c:min val="0"/>
        </c:scaling>
        <c:delete val="1"/>
        <c:axPos val="r"/>
        <c:title>
          <c:tx>
            <c:rich>
              <a:bodyPr rot="-5400000" vert="horz"/>
              <a:lstStyle/>
              <a:p>
                <a:pPr>
                  <a:defRPr sz="1100"/>
                </a:pPr>
                <a:r>
                  <a:rPr lang="en-US" sz="1100"/>
                  <a:t>Power Loading P/W</a:t>
                </a:r>
                <a:r>
                  <a:rPr lang="en-US" sz="1100" baseline="0"/>
                  <a:t> (Watt/lbs)</a:t>
                </a:r>
                <a:endParaRPr lang="en-US" sz="1100"/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crossAx val="192998208"/>
        <c:crosses val="max"/>
        <c:crossBetween val="midCat"/>
      </c:valAx>
      <c:valAx>
        <c:axId val="192998208"/>
        <c:scaling>
          <c:orientation val="minMax"/>
          <c:max val="2.09"/>
          <c:min val="0.83000000000000007"/>
        </c:scaling>
        <c:delete val="1"/>
        <c:axPos val="t"/>
        <c:numFmt formatCode="0.0" sourceLinked="0"/>
        <c:majorTickMark val="out"/>
        <c:minorTickMark val="none"/>
        <c:tickLblPos val="nextTo"/>
        <c:crossAx val="192997632"/>
        <c:crosses val="max"/>
        <c:crossBetween val="midCat"/>
        <c:majorUnit val="0.21000000000000002"/>
      </c:valAx>
      <c:spPr>
        <a:ln>
          <a:solidFill>
            <a:schemeClr val="tx1"/>
          </a:solidFill>
        </a:ln>
      </c:spPr>
    </c:plotArea>
    <c:legend>
      <c:legendPos val="r"/>
      <c:legendEntry>
        <c:idx val="5"/>
        <c:delete val="1"/>
      </c:legendEntry>
      <c:overlay val="0"/>
      <c:spPr>
        <a:ln>
          <a:solidFill>
            <a:schemeClr val="tx1"/>
          </a:solidFill>
        </a:ln>
      </c:spPr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Cpp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'Power Curve at sea Level'!$A$16:$A$35</c:f>
              <c:numCache>
                <c:formatCode>General</c:formatCode>
                <c:ptCount val="20"/>
                <c:pt idx="0">
                  <c:v>0</c:v>
                </c:pt>
                <c:pt idx="1">
                  <c:v>12.5</c:v>
                </c:pt>
                <c:pt idx="2">
                  <c:v>25</c:v>
                </c:pt>
                <c:pt idx="3">
                  <c:v>37.5</c:v>
                </c:pt>
                <c:pt idx="4">
                  <c:v>50</c:v>
                </c:pt>
                <c:pt idx="5">
                  <c:v>62.5</c:v>
                </c:pt>
                <c:pt idx="6">
                  <c:v>75</c:v>
                </c:pt>
                <c:pt idx="7">
                  <c:v>87.5</c:v>
                </c:pt>
                <c:pt idx="8">
                  <c:v>100</c:v>
                </c:pt>
                <c:pt idx="9">
                  <c:v>112.5</c:v>
                </c:pt>
                <c:pt idx="10">
                  <c:v>125</c:v>
                </c:pt>
                <c:pt idx="11">
                  <c:v>137.5</c:v>
                </c:pt>
                <c:pt idx="12">
                  <c:v>150</c:v>
                </c:pt>
                <c:pt idx="13">
                  <c:v>162.5</c:v>
                </c:pt>
                <c:pt idx="14">
                  <c:v>175</c:v>
                </c:pt>
                <c:pt idx="15">
                  <c:v>187.5</c:v>
                </c:pt>
                <c:pt idx="16">
                  <c:v>200</c:v>
                </c:pt>
                <c:pt idx="17">
                  <c:v>212.5</c:v>
                </c:pt>
                <c:pt idx="18">
                  <c:v>225</c:v>
                </c:pt>
                <c:pt idx="19">
                  <c:v>237.5</c:v>
                </c:pt>
              </c:numCache>
            </c:numRef>
          </c:xVal>
          <c:yVal>
            <c:numRef>
              <c:f>'Power Curve at sea Level'!$C$16:$C$35</c:f>
              <c:numCache>
                <c:formatCode>General</c:formatCode>
                <c:ptCount val="20"/>
                <c:pt idx="0">
                  <c:v>0</c:v>
                </c:pt>
                <c:pt idx="1">
                  <c:v>2.4909649614476822E-7</c:v>
                </c:pt>
                <c:pt idx="2">
                  <c:v>1.9927719691581458E-6</c:v>
                </c:pt>
                <c:pt idx="3">
                  <c:v>6.7256053959087425E-6</c:v>
                </c:pt>
                <c:pt idx="4">
                  <c:v>1.5942175753265166E-5</c:v>
                </c:pt>
                <c:pt idx="5">
                  <c:v>3.1137062018096039E-5</c:v>
                </c:pt>
                <c:pt idx="6">
                  <c:v>5.380484316726994E-5</c:v>
                </c:pt>
                <c:pt idx="7">
                  <c:v>8.5440098177655508E-5</c:v>
                </c:pt>
                <c:pt idx="8">
                  <c:v>1.2753740602612133E-4</c:v>
                </c:pt>
                <c:pt idx="9">
                  <c:v>1.8159134568953612E-4</c:v>
                </c:pt>
                <c:pt idx="10">
                  <c:v>2.4909649614476831E-4</c:v>
                </c:pt>
                <c:pt idx="11">
                  <c:v>3.3154743636868648E-4</c:v>
                </c:pt>
                <c:pt idx="12">
                  <c:v>4.3043874533815952E-4</c:v>
                </c:pt>
                <c:pt idx="13">
                  <c:v>5.4726500203005582E-4</c:v>
                </c:pt>
                <c:pt idx="14">
                  <c:v>6.8352078542124406E-4</c:v>
                </c:pt>
                <c:pt idx="15">
                  <c:v>8.407006744885928E-4</c:v>
                </c:pt>
                <c:pt idx="16">
                  <c:v>1.0202992482089706E-3</c:v>
                </c:pt>
                <c:pt idx="17">
                  <c:v>1.2238110855592463E-3</c:v>
                </c:pt>
                <c:pt idx="18">
                  <c:v>1.452730765516289E-3</c:v>
                </c:pt>
                <c:pt idx="19">
                  <c:v>1.7085528670569658E-3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48E-4CAE-BF24-34617731748A}"/>
            </c:ext>
          </c:extLst>
        </c:ser>
        <c:ser>
          <c:idx val="1"/>
          <c:order val="1"/>
          <c:tx>
            <c:v>Cp0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'Power Curve at sea Level'!$A$16:$A$35</c:f>
              <c:numCache>
                <c:formatCode>General</c:formatCode>
                <c:ptCount val="20"/>
                <c:pt idx="0">
                  <c:v>0</c:v>
                </c:pt>
                <c:pt idx="1">
                  <c:v>12.5</c:v>
                </c:pt>
                <c:pt idx="2">
                  <c:v>25</c:v>
                </c:pt>
                <c:pt idx="3">
                  <c:v>37.5</c:v>
                </c:pt>
                <c:pt idx="4">
                  <c:v>50</c:v>
                </c:pt>
                <c:pt idx="5">
                  <c:v>62.5</c:v>
                </c:pt>
                <c:pt idx="6">
                  <c:v>75</c:v>
                </c:pt>
                <c:pt idx="7">
                  <c:v>87.5</c:v>
                </c:pt>
                <c:pt idx="8">
                  <c:v>100</c:v>
                </c:pt>
                <c:pt idx="9">
                  <c:v>112.5</c:v>
                </c:pt>
                <c:pt idx="10">
                  <c:v>125</c:v>
                </c:pt>
                <c:pt idx="11">
                  <c:v>137.5</c:v>
                </c:pt>
                <c:pt idx="12">
                  <c:v>150</c:v>
                </c:pt>
                <c:pt idx="13">
                  <c:v>162.5</c:v>
                </c:pt>
                <c:pt idx="14">
                  <c:v>175</c:v>
                </c:pt>
                <c:pt idx="15">
                  <c:v>187.5</c:v>
                </c:pt>
                <c:pt idx="16">
                  <c:v>200</c:v>
                </c:pt>
                <c:pt idx="17">
                  <c:v>212.5</c:v>
                </c:pt>
                <c:pt idx="18">
                  <c:v>225</c:v>
                </c:pt>
                <c:pt idx="19">
                  <c:v>237.5</c:v>
                </c:pt>
              </c:numCache>
            </c:numRef>
          </c:xVal>
          <c:yVal>
            <c:numRef>
              <c:f>'Power Curve at sea Level'!$D$16:$D$35</c:f>
              <c:numCache>
                <c:formatCode>General</c:formatCode>
                <c:ptCount val="20"/>
                <c:pt idx="0">
                  <c:v>2.2000000000000001E-4</c:v>
                </c:pt>
                <c:pt idx="1">
                  <c:v>2.2032621173469387E-4</c:v>
                </c:pt>
                <c:pt idx="2">
                  <c:v>2.2130484693877551E-4</c:v>
                </c:pt>
                <c:pt idx="3">
                  <c:v>2.2293590561224492E-4</c:v>
                </c:pt>
                <c:pt idx="4">
                  <c:v>2.2521938775510203E-4</c:v>
                </c:pt>
                <c:pt idx="5">
                  <c:v>2.2815529336734695E-4</c:v>
                </c:pt>
                <c:pt idx="6">
                  <c:v>2.3174362244897959E-4</c:v>
                </c:pt>
                <c:pt idx="7">
                  <c:v>2.3598437500000003E-4</c:v>
                </c:pt>
                <c:pt idx="8">
                  <c:v>2.4087755102040817E-4</c:v>
                </c:pt>
                <c:pt idx="9">
                  <c:v>2.4642315051020408E-4</c:v>
                </c:pt>
                <c:pt idx="10">
                  <c:v>2.5262117346938775E-4</c:v>
                </c:pt>
                <c:pt idx="11">
                  <c:v>2.5947161989795919E-4</c:v>
                </c:pt>
                <c:pt idx="12">
                  <c:v>2.6697448979591841E-4</c:v>
                </c:pt>
                <c:pt idx="13">
                  <c:v>2.7512978316326535E-4</c:v>
                </c:pt>
                <c:pt idx="14">
                  <c:v>2.8393750000000001E-4</c:v>
                </c:pt>
                <c:pt idx="15">
                  <c:v>2.9339764030612245E-4</c:v>
                </c:pt>
                <c:pt idx="16">
                  <c:v>3.0351020408163267E-4</c:v>
                </c:pt>
                <c:pt idx="17">
                  <c:v>3.1427519132653061E-4</c:v>
                </c:pt>
                <c:pt idx="18">
                  <c:v>3.2569260204081638E-4</c:v>
                </c:pt>
                <c:pt idx="19">
                  <c:v>3.3776243622448988E-4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48E-4CAE-BF24-34617731748A}"/>
            </c:ext>
          </c:extLst>
        </c:ser>
        <c:ser>
          <c:idx val="2"/>
          <c:order val="2"/>
          <c:tx>
            <c:v>Cpi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'Power Curve at sea Level'!$A$16:$A$35</c:f>
              <c:numCache>
                <c:formatCode>General</c:formatCode>
                <c:ptCount val="20"/>
                <c:pt idx="0">
                  <c:v>0</c:v>
                </c:pt>
                <c:pt idx="1">
                  <c:v>12.5</c:v>
                </c:pt>
                <c:pt idx="2">
                  <c:v>25</c:v>
                </c:pt>
                <c:pt idx="3">
                  <c:v>37.5</c:v>
                </c:pt>
                <c:pt idx="4">
                  <c:v>50</c:v>
                </c:pt>
                <c:pt idx="5">
                  <c:v>62.5</c:v>
                </c:pt>
                <c:pt idx="6">
                  <c:v>75</c:v>
                </c:pt>
                <c:pt idx="7">
                  <c:v>87.5</c:v>
                </c:pt>
                <c:pt idx="8">
                  <c:v>100</c:v>
                </c:pt>
                <c:pt idx="9">
                  <c:v>112.5</c:v>
                </c:pt>
                <c:pt idx="10">
                  <c:v>125</c:v>
                </c:pt>
                <c:pt idx="11">
                  <c:v>137.5</c:v>
                </c:pt>
                <c:pt idx="12">
                  <c:v>150</c:v>
                </c:pt>
                <c:pt idx="13">
                  <c:v>162.5</c:v>
                </c:pt>
                <c:pt idx="14">
                  <c:v>175</c:v>
                </c:pt>
                <c:pt idx="15">
                  <c:v>187.5</c:v>
                </c:pt>
                <c:pt idx="16">
                  <c:v>200</c:v>
                </c:pt>
                <c:pt idx="17">
                  <c:v>212.5</c:v>
                </c:pt>
                <c:pt idx="18">
                  <c:v>225</c:v>
                </c:pt>
                <c:pt idx="19">
                  <c:v>237.5</c:v>
                </c:pt>
              </c:numCache>
            </c:numRef>
          </c:xVal>
          <c:yVal>
            <c:numRef>
              <c:f>'Power Curve at sea Level'!$E$16:$E$35</c:f>
              <c:numCache>
                <c:formatCode>General</c:formatCode>
                <c:ptCount val="20"/>
                <c:pt idx="0">
                  <c:v>1.0293962696930176E-3</c:v>
                </c:pt>
                <c:pt idx="1">
                  <c:v>1.0130157667716513E-3</c:v>
                </c:pt>
                <c:pt idx="2">
                  <c:v>9.6557991970887031E-4</c:v>
                </c:pt>
                <c:pt idx="3">
                  <c:v>8.9271902010448312E-4</c:v>
                </c:pt>
                <c:pt idx="4">
                  <c:v>8.0444260716044003E-4</c:v>
                </c:pt>
                <c:pt idx="5">
                  <c:v>7.1304599878955891E-4</c:v>
                </c:pt>
                <c:pt idx="6">
                  <c:v>6.2845493799222802E-4</c:v>
                </c:pt>
                <c:pt idx="7">
                  <c:v>5.5536964387760716E-4</c:v>
                </c:pt>
                <c:pt idx="8">
                  <c:v>4.9425921056483687E-4</c:v>
                </c:pt>
                <c:pt idx="9">
                  <c:v>4.4364683360787496E-4</c:v>
                </c:pt>
                <c:pt idx="10">
                  <c:v>4.0161811275298925E-4</c:v>
                </c:pt>
                <c:pt idx="11">
                  <c:v>3.6643430676942671E-4</c:v>
                </c:pt>
                <c:pt idx="12">
                  <c:v>3.3668458952655303E-4</c:v>
                </c:pt>
                <c:pt idx="13">
                  <c:v>3.112700748400802E-4</c:v>
                </c:pt>
                <c:pt idx="14">
                  <c:v>2.893450188741686E-4</c:v>
                </c:pt>
                <c:pt idx="15">
                  <c:v>2.7025788802018797E-4</c:v>
                </c:pt>
                <c:pt idx="16">
                  <c:v>2.53503318843257E-4</c:v>
                </c:pt>
                <c:pt idx="17">
                  <c:v>2.3868562348169849E-4</c:v>
                </c:pt>
                <c:pt idx="18">
                  <c:v>2.2549177402773592E-4</c:v>
                </c:pt>
                <c:pt idx="19">
                  <c:v>2.1367154219997843E-4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48E-4CAE-BF24-34617731748A}"/>
            </c:ext>
          </c:extLst>
        </c:ser>
        <c:ser>
          <c:idx val="3"/>
          <c:order val="3"/>
          <c:tx>
            <c:v>Cp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'Power Curve at sea Level'!$A$16:$A$35</c:f>
              <c:numCache>
                <c:formatCode>General</c:formatCode>
                <c:ptCount val="20"/>
                <c:pt idx="0">
                  <c:v>0</c:v>
                </c:pt>
                <c:pt idx="1">
                  <c:v>12.5</c:v>
                </c:pt>
                <c:pt idx="2">
                  <c:v>25</c:v>
                </c:pt>
                <c:pt idx="3">
                  <c:v>37.5</c:v>
                </c:pt>
                <c:pt idx="4">
                  <c:v>50</c:v>
                </c:pt>
                <c:pt idx="5">
                  <c:v>62.5</c:v>
                </c:pt>
                <c:pt idx="6">
                  <c:v>75</c:v>
                </c:pt>
                <c:pt idx="7">
                  <c:v>87.5</c:v>
                </c:pt>
                <c:pt idx="8">
                  <c:v>100</c:v>
                </c:pt>
                <c:pt idx="9">
                  <c:v>112.5</c:v>
                </c:pt>
                <c:pt idx="10">
                  <c:v>125</c:v>
                </c:pt>
                <c:pt idx="11">
                  <c:v>137.5</c:v>
                </c:pt>
                <c:pt idx="12">
                  <c:v>150</c:v>
                </c:pt>
                <c:pt idx="13">
                  <c:v>162.5</c:v>
                </c:pt>
                <c:pt idx="14">
                  <c:v>175</c:v>
                </c:pt>
                <c:pt idx="15">
                  <c:v>187.5</c:v>
                </c:pt>
                <c:pt idx="16">
                  <c:v>200</c:v>
                </c:pt>
                <c:pt idx="17">
                  <c:v>212.5</c:v>
                </c:pt>
                <c:pt idx="18">
                  <c:v>225</c:v>
                </c:pt>
                <c:pt idx="19">
                  <c:v>237.5</c:v>
                </c:pt>
              </c:numCache>
            </c:numRef>
          </c:xVal>
          <c:yVal>
            <c:numRef>
              <c:f>'Power Curve at sea Level'!$H$16:$H$35</c:f>
              <c:numCache>
                <c:formatCode>General</c:formatCode>
                <c:ptCount val="20"/>
                <c:pt idx="0">
                  <c:v>1.2493962696930175E-3</c:v>
                </c:pt>
                <c:pt idx="1">
                  <c:v>1.2335910750024899E-3</c:v>
                </c:pt>
                <c:pt idx="2">
                  <c:v>1.188877538616804E-3</c:v>
                </c:pt>
                <c:pt idx="3">
                  <c:v>1.1223805311126368E-3</c:v>
                </c:pt>
                <c:pt idx="4">
                  <c:v>1.0456041706688073E-3</c:v>
                </c:pt>
                <c:pt idx="5">
                  <c:v>9.7233835417500194E-4</c:v>
                </c:pt>
                <c:pt idx="6">
                  <c:v>9.1400340360847762E-4</c:v>
                </c:pt>
                <c:pt idx="7">
                  <c:v>8.7679411705526269E-4</c:v>
                </c:pt>
                <c:pt idx="8">
                  <c:v>8.6267416761136632E-4</c:v>
                </c:pt>
                <c:pt idx="9">
                  <c:v>8.7166132980761517E-4</c:v>
                </c:pt>
                <c:pt idx="10">
                  <c:v>9.0333578236714536E-4</c:v>
                </c:pt>
                <c:pt idx="11">
                  <c:v>9.5745336303607238E-4</c:v>
                </c:pt>
                <c:pt idx="12">
                  <c:v>1.0340978246606309E-3</c:v>
                </c:pt>
                <c:pt idx="13">
                  <c:v>1.1336648600334012E-3</c:v>
                </c:pt>
                <c:pt idx="14">
                  <c:v>1.2568033042954126E-3</c:v>
                </c:pt>
                <c:pt idx="15">
                  <c:v>1.4043562028149032E-3</c:v>
                </c:pt>
                <c:pt idx="16">
                  <c:v>1.5773127711338603E-3</c:v>
                </c:pt>
                <c:pt idx="17">
                  <c:v>1.7767719003674756E-3</c:v>
                </c:pt>
                <c:pt idx="18">
                  <c:v>2.0039151415848413E-3</c:v>
                </c:pt>
                <c:pt idx="19">
                  <c:v>2.2599868454814343E-3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48E-4CAE-BF24-3461773174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68846336"/>
        <c:axId val="-668844160"/>
      </c:scatterChart>
      <c:valAx>
        <c:axId val="-668846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68844160"/>
        <c:crosses val="autoZero"/>
        <c:crossBetween val="midCat"/>
      </c:valAx>
      <c:valAx>
        <c:axId val="-66884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68846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'Power Curve at sea Level'!$A$16:$A$46</c:f>
              <c:numCache>
                <c:formatCode>General</c:formatCode>
                <c:ptCount val="31"/>
                <c:pt idx="0">
                  <c:v>0</c:v>
                </c:pt>
                <c:pt idx="1">
                  <c:v>12.5</c:v>
                </c:pt>
                <c:pt idx="2">
                  <c:v>25</c:v>
                </c:pt>
                <c:pt idx="3">
                  <c:v>37.5</c:v>
                </c:pt>
                <c:pt idx="4">
                  <c:v>50</c:v>
                </c:pt>
                <c:pt idx="5">
                  <c:v>62.5</c:v>
                </c:pt>
                <c:pt idx="6">
                  <c:v>75</c:v>
                </c:pt>
                <c:pt idx="7">
                  <c:v>87.5</c:v>
                </c:pt>
                <c:pt idx="8">
                  <c:v>100</c:v>
                </c:pt>
                <c:pt idx="9">
                  <c:v>112.5</c:v>
                </c:pt>
                <c:pt idx="10">
                  <c:v>125</c:v>
                </c:pt>
                <c:pt idx="11">
                  <c:v>137.5</c:v>
                </c:pt>
                <c:pt idx="12">
                  <c:v>150</c:v>
                </c:pt>
                <c:pt idx="13">
                  <c:v>162.5</c:v>
                </c:pt>
                <c:pt idx="14">
                  <c:v>175</c:v>
                </c:pt>
                <c:pt idx="15">
                  <c:v>187.5</c:v>
                </c:pt>
                <c:pt idx="16">
                  <c:v>200</c:v>
                </c:pt>
                <c:pt idx="17">
                  <c:v>212.5</c:v>
                </c:pt>
                <c:pt idx="18">
                  <c:v>225</c:v>
                </c:pt>
                <c:pt idx="19">
                  <c:v>237.5</c:v>
                </c:pt>
                <c:pt idx="20">
                  <c:v>250</c:v>
                </c:pt>
                <c:pt idx="21">
                  <c:v>262.5</c:v>
                </c:pt>
                <c:pt idx="22">
                  <c:v>275</c:v>
                </c:pt>
                <c:pt idx="23">
                  <c:v>287.5</c:v>
                </c:pt>
                <c:pt idx="24">
                  <c:v>300</c:v>
                </c:pt>
                <c:pt idx="25">
                  <c:v>312.5</c:v>
                </c:pt>
                <c:pt idx="26">
                  <c:v>325</c:v>
                </c:pt>
                <c:pt idx="27">
                  <c:v>337.5</c:v>
                </c:pt>
                <c:pt idx="28">
                  <c:v>350</c:v>
                </c:pt>
                <c:pt idx="29">
                  <c:v>362.5</c:v>
                </c:pt>
                <c:pt idx="30">
                  <c:v>375</c:v>
                </c:pt>
              </c:numCache>
            </c:numRef>
          </c:xVal>
          <c:yVal>
            <c:numRef>
              <c:f>'Power Curve at sea Level'!$I$16:$I$46</c:f>
              <c:numCache>
                <c:formatCode>General</c:formatCode>
                <c:ptCount val="31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  <c:pt idx="4">
                  <c:v>300</c:v>
                </c:pt>
                <c:pt idx="5">
                  <c:v>300</c:v>
                </c:pt>
                <c:pt idx="6">
                  <c:v>300</c:v>
                </c:pt>
                <c:pt idx="7">
                  <c:v>300</c:v>
                </c:pt>
                <c:pt idx="8">
                  <c:v>300</c:v>
                </c:pt>
                <c:pt idx="9">
                  <c:v>300</c:v>
                </c:pt>
                <c:pt idx="10">
                  <c:v>300</c:v>
                </c:pt>
                <c:pt idx="11">
                  <c:v>300</c:v>
                </c:pt>
                <c:pt idx="12">
                  <c:v>300</c:v>
                </c:pt>
                <c:pt idx="13">
                  <c:v>300</c:v>
                </c:pt>
                <c:pt idx="14">
                  <c:v>300</c:v>
                </c:pt>
                <c:pt idx="15">
                  <c:v>300</c:v>
                </c:pt>
                <c:pt idx="16">
                  <c:v>300</c:v>
                </c:pt>
                <c:pt idx="17">
                  <c:v>300</c:v>
                </c:pt>
                <c:pt idx="18">
                  <c:v>300</c:v>
                </c:pt>
                <c:pt idx="19">
                  <c:v>300</c:v>
                </c:pt>
                <c:pt idx="20">
                  <c:v>300</c:v>
                </c:pt>
                <c:pt idx="21">
                  <c:v>300</c:v>
                </c:pt>
                <c:pt idx="22">
                  <c:v>300</c:v>
                </c:pt>
                <c:pt idx="23">
                  <c:v>300</c:v>
                </c:pt>
                <c:pt idx="24">
                  <c:v>300</c:v>
                </c:pt>
                <c:pt idx="25">
                  <c:v>300</c:v>
                </c:pt>
                <c:pt idx="26">
                  <c:v>300</c:v>
                </c:pt>
                <c:pt idx="27">
                  <c:v>300</c:v>
                </c:pt>
                <c:pt idx="28">
                  <c:v>300</c:v>
                </c:pt>
                <c:pt idx="29">
                  <c:v>300</c:v>
                </c:pt>
                <c:pt idx="30">
                  <c:v>300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092-4DCD-8C99-F8110188D93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'Power Curve at sea Level'!$A$16:$A$46</c:f>
              <c:numCache>
                <c:formatCode>General</c:formatCode>
                <c:ptCount val="31"/>
                <c:pt idx="0">
                  <c:v>0</c:v>
                </c:pt>
                <c:pt idx="1">
                  <c:v>12.5</c:v>
                </c:pt>
                <c:pt idx="2">
                  <c:v>25</c:v>
                </c:pt>
                <c:pt idx="3">
                  <c:v>37.5</c:v>
                </c:pt>
                <c:pt idx="4">
                  <c:v>50</c:v>
                </c:pt>
                <c:pt idx="5">
                  <c:v>62.5</c:v>
                </c:pt>
                <c:pt idx="6">
                  <c:v>75</c:v>
                </c:pt>
                <c:pt idx="7">
                  <c:v>87.5</c:v>
                </c:pt>
                <c:pt idx="8">
                  <c:v>100</c:v>
                </c:pt>
                <c:pt idx="9">
                  <c:v>112.5</c:v>
                </c:pt>
                <c:pt idx="10">
                  <c:v>125</c:v>
                </c:pt>
                <c:pt idx="11">
                  <c:v>137.5</c:v>
                </c:pt>
                <c:pt idx="12">
                  <c:v>150</c:v>
                </c:pt>
                <c:pt idx="13">
                  <c:v>162.5</c:v>
                </c:pt>
                <c:pt idx="14">
                  <c:v>175</c:v>
                </c:pt>
                <c:pt idx="15">
                  <c:v>187.5</c:v>
                </c:pt>
                <c:pt idx="16">
                  <c:v>200</c:v>
                </c:pt>
                <c:pt idx="17">
                  <c:v>212.5</c:v>
                </c:pt>
                <c:pt idx="18">
                  <c:v>225</c:v>
                </c:pt>
                <c:pt idx="19">
                  <c:v>237.5</c:v>
                </c:pt>
                <c:pt idx="20">
                  <c:v>250</c:v>
                </c:pt>
                <c:pt idx="21">
                  <c:v>262.5</c:v>
                </c:pt>
                <c:pt idx="22">
                  <c:v>275</c:v>
                </c:pt>
                <c:pt idx="23">
                  <c:v>287.5</c:v>
                </c:pt>
                <c:pt idx="24">
                  <c:v>300</c:v>
                </c:pt>
                <c:pt idx="25">
                  <c:v>312.5</c:v>
                </c:pt>
                <c:pt idx="26">
                  <c:v>325</c:v>
                </c:pt>
                <c:pt idx="27">
                  <c:v>337.5</c:v>
                </c:pt>
                <c:pt idx="28">
                  <c:v>350</c:v>
                </c:pt>
                <c:pt idx="29">
                  <c:v>362.5</c:v>
                </c:pt>
                <c:pt idx="30">
                  <c:v>375</c:v>
                </c:pt>
              </c:numCache>
            </c:numRef>
          </c:xVal>
          <c:yVal>
            <c:numRef>
              <c:f>'Power Curve at sea Level'!$J$16:$J$46</c:f>
              <c:numCache>
                <c:formatCode>General</c:formatCode>
                <c:ptCount val="31"/>
                <c:pt idx="0">
                  <c:v>211.68940481466174</c:v>
                </c:pt>
                <c:pt idx="1">
                  <c:v>209.0114776123981</c:v>
                </c:pt>
                <c:pt idx="2">
                  <c:v>201.43551301713779</c:v>
                </c:pt>
                <c:pt idx="3">
                  <c:v>190.16870177239798</c:v>
                </c:pt>
                <c:pt idx="4">
                  <c:v>177.16022524622463</c:v>
                </c:pt>
                <c:pt idx="5">
                  <c:v>164.74655196813433</c:v>
                </c:pt>
                <c:pt idx="6">
                  <c:v>154.86266543439717</c:v>
                </c:pt>
                <c:pt idx="7">
                  <c:v>148.55817108372682</c:v>
                </c:pt>
                <c:pt idx="8">
                  <c:v>146.16578064180086</c:v>
                </c:pt>
                <c:pt idx="9">
                  <c:v>147.68850570705513</c:v>
                </c:pt>
                <c:pt idx="10">
                  <c:v>153.05521455100316</c:v>
                </c:pt>
                <c:pt idx="11">
                  <c:v>162.22453794319597</c:v>
                </c:pt>
                <c:pt idx="12">
                  <c:v>175.21066640957076</c:v>
                </c:pt>
                <c:pt idx="13">
                  <c:v>192.08064350851069</c:v>
                </c:pt>
                <c:pt idx="14">
                  <c:v>212.94440355642033</c:v>
                </c:pt>
                <c:pt idx="15">
                  <c:v>237.94478656056029</c:v>
                </c:pt>
                <c:pt idx="16">
                  <c:v>267.24939863149461</c:v>
                </c:pt>
                <c:pt idx="17">
                  <c:v>301.04442858039084</c:v>
                </c:pt>
                <c:pt idx="18">
                  <c:v>339.53007057193588</c:v>
                </c:pt>
                <c:pt idx="19">
                  <c:v>382.91715912236435</c:v>
                </c:pt>
                <c:pt idx="20">
                  <c:v>431.42469033335522</c:v>
                </c:pt>
                <c:pt idx="21">
                  <c:v>485.27798415575427</c:v>
                </c:pt>
                <c:pt idx="22">
                  <c:v>544.70731016349805</c:v>
                </c:pt>
                <c:pt idx="23">
                  <c:v>609.94685010401622</c:v>
                </c:pt>
                <c:pt idx="24">
                  <c:v>681.23390698257344</c:v>
                </c:pt>
                <c:pt idx="25">
                  <c:v>758.80829621214264</c:v>
                </c:pt>
                <c:pt idx="26">
                  <c:v>842.91187247926052</c:v>
                </c:pt>
                <c:pt idx="27">
                  <c:v>933.78815873562098</c:v>
                </c:pt>
                <c:pt idx="28">
                  <c:v>1031.6820527577345</c:v>
                </c:pt>
                <c:pt idx="29">
                  <c:v>1136.8395931569487</c:v>
                </c:pt>
                <c:pt idx="30">
                  <c:v>1249.5077713515907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092-4DCD-8C99-F8110188D93A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'Power Curve at sea Level'!$A$16:$A$46</c:f>
              <c:numCache>
                <c:formatCode>General</c:formatCode>
                <c:ptCount val="31"/>
                <c:pt idx="0">
                  <c:v>0</c:v>
                </c:pt>
                <c:pt idx="1">
                  <c:v>12.5</c:v>
                </c:pt>
                <c:pt idx="2">
                  <c:v>25</c:v>
                </c:pt>
                <c:pt idx="3">
                  <c:v>37.5</c:v>
                </c:pt>
                <c:pt idx="4">
                  <c:v>50</c:v>
                </c:pt>
                <c:pt idx="5">
                  <c:v>62.5</c:v>
                </c:pt>
                <c:pt idx="6">
                  <c:v>75</c:v>
                </c:pt>
                <c:pt idx="7">
                  <c:v>87.5</c:v>
                </c:pt>
                <c:pt idx="8">
                  <c:v>100</c:v>
                </c:pt>
                <c:pt idx="9">
                  <c:v>112.5</c:v>
                </c:pt>
                <c:pt idx="10">
                  <c:v>125</c:v>
                </c:pt>
                <c:pt idx="11">
                  <c:v>137.5</c:v>
                </c:pt>
                <c:pt idx="12">
                  <c:v>150</c:v>
                </c:pt>
                <c:pt idx="13">
                  <c:v>162.5</c:v>
                </c:pt>
                <c:pt idx="14">
                  <c:v>175</c:v>
                </c:pt>
                <c:pt idx="15">
                  <c:v>187.5</c:v>
                </c:pt>
                <c:pt idx="16">
                  <c:v>200</c:v>
                </c:pt>
                <c:pt idx="17">
                  <c:v>212.5</c:v>
                </c:pt>
                <c:pt idx="18">
                  <c:v>225</c:v>
                </c:pt>
                <c:pt idx="19">
                  <c:v>237.5</c:v>
                </c:pt>
                <c:pt idx="20">
                  <c:v>250</c:v>
                </c:pt>
                <c:pt idx="21">
                  <c:v>262.5</c:v>
                </c:pt>
                <c:pt idx="22">
                  <c:v>275</c:v>
                </c:pt>
                <c:pt idx="23">
                  <c:v>287.5</c:v>
                </c:pt>
                <c:pt idx="24">
                  <c:v>300</c:v>
                </c:pt>
                <c:pt idx="25">
                  <c:v>312.5</c:v>
                </c:pt>
                <c:pt idx="26">
                  <c:v>325</c:v>
                </c:pt>
                <c:pt idx="27">
                  <c:v>337.5</c:v>
                </c:pt>
                <c:pt idx="28">
                  <c:v>350</c:v>
                </c:pt>
                <c:pt idx="29">
                  <c:v>362.5</c:v>
                </c:pt>
                <c:pt idx="30">
                  <c:v>375</c:v>
                </c:pt>
              </c:numCache>
            </c:numRef>
          </c:xVal>
          <c:yVal>
            <c:numRef>
              <c:f>'Power Curve at sea Level'!$K$16:$K$46</c:f>
              <c:numCache>
                <c:formatCode>General</c:formatCode>
                <c:ptCount val="31"/>
                <c:pt idx="0">
                  <c:v>0</c:v>
                </c:pt>
                <c:pt idx="1">
                  <c:v>4.2205255681818175E-2</c:v>
                </c:pt>
                <c:pt idx="2">
                  <c:v>0.3376420454545454</c:v>
                </c:pt>
                <c:pt idx="3">
                  <c:v>1.139541903409091</c:v>
                </c:pt>
                <c:pt idx="4">
                  <c:v>2.7011363636363632</c:v>
                </c:pt>
                <c:pt idx="5">
                  <c:v>5.2756569602272751</c:v>
                </c:pt>
                <c:pt idx="6">
                  <c:v>9.116335227272728</c:v>
                </c:pt>
                <c:pt idx="7">
                  <c:v>14.476402698863636</c:v>
                </c:pt>
                <c:pt idx="8">
                  <c:v>21.609090909090906</c:v>
                </c:pt>
                <c:pt idx="9">
                  <c:v>30.767631392045466</c:v>
                </c:pt>
                <c:pt idx="10">
                  <c:v>42.205255681818201</c:v>
                </c:pt>
                <c:pt idx="11">
                  <c:v>56.175195312499987</c:v>
                </c:pt>
                <c:pt idx="12">
                  <c:v>72.930681818181824</c:v>
                </c:pt>
                <c:pt idx="13">
                  <c:v>92.724946732954564</c:v>
                </c:pt>
                <c:pt idx="14">
                  <c:v>115.81122159090908</c:v>
                </c:pt>
                <c:pt idx="15">
                  <c:v>142.44273792613637</c:v>
                </c:pt>
                <c:pt idx="16">
                  <c:v>172.87272727272725</c:v>
                </c:pt>
                <c:pt idx="17">
                  <c:v>207.35442116477273</c:v>
                </c:pt>
                <c:pt idx="18">
                  <c:v>246.14105113636373</c:v>
                </c:pt>
                <c:pt idx="19">
                  <c:v>289.48584872159097</c:v>
                </c:pt>
                <c:pt idx="20">
                  <c:v>337.64204545454561</c:v>
                </c:pt>
                <c:pt idx="21">
                  <c:v>390.86287286931821</c:v>
                </c:pt>
                <c:pt idx="22">
                  <c:v>449.4015624999999</c:v>
                </c:pt>
                <c:pt idx="23">
                  <c:v>513.51134588068169</c:v>
                </c:pt>
                <c:pt idx="24">
                  <c:v>583.4454545454546</c:v>
                </c:pt>
                <c:pt idx="25">
                  <c:v>659.45712002840935</c:v>
                </c:pt>
                <c:pt idx="26">
                  <c:v>741.79957386363651</c:v>
                </c:pt>
                <c:pt idx="27">
                  <c:v>830.72604758522743</c:v>
                </c:pt>
                <c:pt idx="28">
                  <c:v>926.48977272727268</c:v>
                </c:pt>
                <c:pt idx="29">
                  <c:v>1029.3439808238638</c:v>
                </c:pt>
                <c:pt idx="30">
                  <c:v>1139.541903409091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092-4DCD-8C99-F8110188D93A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'Power Curve at sea Level'!$A$16:$A$46</c:f>
              <c:numCache>
                <c:formatCode>General</c:formatCode>
                <c:ptCount val="31"/>
                <c:pt idx="0">
                  <c:v>0</c:v>
                </c:pt>
                <c:pt idx="1">
                  <c:v>12.5</c:v>
                </c:pt>
                <c:pt idx="2">
                  <c:v>25</c:v>
                </c:pt>
                <c:pt idx="3">
                  <c:v>37.5</c:v>
                </c:pt>
                <c:pt idx="4">
                  <c:v>50</c:v>
                </c:pt>
                <c:pt idx="5">
                  <c:v>62.5</c:v>
                </c:pt>
                <c:pt idx="6">
                  <c:v>75</c:v>
                </c:pt>
                <c:pt idx="7">
                  <c:v>87.5</c:v>
                </c:pt>
                <c:pt idx="8">
                  <c:v>100</c:v>
                </c:pt>
                <c:pt idx="9">
                  <c:v>112.5</c:v>
                </c:pt>
                <c:pt idx="10">
                  <c:v>125</c:v>
                </c:pt>
                <c:pt idx="11">
                  <c:v>137.5</c:v>
                </c:pt>
                <c:pt idx="12">
                  <c:v>150</c:v>
                </c:pt>
                <c:pt idx="13">
                  <c:v>162.5</c:v>
                </c:pt>
                <c:pt idx="14">
                  <c:v>175</c:v>
                </c:pt>
                <c:pt idx="15">
                  <c:v>187.5</c:v>
                </c:pt>
                <c:pt idx="16">
                  <c:v>200</c:v>
                </c:pt>
                <c:pt idx="17">
                  <c:v>212.5</c:v>
                </c:pt>
                <c:pt idx="18">
                  <c:v>225</c:v>
                </c:pt>
                <c:pt idx="19">
                  <c:v>237.5</c:v>
                </c:pt>
                <c:pt idx="20">
                  <c:v>250</c:v>
                </c:pt>
                <c:pt idx="21">
                  <c:v>262.5</c:v>
                </c:pt>
                <c:pt idx="22">
                  <c:v>275</c:v>
                </c:pt>
                <c:pt idx="23">
                  <c:v>287.5</c:v>
                </c:pt>
                <c:pt idx="24">
                  <c:v>300</c:v>
                </c:pt>
                <c:pt idx="25">
                  <c:v>312.5</c:v>
                </c:pt>
                <c:pt idx="26">
                  <c:v>325</c:v>
                </c:pt>
                <c:pt idx="27">
                  <c:v>337.5</c:v>
                </c:pt>
                <c:pt idx="28">
                  <c:v>350</c:v>
                </c:pt>
                <c:pt idx="29">
                  <c:v>362.5</c:v>
                </c:pt>
                <c:pt idx="30">
                  <c:v>375</c:v>
                </c:pt>
              </c:numCache>
            </c:numRef>
          </c:xVal>
          <c:yVal>
            <c:numRef>
              <c:f>'Power Curve at sea Level'!$L$16:$L$46</c:f>
              <c:numCache>
                <c:formatCode>General</c:formatCode>
                <c:ptCount val="31"/>
                <c:pt idx="0">
                  <c:v>37.275338648696668</c:v>
                </c:pt>
                <c:pt idx="1">
                  <c:v>37.330609798159813</c:v>
                </c:pt>
                <c:pt idx="2">
                  <c:v>37.496423246549263</c:v>
                </c:pt>
                <c:pt idx="3">
                  <c:v>37.772778993865025</c:v>
                </c:pt>
                <c:pt idx="4">
                  <c:v>38.15967704010707</c:v>
                </c:pt>
                <c:pt idx="5">
                  <c:v>38.65711738527542</c:v>
                </c:pt>
                <c:pt idx="6">
                  <c:v>39.265100029370075</c:v>
                </c:pt>
                <c:pt idx="7">
                  <c:v>39.983624972391034</c:v>
                </c:pt>
                <c:pt idx="8">
                  <c:v>40.812692214338284</c:v>
                </c:pt>
                <c:pt idx="9">
                  <c:v>41.752301755211853</c:v>
                </c:pt>
                <c:pt idx="10">
                  <c:v>42.802453595011706</c:v>
                </c:pt>
                <c:pt idx="11">
                  <c:v>43.96314773373787</c:v>
                </c:pt>
                <c:pt idx="12">
                  <c:v>45.234384171390317</c:v>
                </c:pt>
                <c:pt idx="13">
                  <c:v>46.616162907969084</c:v>
                </c:pt>
                <c:pt idx="14">
                  <c:v>48.108483943474134</c:v>
                </c:pt>
                <c:pt idx="15">
                  <c:v>49.711347277905503</c:v>
                </c:pt>
                <c:pt idx="16">
                  <c:v>51.424752911263155</c:v>
                </c:pt>
                <c:pt idx="17">
                  <c:v>53.24870084354712</c:v>
                </c:pt>
                <c:pt idx="18">
                  <c:v>55.183191074757389</c:v>
                </c:pt>
                <c:pt idx="19">
                  <c:v>57.228223604893948</c:v>
                </c:pt>
                <c:pt idx="20">
                  <c:v>59.383798433956812</c:v>
                </c:pt>
                <c:pt idx="21">
                  <c:v>61.64991556194596</c:v>
                </c:pt>
                <c:pt idx="22">
                  <c:v>64.026574988861427</c:v>
                </c:pt>
                <c:pt idx="23">
                  <c:v>66.513776714703212</c:v>
                </c:pt>
                <c:pt idx="24">
                  <c:v>69.111520739471274</c:v>
                </c:pt>
                <c:pt idx="25">
                  <c:v>71.819807063165641</c:v>
                </c:pt>
                <c:pt idx="26">
                  <c:v>74.638635685786312</c:v>
                </c:pt>
                <c:pt idx="27">
                  <c:v>77.568006607333302</c:v>
                </c:pt>
                <c:pt idx="28">
                  <c:v>80.607919827806541</c:v>
                </c:pt>
                <c:pt idx="29">
                  <c:v>83.75837534720614</c:v>
                </c:pt>
                <c:pt idx="30">
                  <c:v>87.019373165531988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092-4DCD-8C99-F8110188D93A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'Power Curve at sea Level'!$A$16:$A$46</c:f>
              <c:numCache>
                <c:formatCode>General</c:formatCode>
                <c:ptCount val="31"/>
                <c:pt idx="0">
                  <c:v>0</c:v>
                </c:pt>
                <c:pt idx="1">
                  <c:v>12.5</c:v>
                </c:pt>
                <c:pt idx="2">
                  <c:v>25</c:v>
                </c:pt>
                <c:pt idx="3">
                  <c:v>37.5</c:v>
                </c:pt>
                <c:pt idx="4">
                  <c:v>50</c:v>
                </c:pt>
                <c:pt idx="5">
                  <c:v>62.5</c:v>
                </c:pt>
                <c:pt idx="6">
                  <c:v>75</c:v>
                </c:pt>
                <c:pt idx="7">
                  <c:v>87.5</c:v>
                </c:pt>
                <c:pt idx="8">
                  <c:v>100</c:v>
                </c:pt>
                <c:pt idx="9">
                  <c:v>112.5</c:v>
                </c:pt>
                <c:pt idx="10">
                  <c:v>125</c:v>
                </c:pt>
                <c:pt idx="11">
                  <c:v>137.5</c:v>
                </c:pt>
                <c:pt idx="12">
                  <c:v>150</c:v>
                </c:pt>
                <c:pt idx="13">
                  <c:v>162.5</c:v>
                </c:pt>
                <c:pt idx="14">
                  <c:v>175</c:v>
                </c:pt>
                <c:pt idx="15">
                  <c:v>187.5</c:v>
                </c:pt>
                <c:pt idx="16">
                  <c:v>200</c:v>
                </c:pt>
                <c:pt idx="17">
                  <c:v>212.5</c:v>
                </c:pt>
                <c:pt idx="18">
                  <c:v>225</c:v>
                </c:pt>
                <c:pt idx="19">
                  <c:v>237.5</c:v>
                </c:pt>
                <c:pt idx="20">
                  <c:v>250</c:v>
                </c:pt>
                <c:pt idx="21">
                  <c:v>262.5</c:v>
                </c:pt>
                <c:pt idx="22">
                  <c:v>275</c:v>
                </c:pt>
                <c:pt idx="23">
                  <c:v>287.5</c:v>
                </c:pt>
                <c:pt idx="24">
                  <c:v>300</c:v>
                </c:pt>
                <c:pt idx="25">
                  <c:v>312.5</c:v>
                </c:pt>
                <c:pt idx="26">
                  <c:v>325</c:v>
                </c:pt>
                <c:pt idx="27">
                  <c:v>337.5</c:v>
                </c:pt>
                <c:pt idx="28">
                  <c:v>350</c:v>
                </c:pt>
                <c:pt idx="29">
                  <c:v>362.5</c:v>
                </c:pt>
                <c:pt idx="30">
                  <c:v>375</c:v>
                </c:pt>
              </c:numCache>
            </c:numRef>
          </c:xVal>
          <c:yVal>
            <c:numRef>
              <c:f>'Power Curve at sea Level'!$M$16:$M$46</c:f>
              <c:numCache>
                <c:formatCode>General</c:formatCode>
                <c:ptCount val="31"/>
                <c:pt idx="0">
                  <c:v>174.41406616596507</c:v>
                </c:pt>
                <c:pt idx="1">
                  <c:v>171.63866255855646</c:v>
                </c:pt>
                <c:pt idx="2">
                  <c:v>163.60144772513399</c:v>
                </c:pt>
                <c:pt idx="3">
                  <c:v>151.25638087512388</c:v>
                </c:pt>
                <c:pt idx="4">
                  <c:v>136.29941184248119</c:v>
                </c:pt>
                <c:pt idx="5">
                  <c:v>120.81377762263165</c:v>
                </c:pt>
                <c:pt idx="6">
                  <c:v>106.48123017775437</c:v>
                </c:pt>
                <c:pt idx="7">
                  <c:v>94.098143412472155</c:v>
                </c:pt>
                <c:pt idx="8">
                  <c:v>83.743997518371671</c:v>
                </c:pt>
                <c:pt idx="9">
                  <c:v>75.168572559797823</c:v>
                </c:pt>
                <c:pt idx="10">
                  <c:v>68.047505274173261</c:v>
                </c:pt>
                <c:pt idx="11">
                  <c:v>62.086194896958105</c:v>
                </c:pt>
                <c:pt idx="12">
                  <c:v>57.045600419998614</c:v>
                </c:pt>
                <c:pt idx="13">
                  <c:v>52.739533867587021</c:v>
                </c:pt>
                <c:pt idx="14">
                  <c:v>49.024698022037107</c:v>
                </c:pt>
                <c:pt idx="15">
                  <c:v>45.790701356518404</c:v>
                </c:pt>
                <c:pt idx="16">
                  <c:v>42.951918447504241</c:v>
                </c:pt>
                <c:pt idx="17">
                  <c:v>40.441306572070992</c:v>
                </c:pt>
                <c:pt idx="18">
                  <c:v>38.205828360814728</c:v>
                </c:pt>
                <c:pt idx="19">
                  <c:v>36.203086795879436</c:v>
                </c:pt>
                <c:pt idx="20">
                  <c:v>34.398846444852751</c:v>
                </c:pt>
                <c:pt idx="21">
                  <c:v>32.765195724490091</c:v>
                </c:pt>
                <c:pt idx="22">
                  <c:v>31.279172674636662</c:v>
                </c:pt>
                <c:pt idx="23">
                  <c:v>29.921727508631268</c:v>
                </c:pt>
                <c:pt idx="24">
                  <c:v>28.676931697647539</c:v>
                </c:pt>
                <c:pt idx="25">
                  <c:v>27.531369120567607</c:v>
                </c:pt>
                <c:pt idx="26">
                  <c:v>26.473662929837676</c:v>
                </c:pt>
                <c:pt idx="27">
                  <c:v>25.494104543060306</c:v>
                </c:pt>
                <c:pt idx="28">
                  <c:v>24.584360202655184</c:v>
                </c:pt>
                <c:pt idx="29">
                  <c:v>23.737236985878813</c:v>
                </c:pt>
                <c:pt idx="30">
                  <c:v>22.946494776967604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092-4DCD-8C99-F8110188D9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89356816"/>
        <c:axId val="-675815840"/>
      </c:scatterChart>
      <c:valAx>
        <c:axId val="-889356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Velocity (ft/s)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75815840"/>
        <c:crosses val="autoZero"/>
        <c:crossBetween val="midCat"/>
      </c:valAx>
      <c:valAx>
        <c:axId val="-67581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</a:t>
                </a:r>
                <a:r>
                  <a:rPr lang="en-US" baseline="0"/>
                  <a:t> (HP)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89356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Power Required at Sea Level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13228051549736"/>
          <c:y val="3.2546832469551465E-2"/>
          <c:w val="0.70509991333339506"/>
          <c:h val="0.7902964600255442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'Power Curve at sea Level'!$I$15</c:f>
              <c:strCache>
                <c:ptCount val="1"/>
                <c:pt idx="0">
                  <c:v>P_av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'Power Curve at sea Level'!$B$16:$B$38</c:f>
              <c:numCache>
                <c:formatCode>General</c:formatCode>
                <c:ptCount val="23"/>
                <c:pt idx="0">
                  <c:v>0</c:v>
                </c:pt>
                <c:pt idx="1">
                  <c:v>7.4404761904761907</c:v>
                </c:pt>
                <c:pt idx="2">
                  <c:v>14.880952380952381</c:v>
                </c:pt>
                <c:pt idx="3">
                  <c:v>22.321428571428573</c:v>
                </c:pt>
                <c:pt idx="4">
                  <c:v>29.761904761904763</c:v>
                </c:pt>
                <c:pt idx="5">
                  <c:v>37.202380952380956</c:v>
                </c:pt>
                <c:pt idx="6">
                  <c:v>44.642857142857146</c:v>
                </c:pt>
                <c:pt idx="7">
                  <c:v>52.083333333333336</c:v>
                </c:pt>
                <c:pt idx="8">
                  <c:v>59.523809523809526</c:v>
                </c:pt>
                <c:pt idx="9">
                  <c:v>66.964285714285722</c:v>
                </c:pt>
                <c:pt idx="10">
                  <c:v>74.404761904761912</c:v>
                </c:pt>
                <c:pt idx="11">
                  <c:v>81.845238095238102</c:v>
                </c:pt>
                <c:pt idx="12">
                  <c:v>89.285714285714292</c:v>
                </c:pt>
                <c:pt idx="13">
                  <c:v>96.726190476190482</c:v>
                </c:pt>
                <c:pt idx="14">
                  <c:v>104.16666666666667</c:v>
                </c:pt>
                <c:pt idx="15">
                  <c:v>111.60714285714286</c:v>
                </c:pt>
                <c:pt idx="16">
                  <c:v>119.04761904761905</c:v>
                </c:pt>
                <c:pt idx="17">
                  <c:v>126.48809523809524</c:v>
                </c:pt>
                <c:pt idx="18">
                  <c:v>133.92857142857144</c:v>
                </c:pt>
                <c:pt idx="19">
                  <c:v>141.36904761904762</c:v>
                </c:pt>
                <c:pt idx="20">
                  <c:v>148.80952380952382</c:v>
                </c:pt>
                <c:pt idx="21">
                  <c:v>156.25</c:v>
                </c:pt>
                <c:pt idx="22">
                  <c:v>163.6904761904762</c:v>
                </c:pt>
              </c:numCache>
            </c:numRef>
          </c:xVal>
          <c:yVal>
            <c:numRef>
              <c:f>'Power Curve at sea Level'!$I$16:$I$38</c:f>
              <c:numCache>
                <c:formatCode>General</c:formatCode>
                <c:ptCount val="23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  <c:pt idx="4">
                  <c:v>300</c:v>
                </c:pt>
                <c:pt idx="5">
                  <c:v>300</c:v>
                </c:pt>
                <c:pt idx="6">
                  <c:v>300</c:v>
                </c:pt>
                <c:pt idx="7">
                  <c:v>300</c:v>
                </c:pt>
                <c:pt idx="8">
                  <c:v>300</c:v>
                </c:pt>
                <c:pt idx="9">
                  <c:v>300</c:v>
                </c:pt>
                <c:pt idx="10">
                  <c:v>300</c:v>
                </c:pt>
                <c:pt idx="11">
                  <c:v>300</c:v>
                </c:pt>
                <c:pt idx="12">
                  <c:v>300</c:v>
                </c:pt>
                <c:pt idx="13">
                  <c:v>300</c:v>
                </c:pt>
                <c:pt idx="14">
                  <c:v>300</c:v>
                </c:pt>
                <c:pt idx="15">
                  <c:v>300</c:v>
                </c:pt>
                <c:pt idx="16">
                  <c:v>300</c:v>
                </c:pt>
                <c:pt idx="17">
                  <c:v>300</c:v>
                </c:pt>
                <c:pt idx="18">
                  <c:v>300</c:v>
                </c:pt>
                <c:pt idx="19">
                  <c:v>300</c:v>
                </c:pt>
                <c:pt idx="20">
                  <c:v>300</c:v>
                </c:pt>
                <c:pt idx="21">
                  <c:v>300</c:v>
                </c:pt>
                <c:pt idx="22">
                  <c:v>300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BAD-4113-9ACA-9F7F433E1D14}"/>
            </c:ext>
          </c:extLst>
        </c:ser>
        <c:ser>
          <c:idx val="1"/>
          <c:order val="1"/>
          <c:tx>
            <c:strRef>
              <c:f>'Power Curve at sea Level'!$J$15</c:f>
              <c:strCache>
                <c:ptCount val="1"/>
                <c:pt idx="0">
                  <c:v>P_req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'Power Curve at sea Level'!$B$16:$B$38</c:f>
              <c:numCache>
                <c:formatCode>General</c:formatCode>
                <c:ptCount val="23"/>
                <c:pt idx="0">
                  <c:v>0</c:v>
                </c:pt>
                <c:pt idx="1">
                  <c:v>7.4404761904761907</c:v>
                </c:pt>
                <c:pt idx="2">
                  <c:v>14.880952380952381</c:v>
                </c:pt>
                <c:pt idx="3">
                  <c:v>22.321428571428573</c:v>
                </c:pt>
                <c:pt idx="4">
                  <c:v>29.761904761904763</c:v>
                </c:pt>
                <c:pt idx="5">
                  <c:v>37.202380952380956</c:v>
                </c:pt>
                <c:pt idx="6">
                  <c:v>44.642857142857146</c:v>
                </c:pt>
                <c:pt idx="7">
                  <c:v>52.083333333333336</c:v>
                </c:pt>
                <c:pt idx="8">
                  <c:v>59.523809523809526</c:v>
                </c:pt>
                <c:pt idx="9">
                  <c:v>66.964285714285722</c:v>
                </c:pt>
                <c:pt idx="10">
                  <c:v>74.404761904761912</c:v>
                </c:pt>
                <c:pt idx="11">
                  <c:v>81.845238095238102</c:v>
                </c:pt>
                <c:pt idx="12">
                  <c:v>89.285714285714292</c:v>
                </c:pt>
                <c:pt idx="13">
                  <c:v>96.726190476190482</c:v>
                </c:pt>
                <c:pt idx="14">
                  <c:v>104.16666666666667</c:v>
                </c:pt>
                <c:pt idx="15">
                  <c:v>111.60714285714286</c:v>
                </c:pt>
                <c:pt idx="16">
                  <c:v>119.04761904761905</c:v>
                </c:pt>
                <c:pt idx="17">
                  <c:v>126.48809523809524</c:v>
                </c:pt>
                <c:pt idx="18">
                  <c:v>133.92857142857144</c:v>
                </c:pt>
                <c:pt idx="19">
                  <c:v>141.36904761904762</c:v>
                </c:pt>
                <c:pt idx="20">
                  <c:v>148.80952380952382</c:v>
                </c:pt>
                <c:pt idx="21">
                  <c:v>156.25</c:v>
                </c:pt>
                <c:pt idx="22">
                  <c:v>163.6904761904762</c:v>
                </c:pt>
              </c:numCache>
            </c:numRef>
          </c:xVal>
          <c:yVal>
            <c:numRef>
              <c:f>'Power Curve at sea Level'!$J$16:$J$38</c:f>
              <c:numCache>
                <c:formatCode>General</c:formatCode>
                <c:ptCount val="23"/>
                <c:pt idx="0">
                  <c:v>211.68940481466174</c:v>
                </c:pt>
                <c:pt idx="1">
                  <c:v>209.0114776123981</c:v>
                </c:pt>
                <c:pt idx="2">
                  <c:v>201.43551301713779</c:v>
                </c:pt>
                <c:pt idx="3">
                  <c:v>190.16870177239798</c:v>
                </c:pt>
                <c:pt idx="4">
                  <c:v>177.16022524622463</c:v>
                </c:pt>
                <c:pt idx="5">
                  <c:v>164.74655196813433</c:v>
                </c:pt>
                <c:pt idx="6">
                  <c:v>154.86266543439717</c:v>
                </c:pt>
                <c:pt idx="7">
                  <c:v>148.55817108372682</c:v>
                </c:pt>
                <c:pt idx="8">
                  <c:v>146.16578064180086</c:v>
                </c:pt>
                <c:pt idx="9">
                  <c:v>147.68850570705513</c:v>
                </c:pt>
                <c:pt idx="10">
                  <c:v>153.05521455100316</c:v>
                </c:pt>
                <c:pt idx="11">
                  <c:v>162.22453794319597</c:v>
                </c:pt>
                <c:pt idx="12">
                  <c:v>175.21066640957076</c:v>
                </c:pt>
                <c:pt idx="13">
                  <c:v>192.08064350851069</c:v>
                </c:pt>
                <c:pt idx="14">
                  <c:v>212.94440355642033</c:v>
                </c:pt>
                <c:pt idx="15">
                  <c:v>237.94478656056029</c:v>
                </c:pt>
                <c:pt idx="16">
                  <c:v>267.24939863149461</c:v>
                </c:pt>
                <c:pt idx="17">
                  <c:v>301.04442858039084</c:v>
                </c:pt>
                <c:pt idx="18">
                  <c:v>339.53007057193588</c:v>
                </c:pt>
                <c:pt idx="19">
                  <c:v>382.91715912236435</c:v>
                </c:pt>
                <c:pt idx="20">
                  <c:v>431.42469033335522</c:v>
                </c:pt>
                <c:pt idx="21">
                  <c:v>485.27798415575427</c:v>
                </c:pt>
                <c:pt idx="22">
                  <c:v>544.70731016349805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BAD-4113-9ACA-9F7F433E1D14}"/>
            </c:ext>
          </c:extLst>
        </c:ser>
        <c:ser>
          <c:idx val="2"/>
          <c:order val="2"/>
          <c:tx>
            <c:strRef>
              <c:f>'Power Curve at sea Level'!$K$15</c:f>
              <c:strCache>
                <c:ptCount val="1"/>
                <c:pt idx="0">
                  <c:v>P_par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'Power Curve at sea Level'!$B$16:$B$38</c:f>
              <c:numCache>
                <c:formatCode>General</c:formatCode>
                <c:ptCount val="23"/>
                <c:pt idx="0">
                  <c:v>0</c:v>
                </c:pt>
                <c:pt idx="1">
                  <c:v>7.4404761904761907</c:v>
                </c:pt>
                <c:pt idx="2">
                  <c:v>14.880952380952381</c:v>
                </c:pt>
                <c:pt idx="3">
                  <c:v>22.321428571428573</c:v>
                </c:pt>
                <c:pt idx="4">
                  <c:v>29.761904761904763</c:v>
                </c:pt>
                <c:pt idx="5">
                  <c:v>37.202380952380956</c:v>
                </c:pt>
                <c:pt idx="6">
                  <c:v>44.642857142857146</c:v>
                </c:pt>
                <c:pt idx="7">
                  <c:v>52.083333333333336</c:v>
                </c:pt>
                <c:pt idx="8">
                  <c:v>59.523809523809526</c:v>
                </c:pt>
                <c:pt idx="9">
                  <c:v>66.964285714285722</c:v>
                </c:pt>
                <c:pt idx="10">
                  <c:v>74.404761904761912</c:v>
                </c:pt>
                <c:pt idx="11">
                  <c:v>81.845238095238102</c:v>
                </c:pt>
                <c:pt idx="12">
                  <c:v>89.285714285714292</c:v>
                </c:pt>
                <c:pt idx="13">
                  <c:v>96.726190476190482</c:v>
                </c:pt>
                <c:pt idx="14">
                  <c:v>104.16666666666667</c:v>
                </c:pt>
                <c:pt idx="15">
                  <c:v>111.60714285714286</c:v>
                </c:pt>
                <c:pt idx="16">
                  <c:v>119.04761904761905</c:v>
                </c:pt>
                <c:pt idx="17">
                  <c:v>126.48809523809524</c:v>
                </c:pt>
                <c:pt idx="18">
                  <c:v>133.92857142857144</c:v>
                </c:pt>
                <c:pt idx="19">
                  <c:v>141.36904761904762</c:v>
                </c:pt>
                <c:pt idx="20">
                  <c:v>148.80952380952382</c:v>
                </c:pt>
                <c:pt idx="21">
                  <c:v>156.25</c:v>
                </c:pt>
                <c:pt idx="22">
                  <c:v>163.6904761904762</c:v>
                </c:pt>
              </c:numCache>
            </c:numRef>
          </c:xVal>
          <c:yVal>
            <c:numRef>
              <c:f>'Power Curve at sea Level'!$K$16:$K$38</c:f>
              <c:numCache>
                <c:formatCode>General</c:formatCode>
                <c:ptCount val="23"/>
                <c:pt idx="0">
                  <c:v>0</c:v>
                </c:pt>
                <c:pt idx="1">
                  <c:v>4.2205255681818175E-2</c:v>
                </c:pt>
                <c:pt idx="2">
                  <c:v>0.3376420454545454</c:v>
                </c:pt>
                <c:pt idx="3">
                  <c:v>1.139541903409091</c:v>
                </c:pt>
                <c:pt idx="4">
                  <c:v>2.7011363636363632</c:v>
                </c:pt>
                <c:pt idx="5">
                  <c:v>5.2756569602272751</c:v>
                </c:pt>
                <c:pt idx="6">
                  <c:v>9.116335227272728</c:v>
                </c:pt>
                <c:pt idx="7">
                  <c:v>14.476402698863636</c:v>
                </c:pt>
                <c:pt idx="8">
                  <c:v>21.609090909090906</c:v>
                </c:pt>
                <c:pt idx="9">
                  <c:v>30.767631392045466</c:v>
                </c:pt>
                <c:pt idx="10">
                  <c:v>42.205255681818201</c:v>
                </c:pt>
                <c:pt idx="11">
                  <c:v>56.175195312499987</c:v>
                </c:pt>
                <c:pt idx="12">
                  <c:v>72.930681818181824</c:v>
                </c:pt>
                <c:pt idx="13">
                  <c:v>92.724946732954564</c:v>
                </c:pt>
                <c:pt idx="14">
                  <c:v>115.81122159090908</c:v>
                </c:pt>
                <c:pt idx="15">
                  <c:v>142.44273792613637</c:v>
                </c:pt>
                <c:pt idx="16">
                  <c:v>172.87272727272725</c:v>
                </c:pt>
                <c:pt idx="17">
                  <c:v>207.35442116477273</c:v>
                </c:pt>
                <c:pt idx="18">
                  <c:v>246.14105113636373</c:v>
                </c:pt>
                <c:pt idx="19">
                  <c:v>289.48584872159097</c:v>
                </c:pt>
                <c:pt idx="20">
                  <c:v>337.64204545454561</c:v>
                </c:pt>
                <c:pt idx="21">
                  <c:v>390.86287286931821</c:v>
                </c:pt>
                <c:pt idx="22">
                  <c:v>449.4015624999999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BAD-4113-9ACA-9F7F433E1D14}"/>
            </c:ext>
          </c:extLst>
        </c:ser>
        <c:ser>
          <c:idx val="3"/>
          <c:order val="3"/>
          <c:tx>
            <c:strRef>
              <c:f>'Power Curve at sea Level'!$L$15</c:f>
              <c:strCache>
                <c:ptCount val="1"/>
                <c:pt idx="0">
                  <c:v>P_prof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'Power Curve at sea Level'!$B$16:$B$38</c:f>
              <c:numCache>
                <c:formatCode>General</c:formatCode>
                <c:ptCount val="23"/>
                <c:pt idx="0">
                  <c:v>0</c:v>
                </c:pt>
                <c:pt idx="1">
                  <c:v>7.4404761904761907</c:v>
                </c:pt>
                <c:pt idx="2">
                  <c:v>14.880952380952381</c:v>
                </c:pt>
                <c:pt idx="3">
                  <c:v>22.321428571428573</c:v>
                </c:pt>
                <c:pt idx="4">
                  <c:v>29.761904761904763</c:v>
                </c:pt>
                <c:pt idx="5">
                  <c:v>37.202380952380956</c:v>
                </c:pt>
                <c:pt idx="6">
                  <c:v>44.642857142857146</c:v>
                </c:pt>
                <c:pt idx="7">
                  <c:v>52.083333333333336</c:v>
                </c:pt>
                <c:pt idx="8">
                  <c:v>59.523809523809526</c:v>
                </c:pt>
                <c:pt idx="9">
                  <c:v>66.964285714285722</c:v>
                </c:pt>
                <c:pt idx="10">
                  <c:v>74.404761904761912</c:v>
                </c:pt>
                <c:pt idx="11">
                  <c:v>81.845238095238102</c:v>
                </c:pt>
                <c:pt idx="12">
                  <c:v>89.285714285714292</c:v>
                </c:pt>
                <c:pt idx="13">
                  <c:v>96.726190476190482</c:v>
                </c:pt>
                <c:pt idx="14">
                  <c:v>104.16666666666667</c:v>
                </c:pt>
                <c:pt idx="15">
                  <c:v>111.60714285714286</c:v>
                </c:pt>
                <c:pt idx="16">
                  <c:v>119.04761904761905</c:v>
                </c:pt>
                <c:pt idx="17">
                  <c:v>126.48809523809524</c:v>
                </c:pt>
                <c:pt idx="18">
                  <c:v>133.92857142857144</c:v>
                </c:pt>
                <c:pt idx="19">
                  <c:v>141.36904761904762</c:v>
                </c:pt>
                <c:pt idx="20">
                  <c:v>148.80952380952382</c:v>
                </c:pt>
                <c:pt idx="21">
                  <c:v>156.25</c:v>
                </c:pt>
                <c:pt idx="22">
                  <c:v>163.6904761904762</c:v>
                </c:pt>
              </c:numCache>
            </c:numRef>
          </c:xVal>
          <c:yVal>
            <c:numRef>
              <c:f>'Power Curve at sea Level'!$L$16:$L$38</c:f>
              <c:numCache>
                <c:formatCode>General</c:formatCode>
                <c:ptCount val="23"/>
                <c:pt idx="0">
                  <c:v>37.275338648696668</c:v>
                </c:pt>
                <c:pt idx="1">
                  <c:v>37.330609798159813</c:v>
                </c:pt>
                <c:pt idx="2">
                  <c:v>37.496423246549263</c:v>
                </c:pt>
                <c:pt idx="3">
                  <c:v>37.772778993865025</c:v>
                </c:pt>
                <c:pt idx="4">
                  <c:v>38.15967704010707</c:v>
                </c:pt>
                <c:pt idx="5">
                  <c:v>38.65711738527542</c:v>
                </c:pt>
                <c:pt idx="6">
                  <c:v>39.265100029370075</c:v>
                </c:pt>
                <c:pt idx="7">
                  <c:v>39.983624972391034</c:v>
                </c:pt>
                <c:pt idx="8">
                  <c:v>40.812692214338284</c:v>
                </c:pt>
                <c:pt idx="9">
                  <c:v>41.752301755211853</c:v>
                </c:pt>
                <c:pt idx="10">
                  <c:v>42.802453595011706</c:v>
                </c:pt>
                <c:pt idx="11">
                  <c:v>43.96314773373787</c:v>
                </c:pt>
                <c:pt idx="12">
                  <c:v>45.234384171390317</c:v>
                </c:pt>
                <c:pt idx="13">
                  <c:v>46.616162907969084</c:v>
                </c:pt>
                <c:pt idx="14">
                  <c:v>48.108483943474134</c:v>
                </c:pt>
                <c:pt idx="15">
                  <c:v>49.711347277905503</c:v>
                </c:pt>
                <c:pt idx="16">
                  <c:v>51.424752911263155</c:v>
                </c:pt>
                <c:pt idx="17">
                  <c:v>53.24870084354712</c:v>
                </c:pt>
                <c:pt idx="18">
                  <c:v>55.183191074757389</c:v>
                </c:pt>
                <c:pt idx="19">
                  <c:v>57.228223604893948</c:v>
                </c:pt>
                <c:pt idx="20">
                  <c:v>59.383798433956812</c:v>
                </c:pt>
                <c:pt idx="21">
                  <c:v>61.64991556194596</c:v>
                </c:pt>
                <c:pt idx="22">
                  <c:v>64.026574988861427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BAD-4113-9ACA-9F7F433E1D14}"/>
            </c:ext>
          </c:extLst>
        </c:ser>
        <c:ser>
          <c:idx val="4"/>
          <c:order val="4"/>
          <c:tx>
            <c:strRef>
              <c:f>'Power Curve at sea Level'!$M$15</c:f>
              <c:strCache>
                <c:ptCount val="1"/>
                <c:pt idx="0">
                  <c:v>P_ind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'Power Curve at sea Level'!$B$16:$B$38</c:f>
              <c:numCache>
                <c:formatCode>General</c:formatCode>
                <c:ptCount val="23"/>
                <c:pt idx="0">
                  <c:v>0</c:v>
                </c:pt>
                <c:pt idx="1">
                  <c:v>7.4404761904761907</c:v>
                </c:pt>
                <c:pt idx="2">
                  <c:v>14.880952380952381</c:v>
                </c:pt>
                <c:pt idx="3">
                  <c:v>22.321428571428573</c:v>
                </c:pt>
                <c:pt idx="4">
                  <c:v>29.761904761904763</c:v>
                </c:pt>
                <c:pt idx="5">
                  <c:v>37.202380952380956</c:v>
                </c:pt>
                <c:pt idx="6">
                  <c:v>44.642857142857146</c:v>
                </c:pt>
                <c:pt idx="7">
                  <c:v>52.083333333333336</c:v>
                </c:pt>
                <c:pt idx="8">
                  <c:v>59.523809523809526</c:v>
                </c:pt>
                <c:pt idx="9">
                  <c:v>66.964285714285722</c:v>
                </c:pt>
                <c:pt idx="10">
                  <c:v>74.404761904761912</c:v>
                </c:pt>
                <c:pt idx="11">
                  <c:v>81.845238095238102</c:v>
                </c:pt>
                <c:pt idx="12">
                  <c:v>89.285714285714292</c:v>
                </c:pt>
                <c:pt idx="13">
                  <c:v>96.726190476190482</c:v>
                </c:pt>
                <c:pt idx="14">
                  <c:v>104.16666666666667</c:v>
                </c:pt>
                <c:pt idx="15">
                  <c:v>111.60714285714286</c:v>
                </c:pt>
                <c:pt idx="16">
                  <c:v>119.04761904761905</c:v>
                </c:pt>
                <c:pt idx="17">
                  <c:v>126.48809523809524</c:v>
                </c:pt>
                <c:pt idx="18">
                  <c:v>133.92857142857144</c:v>
                </c:pt>
                <c:pt idx="19">
                  <c:v>141.36904761904762</c:v>
                </c:pt>
                <c:pt idx="20">
                  <c:v>148.80952380952382</c:v>
                </c:pt>
                <c:pt idx="21">
                  <c:v>156.25</c:v>
                </c:pt>
                <c:pt idx="22">
                  <c:v>163.6904761904762</c:v>
                </c:pt>
              </c:numCache>
            </c:numRef>
          </c:xVal>
          <c:yVal>
            <c:numRef>
              <c:f>'Power Curve at sea Level'!$M$16:$M$38</c:f>
              <c:numCache>
                <c:formatCode>General</c:formatCode>
                <c:ptCount val="23"/>
                <c:pt idx="0">
                  <c:v>174.41406616596507</c:v>
                </c:pt>
                <c:pt idx="1">
                  <c:v>171.63866255855646</c:v>
                </c:pt>
                <c:pt idx="2">
                  <c:v>163.60144772513399</c:v>
                </c:pt>
                <c:pt idx="3">
                  <c:v>151.25638087512388</c:v>
                </c:pt>
                <c:pt idx="4">
                  <c:v>136.29941184248119</c:v>
                </c:pt>
                <c:pt idx="5">
                  <c:v>120.81377762263165</c:v>
                </c:pt>
                <c:pt idx="6">
                  <c:v>106.48123017775437</c:v>
                </c:pt>
                <c:pt idx="7">
                  <c:v>94.098143412472155</c:v>
                </c:pt>
                <c:pt idx="8">
                  <c:v>83.743997518371671</c:v>
                </c:pt>
                <c:pt idx="9">
                  <c:v>75.168572559797823</c:v>
                </c:pt>
                <c:pt idx="10">
                  <c:v>68.047505274173261</c:v>
                </c:pt>
                <c:pt idx="11">
                  <c:v>62.086194896958105</c:v>
                </c:pt>
                <c:pt idx="12">
                  <c:v>57.045600419998614</c:v>
                </c:pt>
                <c:pt idx="13">
                  <c:v>52.739533867587021</c:v>
                </c:pt>
                <c:pt idx="14">
                  <c:v>49.024698022037107</c:v>
                </c:pt>
                <c:pt idx="15">
                  <c:v>45.790701356518404</c:v>
                </c:pt>
                <c:pt idx="16">
                  <c:v>42.951918447504241</c:v>
                </c:pt>
                <c:pt idx="17">
                  <c:v>40.441306572070992</c:v>
                </c:pt>
                <c:pt idx="18">
                  <c:v>38.205828360814728</c:v>
                </c:pt>
                <c:pt idx="19">
                  <c:v>36.203086795879436</c:v>
                </c:pt>
                <c:pt idx="20">
                  <c:v>34.398846444852751</c:v>
                </c:pt>
                <c:pt idx="21">
                  <c:v>32.765195724490091</c:v>
                </c:pt>
                <c:pt idx="22">
                  <c:v>31.279172674636662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BAD-4113-9ACA-9F7F433E1D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45101520"/>
        <c:axId val="-545111856"/>
      </c:scatterChart>
      <c:valAx>
        <c:axId val="-545101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Flight Speed (knots)</a:t>
                </a:r>
              </a:p>
            </c:rich>
          </c:tx>
          <c:layout>
            <c:manualLayout>
              <c:xMode val="edge"/>
              <c:yMode val="edge"/>
              <c:x val="0.44307361109826021"/>
              <c:y val="0.903003172348814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5111856"/>
        <c:crosses val="autoZero"/>
        <c:crossBetween val="midCat"/>
      </c:valAx>
      <c:valAx>
        <c:axId val="-54511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</a:t>
                </a:r>
                <a:r>
                  <a:rPr lang="en-US" baseline="0"/>
                  <a:t> (HP)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6.3919396973145692E-2"/>
              <c:y val="0.354360181104682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5101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292303590806518"/>
          <c:y val="0.33983373092030922"/>
          <c:w val="0.12992388826933113"/>
          <c:h val="0.320332538159381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559247960412711"/>
          <c:y val="7.5583925651515033E-2"/>
          <c:w val="0.70509991333339506"/>
          <c:h val="0.79029646002554421"/>
        </c:manualLayout>
      </c:layout>
      <c:scatterChart>
        <c:scatterStyle val="smoothMarker"/>
        <c:varyColors val="0"/>
        <c:ser>
          <c:idx val="0"/>
          <c:order val="0"/>
          <c:tx>
            <c:v>Pasatie Power</c:v>
          </c:tx>
          <c:spPr>
            <a:ln>
              <a:solidFill>
                <a:schemeClr val="accent6"/>
              </a:solidFill>
              <a:prstDash val="dash"/>
            </a:ln>
          </c:spPr>
          <c:marker>
            <c:symbol val="none"/>
          </c:marker>
          <c:xVal>
            <c:numRef>
              <c:f>'Old Forward Flight  (2)'!$D$21:$D$73</c:f>
              <c:numCache>
                <c:formatCode>General</c:formatCode>
                <c:ptCount val="53"/>
                <c:pt idx="0">
                  <c:v>95</c:v>
                </c:pt>
                <c:pt idx="1">
                  <c:v>100</c:v>
                </c:pt>
                <c:pt idx="2">
                  <c:v>105</c:v>
                </c:pt>
                <c:pt idx="3">
                  <c:v>110</c:v>
                </c:pt>
                <c:pt idx="4">
                  <c:v>115</c:v>
                </c:pt>
                <c:pt idx="5">
                  <c:v>120</c:v>
                </c:pt>
                <c:pt idx="6">
                  <c:v>125</c:v>
                </c:pt>
                <c:pt idx="7">
                  <c:v>130</c:v>
                </c:pt>
                <c:pt idx="8">
                  <c:v>135</c:v>
                </c:pt>
                <c:pt idx="9">
                  <c:v>140</c:v>
                </c:pt>
                <c:pt idx="10">
                  <c:v>145</c:v>
                </c:pt>
                <c:pt idx="11">
                  <c:v>150</c:v>
                </c:pt>
                <c:pt idx="12">
                  <c:v>155</c:v>
                </c:pt>
                <c:pt idx="13">
                  <c:v>160</c:v>
                </c:pt>
                <c:pt idx="14">
                  <c:v>165</c:v>
                </c:pt>
                <c:pt idx="15">
                  <c:v>170</c:v>
                </c:pt>
                <c:pt idx="16">
                  <c:v>175</c:v>
                </c:pt>
                <c:pt idx="17">
                  <c:v>180</c:v>
                </c:pt>
                <c:pt idx="18">
                  <c:v>185</c:v>
                </c:pt>
                <c:pt idx="19">
                  <c:v>190</c:v>
                </c:pt>
                <c:pt idx="20">
                  <c:v>195</c:v>
                </c:pt>
                <c:pt idx="21">
                  <c:v>200</c:v>
                </c:pt>
                <c:pt idx="22">
                  <c:v>205</c:v>
                </c:pt>
                <c:pt idx="23">
                  <c:v>210</c:v>
                </c:pt>
                <c:pt idx="24">
                  <c:v>215</c:v>
                </c:pt>
                <c:pt idx="25">
                  <c:v>220</c:v>
                </c:pt>
                <c:pt idx="26">
                  <c:v>225</c:v>
                </c:pt>
                <c:pt idx="27">
                  <c:v>230</c:v>
                </c:pt>
                <c:pt idx="28">
                  <c:v>235</c:v>
                </c:pt>
                <c:pt idx="29">
                  <c:v>240</c:v>
                </c:pt>
                <c:pt idx="30">
                  <c:v>245</c:v>
                </c:pt>
                <c:pt idx="31">
                  <c:v>250</c:v>
                </c:pt>
                <c:pt idx="32">
                  <c:v>255</c:v>
                </c:pt>
                <c:pt idx="33">
                  <c:v>260</c:v>
                </c:pt>
                <c:pt idx="34">
                  <c:v>265</c:v>
                </c:pt>
                <c:pt idx="35">
                  <c:v>270</c:v>
                </c:pt>
                <c:pt idx="36">
                  <c:v>275</c:v>
                </c:pt>
                <c:pt idx="37">
                  <c:v>280</c:v>
                </c:pt>
                <c:pt idx="38">
                  <c:v>285</c:v>
                </c:pt>
                <c:pt idx="39">
                  <c:v>290</c:v>
                </c:pt>
                <c:pt idx="40">
                  <c:v>295</c:v>
                </c:pt>
                <c:pt idx="41">
                  <c:v>300</c:v>
                </c:pt>
                <c:pt idx="42">
                  <c:v>305</c:v>
                </c:pt>
                <c:pt idx="43">
                  <c:v>310</c:v>
                </c:pt>
                <c:pt idx="44">
                  <c:v>315</c:v>
                </c:pt>
                <c:pt idx="45">
                  <c:v>320</c:v>
                </c:pt>
                <c:pt idx="46">
                  <c:v>325</c:v>
                </c:pt>
                <c:pt idx="47">
                  <c:v>330</c:v>
                </c:pt>
                <c:pt idx="48">
                  <c:v>335</c:v>
                </c:pt>
                <c:pt idx="49">
                  <c:v>340</c:v>
                </c:pt>
                <c:pt idx="50">
                  <c:v>345</c:v>
                </c:pt>
                <c:pt idx="51">
                  <c:v>350</c:v>
                </c:pt>
                <c:pt idx="52">
                  <c:v>355</c:v>
                </c:pt>
              </c:numCache>
            </c:numRef>
          </c:xVal>
          <c:yVal>
            <c:numRef>
              <c:f>'Old Forward Flight  (2)'!$H$21:$H$73</c:f>
              <c:numCache>
                <c:formatCode>General</c:formatCode>
                <c:ptCount val="53"/>
                <c:pt idx="0">
                  <c:v>25.482367989388912</c:v>
                </c:pt>
                <c:pt idx="1">
                  <c:v>28.235310791566661</c:v>
                </c:pt>
                <c:pt idx="2">
                  <c:v>31.129430147702251</c:v>
                </c:pt>
                <c:pt idx="3">
                  <c:v>34.164726057795662</c:v>
                </c:pt>
                <c:pt idx="4">
                  <c:v>37.341198521846913</c:v>
                </c:pt>
                <c:pt idx="5">
                  <c:v>40.658847539855998</c:v>
                </c:pt>
                <c:pt idx="6">
                  <c:v>44.117673111822917</c:v>
                </c:pt>
                <c:pt idx="7">
                  <c:v>47.717675237747663</c:v>
                </c:pt>
                <c:pt idx="8">
                  <c:v>51.45885391763025</c:v>
                </c:pt>
                <c:pt idx="9">
                  <c:v>55.341209151470665</c:v>
                </c:pt>
                <c:pt idx="10">
                  <c:v>59.36474093926892</c:v>
                </c:pt>
                <c:pt idx="11">
                  <c:v>63.529449281024995</c:v>
                </c:pt>
                <c:pt idx="12">
                  <c:v>67.835334176738911</c:v>
                </c:pt>
                <c:pt idx="13">
                  <c:v>72.282395626410661</c:v>
                </c:pt>
                <c:pt idx="14">
                  <c:v>76.870633630040246</c:v>
                </c:pt>
                <c:pt idx="15">
                  <c:v>81.600048187627664</c:v>
                </c:pt>
                <c:pt idx="16">
                  <c:v>86.470639299172916</c:v>
                </c:pt>
                <c:pt idx="17">
                  <c:v>91.482406964675988</c:v>
                </c:pt>
                <c:pt idx="18">
                  <c:v>96.635351184136908</c:v>
                </c:pt>
                <c:pt idx="19">
                  <c:v>101.92947195755565</c:v>
                </c:pt>
                <c:pt idx="20">
                  <c:v>107.36476928493224</c:v>
                </c:pt>
                <c:pt idx="21">
                  <c:v>112.94124316626664</c:v>
                </c:pt>
                <c:pt idx="22">
                  <c:v>118.65889360155889</c:v>
                </c:pt>
                <c:pt idx="23">
                  <c:v>124.51772059080901</c:v>
                </c:pt>
                <c:pt idx="24">
                  <c:v>130.5177241340169</c:v>
                </c:pt>
                <c:pt idx="25">
                  <c:v>136.65890423118265</c:v>
                </c:pt>
                <c:pt idx="26">
                  <c:v>142.94126088230624</c:v>
                </c:pt>
                <c:pt idx="27">
                  <c:v>149.36479408738765</c:v>
                </c:pt>
                <c:pt idx="28">
                  <c:v>155.92950384642691</c:v>
                </c:pt>
                <c:pt idx="29">
                  <c:v>162.63539015942399</c:v>
                </c:pt>
                <c:pt idx="30">
                  <c:v>169.48245302637889</c:v>
                </c:pt>
                <c:pt idx="31">
                  <c:v>176.47069244729167</c:v>
                </c:pt>
                <c:pt idx="32">
                  <c:v>183.60010842216224</c:v>
                </c:pt>
                <c:pt idx="33">
                  <c:v>190.87070095099065</c:v>
                </c:pt>
                <c:pt idx="34">
                  <c:v>198.28247003377692</c:v>
                </c:pt>
                <c:pt idx="35">
                  <c:v>205.835415670521</c:v>
                </c:pt>
                <c:pt idx="36">
                  <c:v>213.52953786122293</c:v>
                </c:pt>
                <c:pt idx="37">
                  <c:v>221.36483660588266</c:v>
                </c:pt>
                <c:pt idx="38">
                  <c:v>229.34131190450026</c:v>
                </c:pt>
                <c:pt idx="39">
                  <c:v>237.45896375707568</c:v>
                </c:pt>
                <c:pt idx="40">
                  <c:v>245.71779216360892</c:v>
                </c:pt>
                <c:pt idx="41">
                  <c:v>254.11779712409998</c:v>
                </c:pt>
                <c:pt idx="42">
                  <c:v>262.65897863854889</c:v>
                </c:pt>
                <c:pt idx="43">
                  <c:v>271.34133670695564</c:v>
                </c:pt>
                <c:pt idx="44">
                  <c:v>280.16487132932025</c:v>
                </c:pt>
                <c:pt idx="45">
                  <c:v>289.12958250564265</c:v>
                </c:pt>
                <c:pt idx="46">
                  <c:v>298.23547023592295</c:v>
                </c:pt>
                <c:pt idx="47">
                  <c:v>307.48253452016098</c:v>
                </c:pt>
                <c:pt idx="48">
                  <c:v>316.87077535835692</c:v>
                </c:pt>
                <c:pt idx="49">
                  <c:v>326.40019275051066</c:v>
                </c:pt>
                <c:pt idx="50">
                  <c:v>336.07078669662224</c:v>
                </c:pt>
                <c:pt idx="51">
                  <c:v>345.88255719669166</c:v>
                </c:pt>
                <c:pt idx="52">
                  <c:v>355.83550425071894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E2F-4A0F-8C4D-F55BE2482BE5}"/>
            </c:ext>
          </c:extLst>
        </c:ser>
        <c:ser>
          <c:idx val="2"/>
          <c:order val="1"/>
          <c:tx>
            <c:v>Induced Power</c:v>
          </c:tx>
          <c:spPr>
            <a:ln w="19050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'Old Forward Flight  (2)'!$D$21:$D$73</c:f>
              <c:numCache>
                <c:formatCode>General</c:formatCode>
                <c:ptCount val="53"/>
                <c:pt idx="0">
                  <c:v>95</c:v>
                </c:pt>
                <c:pt idx="1">
                  <c:v>100</c:v>
                </c:pt>
                <c:pt idx="2">
                  <c:v>105</c:v>
                </c:pt>
                <c:pt idx="3">
                  <c:v>110</c:v>
                </c:pt>
                <c:pt idx="4">
                  <c:v>115</c:v>
                </c:pt>
                <c:pt idx="5">
                  <c:v>120</c:v>
                </c:pt>
                <c:pt idx="6">
                  <c:v>125</c:v>
                </c:pt>
                <c:pt idx="7">
                  <c:v>130</c:v>
                </c:pt>
                <c:pt idx="8">
                  <c:v>135</c:v>
                </c:pt>
                <c:pt idx="9">
                  <c:v>140</c:v>
                </c:pt>
                <c:pt idx="10">
                  <c:v>145</c:v>
                </c:pt>
                <c:pt idx="11">
                  <c:v>150</c:v>
                </c:pt>
                <c:pt idx="12">
                  <c:v>155</c:v>
                </c:pt>
                <c:pt idx="13">
                  <c:v>160</c:v>
                </c:pt>
                <c:pt idx="14">
                  <c:v>165</c:v>
                </c:pt>
                <c:pt idx="15">
                  <c:v>170</c:v>
                </c:pt>
                <c:pt idx="16">
                  <c:v>175</c:v>
                </c:pt>
                <c:pt idx="17">
                  <c:v>180</c:v>
                </c:pt>
                <c:pt idx="18">
                  <c:v>185</c:v>
                </c:pt>
                <c:pt idx="19">
                  <c:v>190</c:v>
                </c:pt>
                <c:pt idx="20">
                  <c:v>195</c:v>
                </c:pt>
                <c:pt idx="21">
                  <c:v>200</c:v>
                </c:pt>
                <c:pt idx="22">
                  <c:v>205</c:v>
                </c:pt>
                <c:pt idx="23">
                  <c:v>210</c:v>
                </c:pt>
                <c:pt idx="24">
                  <c:v>215</c:v>
                </c:pt>
                <c:pt idx="25">
                  <c:v>220</c:v>
                </c:pt>
                <c:pt idx="26">
                  <c:v>225</c:v>
                </c:pt>
                <c:pt idx="27">
                  <c:v>230</c:v>
                </c:pt>
                <c:pt idx="28">
                  <c:v>235</c:v>
                </c:pt>
                <c:pt idx="29">
                  <c:v>240</c:v>
                </c:pt>
                <c:pt idx="30">
                  <c:v>245</c:v>
                </c:pt>
                <c:pt idx="31">
                  <c:v>250</c:v>
                </c:pt>
                <c:pt idx="32">
                  <c:v>255</c:v>
                </c:pt>
                <c:pt idx="33">
                  <c:v>260</c:v>
                </c:pt>
                <c:pt idx="34">
                  <c:v>265</c:v>
                </c:pt>
                <c:pt idx="35">
                  <c:v>270</c:v>
                </c:pt>
                <c:pt idx="36">
                  <c:v>275</c:v>
                </c:pt>
                <c:pt idx="37">
                  <c:v>280</c:v>
                </c:pt>
                <c:pt idx="38">
                  <c:v>285</c:v>
                </c:pt>
                <c:pt idx="39">
                  <c:v>290</c:v>
                </c:pt>
                <c:pt idx="40">
                  <c:v>295</c:v>
                </c:pt>
                <c:pt idx="41">
                  <c:v>300</c:v>
                </c:pt>
                <c:pt idx="42">
                  <c:v>305</c:v>
                </c:pt>
                <c:pt idx="43">
                  <c:v>310</c:v>
                </c:pt>
                <c:pt idx="44">
                  <c:v>315</c:v>
                </c:pt>
                <c:pt idx="45">
                  <c:v>320</c:v>
                </c:pt>
                <c:pt idx="46">
                  <c:v>325</c:v>
                </c:pt>
                <c:pt idx="47">
                  <c:v>330</c:v>
                </c:pt>
                <c:pt idx="48">
                  <c:v>335</c:v>
                </c:pt>
                <c:pt idx="49">
                  <c:v>340</c:v>
                </c:pt>
                <c:pt idx="50">
                  <c:v>345</c:v>
                </c:pt>
                <c:pt idx="51">
                  <c:v>350</c:v>
                </c:pt>
                <c:pt idx="52">
                  <c:v>355</c:v>
                </c:pt>
              </c:numCache>
            </c:numRef>
          </c:xVal>
          <c:yVal>
            <c:numRef>
              <c:f>'Old Forward Flight  (2)'!$I$21:$I$73</c:f>
              <c:numCache>
                <c:formatCode>General</c:formatCode>
                <c:ptCount val="53"/>
                <c:pt idx="0">
                  <c:v>233.50946144312721</c:v>
                </c:pt>
                <c:pt idx="1">
                  <c:v>210.74228895242234</c:v>
                </c:pt>
                <c:pt idx="2">
                  <c:v>191.14946843757127</c:v>
                </c:pt>
                <c:pt idx="3">
                  <c:v>174.16718095241515</c:v>
                </c:pt>
                <c:pt idx="4">
                  <c:v>159.35144722300367</c:v>
                </c:pt>
                <c:pt idx="5">
                  <c:v>146.34881177251552</c:v>
                </c:pt>
                <c:pt idx="6">
                  <c:v>134.87506492955026</c:v>
                </c:pt>
                <c:pt idx="7">
                  <c:v>124.69957926178837</c:v>
                </c:pt>
                <c:pt idx="8">
                  <c:v>115.63362905482704</c:v>
                </c:pt>
                <c:pt idx="9">
                  <c:v>107.52157599613385</c:v>
                </c:pt>
                <c:pt idx="10">
                  <c:v>100.23414456714497</c:v>
                </c:pt>
                <c:pt idx="11">
                  <c:v>93.663239534409911</c:v>
                </c:pt>
                <c:pt idx="12">
                  <c:v>87.717914236179951</c:v>
                </c:pt>
                <c:pt idx="13">
                  <c:v>82.321206622039981</c:v>
                </c:pt>
                <c:pt idx="14">
                  <c:v>77.407635978851175</c:v>
                </c:pt>
                <c:pt idx="15">
                  <c:v>72.921207249973122</c:v>
                </c:pt>
                <c:pt idx="16">
                  <c:v>68.813808637525668</c:v>
                </c:pt>
                <c:pt idx="17">
                  <c:v>65.043916343340229</c:v>
                </c:pt>
                <c:pt idx="18">
                  <c:v>61.575540964915213</c:v>
                </c:pt>
                <c:pt idx="19">
                  <c:v>58.377365360781802</c:v>
                </c:pt>
                <c:pt idx="20">
                  <c:v>55.4220352274615</c:v>
                </c:pt>
                <c:pt idx="21">
                  <c:v>52.685572238105586</c:v>
                </c:pt>
                <c:pt idx="22">
                  <c:v>50.146886127881587</c:v>
                </c:pt>
                <c:pt idx="23">
                  <c:v>47.787367109392818</c:v>
                </c:pt>
                <c:pt idx="24">
                  <c:v>45.590543851254154</c:v>
                </c:pt>
                <c:pt idx="25">
                  <c:v>43.541795238103788</c:v>
                </c:pt>
                <c:pt idx="26">
                  <c:v>41.628106459737744</c:v>
                </c:pt>
                <c:pt idx="27">
                  <c:v>39.837861805750919</c:v>
                </c:pt>
                <c:pt idx="28">
                  <c:v>38.160667985952436</c:v>
                </c:pt>
                <c:pt idx="29">
                  <c:v>36.587202943128879</c:v>
                </c:pt>
                <c:pt idx="30">
                  <c:v>35.109086039553908</c:v>
                </c:pt>
                <c:pt idx="31">
                  <c:v>33.718766232387566</c:v>
                </c:pt>
                <c:pt idx="32">
                  <c:v>32.4094254444325</c:v>
                </c:pt>
                <c:pt idx="33">
                  <c:v>31.174894815447093</c:v>
                </c:pt>
                <c:pt idx="34">
                  <c:v>30.009581908497307</c:v>
                </c:pt>
                <c:pt idx="35">
                  <c:v>28.90840726370676</c:v>
                </c:pt>
                <c:pt idx="36">
                  <c:v>27.866748952386413</c:v>
                </c:pt>
                <c:pt idx="37">
                  <c:v>26.880393999033462</c:v>
                </c:pt>
                <c:pt idx="38">
                  <c:v>25.945495715903025</c:v>
                </c:pt>
                <c:pt idx="39">
                  <c:v>25.058536141786242</c:v>
                </c:pt>
                <c:pt idx="40">
                  <c:v>24.216292898870709</c:v>
                </c:pt>
                <c:pt idx="41">
                  <c:v>23.415809883602478</c:v>
                </c:pt>
                <c:pt idx="42">
                  <c:v>22.65437129292366</c:v>
                </c:pt>
                <c:pt idx="43">
                  <c:v>21.929478559044988</c:v>
                </c:pt>
                <c:pt idx="44">
                  <c:v>21.238829826396806</c:v>
                </c:pt>
                <c:pt idx="45">
                  <c:v>20.580301655509995</c:v>
                </c:pt>
                <c:pt idx="46">
                  <c:v>19.951932681886138</c:v>
                </c:pt>
                <c:pt idx="47">
                  <c:v>19.351908994712794</c:v>
                </c:pt>
                <c:pt idx="48">
                  <c:v>18.778551031625966</c:v>
                </c:pt>
                <c:pt idx="49">
                  <c:v>18.230301812493281</c:v>
                </c:pt>
                <c:pt idx="50">
                  <c:v>17.70571635811152</c:v>
                </c:pt>
                <c:pt idx="51">
                  <c:v>17.203452159381417</c:v>
                </c:pt>
                <c:pt idx="52">
                  <c:v>16.722260579442359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E2F-4A0F-8C4D-F55BE2482BE5}"/>
            </c:ext>
          </c:extLst>
        </c:ser>
        <c:ser>
          <c:idx val="3"/>
          <c:order val="2"/>
          <c:tx>
            <c:v>Total Power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'Old Forward Flight  (2)'!$D$17:$D$73</c:f>
              <c:numCache>
                <c:formatCode>General</c:formatCode>
                <c:ptCount val="57"/>
                <c:pt idx="0">
                  <c:v>75</c:v>
                </c:pt>
                <c:pt idx="1">
                  <c:v>80</c:v>
                </c:pt>
                <c:pt idx="2">
                  <c:v>85</c:v>
                </c:pt>
                <c:pt idx="3">
                  <c:v>90</c:v>
                </c:pt>
                <c:pt idx="4">
                  <c:v>95</c:v>
                </c:pt>
                <c:pt idx="5">
                  <c:v>100</c:v>
                </c:pt>
                <c:pt idx="6">
                  <c:v>105</c:v>
                </c:pt>
                <c:pt idx="7">
                  <c:v>110</c:v>
                </c:pt>
                <c:pt idx="8">
                  <c:v>115</c:v>
                </c:pt>
                <c:pt idx="9">
                  <c:v>120</c:v>
                </c:pt>
                <c:pt idx="10">
                  <c:v>125</c:v>
                </c:pt>
                <c:pt idx="11">
                  <c:v>130</c:v>
                </c:pt>
                <c:pt idx="12">
                  <c:v>135</c:v>
                </c:pt>
                <c:pt idx="13">
                  <c:v>140</c:v>
                </c:pt>
                <c:pt idx="14">
                  <c:v>145</c:v>
                </c:pt>
                <c:pt idx="15">
                  <c:v>150</c:v>
                </c:pt>
                <c:pt idx="16">
                  <c:v>155</c:v>
                </c:pt>
                <c:pt idx="17">
                  <c:v>160</c:v>
                </c:pt>
                <c:pt idx="18">
                  <c:v>165</c:v>
                </c:pt>
                <c:pt idx="19">
                  <c:v>170</c:v>
                </c:pt>
                <c:pt idx="20">
                  <c:v>175</c:v>
                </c:pt>
                <c:pt idx="21">
                  <c:v>180</c:v>
                </c:pt>
                <c:pt idx="22">
                  <c:v>185</c:v>
                </c:pt>
                <c:pt idx="23">
                  <c:v>190</c:v>
                </c:pt>
                <c:pt idx="24">
                  <c:v>195</c:v>
                </c:pt>
                <c:pt idx="25">
                  <c:v>200</c:v>
                </c:pt>
                <c:pt idx="26">
                  <c:v>205</c:v>
                </c:pt>
                <c:pt idx="27">
                  <c:v>210</c:v>
                </c:pt>
                <c:pt idx="28">
                  <c:v>215</c:v>
                </c:pt>
                <c:pt idx="29">
                  <c:v>220</c:v>
                </c:pt>
                <c:pt idx="30">
                  <c:v>225</c:v>
                </c:pt>
                <c:pt idx="31">
                  <c:v>230</c:v>
                </c:pt>
                <c:pt idx="32">
                  <c:v>235</c:v>
                </c:pt>
                <c:pt idx="33">
                  <c:v>240</c:v>
                </c:pt>
                <c:pt idx="34">
                  <c:v>245</c:v>
                </c:pt>
                <c:pt idx="35">
                  <c:v>250</c:v>
                </c:pt>
                <c:pt idx="36">
                  <c:v>255</c:v>
                </c:pt>
                <c:pt idx="37">
                  <c:v>260</c:v>
                </c:pt>
                <c:pt idx="38">
                  <c:v>265</c:v>
                </c:pt>
                <c:pt idx="39">
                  <c:v>270</c:v>
                </c:pt>
                <c:pt idx="40">
                  <c:v>275</c:v>
                </c:pt>
                <c:pt idx="41">
                  <c:v>280</c:v>
                </c:pt>
                <c:pt idx="42">
                  <c:v>285</c:v>
                </c:pt>
                <c:pt idx="43">
                  <c:v>290</c:v>
                </c:pt>
                <c:pt idx="44">
                  <c:v>295</c:v>
                </c:pt>
                <c:pt idx="45">
                  <c:v>300</c:v>
                </c:pt>
                <c:pt idx="46">
                  <c:v>305</c:v>
                </c:pt>
                <c:pt idx="47">
                  <c:v>310</c:v>
                </c:pt>
                <c:pt idx="48">
                  <c:v>315</c:v>
                </c:pt>
                <c:pt idx="49">
                  <c:v>320</c:v>
                </c:pt>
                <c:pt idx="50">
                  <c:v>325</c:v>
                </c:pt>
                <c:pt idx="51">
                  <c:v>330</c:v>
                </c:pt>
                <c:pt idx="52">
                  <c:v>335</c:v>
                </c:pt>
                <c:pt idx="53">
                  <c:v>340</c:v>
                </c:pt>
                <c:pt idx="54">
                  <c:v>345</c:v>
                </c:pt>
                <c:pt idx="55">
                  <c:v>350</c:v>
                </c:pt>
                <c:pt idx="56">
                  <c:v>355</c:v>
                </c:pt>
              </c:numCache>
            </c:numRef>
          </c:xVal>
          <c:yVal>
            <c:numRef>
              <c:f>'Old Forward Flight  (2)'!$J$17:$J$73</c:f>
              <c:numCache>
                <c:formatCode>General</c:formatCode>
                <c:ptCount val="57"/>
                <c:pt idx="0">
                  <c:v>390.53532045789586</c:v>
                </c:pt>
                <c:pt idx="1">
                  <c:v>347.35542539476256</c:v>
                </c:pt>
                <c:pt idx="2">
                  <c:v>312.0848410467994</c:v>
                </c:pt>
                <c:pt idx="3">
                  <c:v>283.04626711452988</c:v>
                </c:pt>
                <c:pt idx="4">
                  <c:v>258.99182943251611</c:v>
                </c:pt>
                <c:pt idx="5">
                  <c:v>238.977599743989</c:v>
                </c:pt>
                <c:pt idx="6">
                  <c:v>222.27889858527351</c:v>
                </c:pt>
                <c:pt idx="7">
                  <c:v>208.33190701021081</c:v>
                </c:pt>
                <c:pt idx="8">
                  <c:v>196.69264574485058</c:v>
                </c:pt>
                <c:pt idx="9">
                  <c:v>187.00765931237152</c:v>
                </c:pt>
                <c:pt idx="10">
                  <c:v>178.99273804137317</c:v>
                </c:pt>
                <c:pt idx="11">
                  <c:v>172.41725449953603</c:v>
                </c:pt>
                <c:pt idx="12">
                  <c:v>167.09248297245728</c:v>
                </c:pt>
                <c:pt idx="13">
                  <c:v>162.86278514760451</c:v>
                </c:pt>
                <c:pt idx="14">
                  <c:v>159.59888550641389</c:v>
                </c:pt>
                <c:pt idx="15">
                  <c:v>157.19268881543491</c:v>
                </c:pt>
                <c:pt idx="16">
                  <c:v>155.55324841291886</c:v>
                </c:pt>
                <c:pt idx="17">
                  <c:v>154.60360224845064</c:v>
                </c:pt>
                <c:pt idx="18">
                  <c:v>154.27826960889143</c:v>
                </c:pt>
                <c:pt idx="19">
                  <c:v>154.52125543760079</c:v>
                </c:pt>
                <c:pt idx="20">
                  <c:v>155.2844479366986</c:v>
                </c:pt>
                <c:pt idx="21">
                  <c:v>156.52632330801623</c:v>
                </c:pt>
                <c:pt idx="22">
                  <c:v>158.21089214905211</c:v>
                </c:pt>
                <c:pt idx="23">
                  <c:v>160.30683731833744</c:v>
                </c:pt>
                <c:pt idx="24">
                  <c:v>162.78680451239373</c:v>
                </c:pt>
                <c:pt idx="25">
                  <c:v>165.62681540437222</c:v>
                </c:pt>
                <c:pt idx="26">
                  <c:v>168.80577972944047</c:v>
                </c:pt>
                <c:pt idx="27">
                  <c:v>172.30508770020182</c:v>
                </c:pt>
                <c:pt idx="28">
                  <c:v>176.10826798527106</c:v>
                </c:pt>
                <c:pt idx="29">
                  <c:v>180.20069946928643</c:v>
                </c:pt>
                <c:pt idx="30">
                  <c:v>184.56936734204399</c:v>
                </c:pt>
                <c:pt idx="31">
                  <c:v>189.20265589313857</c:v>
                </c:pt>
                <c:pt idx="32">
                  <c:v>194.09017183237935</c:v>
                </c:pt>
                <c:pt idx="33">
                  <c:v>199.22259310255288</c:v>
                </c:pt>
                <c:pt idx="34">
                  <c:v>204.59153906593281</c:v>
                </c:pt>
                <c:pt idx="35">
                  <c:v>210.18945867967923</c:v>
                </c:pt>
                <c:pt idx="36">
                  <c:v>216.00953386659472</c:v>
                </c:pt>
                <c:pt idx="37">
                  <c:v>222.04559576643774</c:v>
                </c:pt>
                <c:pt idx="38">
                  <c:v>228.29205194227421</c:v>
                </c:pt>
                <c:pt idx="39">
                  <c:v>234.74382293422775</c:v>
                </c:pt>
                <c:pt idx="40">
                  <c:v>241.39628681360935</c:v>
                </c:pt>
                <c:pt idx="41">
                  <c:v>248.24523060491612</c:v>
                </c:pt>
                <c:pt idx="42">
                  <c:v>255.28680762040329</c:v>
                </c:pt>
                <c:pt idx="43">
                  <c:v>262.5174998988619</c:v>
                </c:pt>
                <c:pt idx="44">
                  <c:v>269.93408506247965</c:v>
                </c:pt>
                <c:pt idx="45">
                  <c:v>277.53360700770247</c:v>
                </c:pt>
                <c:pt idx="46">
                  <c:v>285.31334993147254</c:v>
                </c:pt>
                <c:pt idx="47">
                  <c:v>293.27081526600062</c:v>
                </c:pt>
                <c:pt idx="48">
                  <c:v>301.40370115571704</c:v>
                </c:pt>
                <c:pt idx="49">
                  <c:v>309.70988416115262</c:v>
                </c:pt>
                <c:pt idx="50">
                  <c:v>318.1874029178091</c:v>
                </c:pt>
                <c:pt idx="51">
                  <c:v>326.83444351487378</c:v>
                </c:pt>
                <c:pt idx="52">
                  <c:v>335.64932638998289</c:v>
                </c:pt>
                <c:pt idx="53">
                  <c:v>344.63049456300394</c:v>
                </c:pt>
                <c:pt idx="54">
                  <c:v>353.77650305473378</c:v>
                </c:pt>
                <c:pt idx="55">
                  <c:v>363.08600935607308</c:v>
                </c:pt>
                <c:pt idx="56">
                  <c:v>372.55776483016132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E2F-4A0F-8C4D-F55BE2482BE5}"/>
            </c:ext>
          </c:extLst>
        </c:ser>
        <c:ser>
          <c:idx val="4"/>
          <c:order val="3"/>
          <c:tx>
            <c:v>Power Available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'Old Forward Flight  (2)'!$D$17:$D$73</c:f>
              <c:numCache>
                <c:formatCode>General</c:formatCode>
                <c:ptCount val="57"/>
                <c:pt idx="0">
                  <c:v>75</c:v>
                </c:pt>
                <c:pt idx="1">
                  <c:v>80</c:v>
                </c:pt>
                <c:pt idx="2">
                  <c:v>85</c:v>
                </c:pt>
                <c:pt idx="3">
                  <c:v>90</c:v>
                </c:pt>
                <c:pt idx="4">
                  <c:v>95</c:v>
                </c:pt>
                <c:pt idx="5">
                  <c:v>100</c:v>
                </c:pt>
                <c:pt idx="6">
                  <c:v>105</c:v>
                </c:pt>
                <c:pt idx="7">
                  <c:v>110</c:v>
                </c:pt>
                <c:pt idx="8">
                  <c:v>115</c:v>
                </c:pt>
                <c:pt idx="9">
                  <c:v>120</c:v>
                </c:pt>
                <c:pt idx="10">
                  <c:v>125</c:v>
                </c:pt>
                <c:pt idx="11">
                  <c:v>130</c:v>
                </c:pt>
                <c:pt idx="12">
                  <c:v>135</c:v>
                </c:pt>
                <c:pt idx="13">
                  <c:v>140</c:v>
                </c:pt>
                <c:pt idx="14">
                  <c:v>145</c:v>
                </c:pt>
                <c:pt idx="15">
                  <c:v>150</c:v>
                </c:pt>
                <c:pt idx="16">
                  <c:v>155</c:v>
                </c:pt>
                <c:pt idx="17">
                  <c:v>160</c:v>
                </c:pt>
                <c:pt idx="18">
                  <c:v>165</c:v>
                </c:pt>
                <c:pt idx="19">
                  <c:v>170</c:v>
                </c:pt>
                <c:pt idx="20">
                  <c:v>175</c:v>
                </c:pt>
                <c:pt idx="21">
                  <c:v>180</c:v>
                </c:pt>
                <c:pt idx="22">
                  <c:v>185</c:v>
                </c:pt>
                <c:pt idx="23">
                  <c:v>190</c:v>
                </c:pt>
                <c:pt idx="24">
                  <c:v>195</c:v>
                </c:pt>
                <c:pt idx="25">
                  <c:v>200</c:v>
                </c:pt>
                <c:pt idx="26">
                  <c:v>205</c:v>
                </c:pt>
                <c:pt idx="27">
                  <c:v>210</c:v>
                </c:pt>
                <c:pt idx="28">
                  <c:v>215</c:v>
                </c:pt>
                <c:pt idx="29">
                  <c:v>220</c:v>
                </c:pt>
                <c:pt idx="30">
                  <c:v>225</c:v>
                </c:pt>
                <c:pt idx="31">
                  <c:v>230</c:v>
                </c:pt>
                <c:pt idx="32">
                  <c:v>235</c:v>
                </c:pt>
                <c:pt idx="33">
                  <c:v>240</c:v>
                </c:pt>
                <c:pt idx="34">
                  <c:v>245</c:v>
                </c:pt>
                <c:pt idx="35">
                  <c:v>250</c:v>
                </c:pt>
                <c:pt idx="36">
                  <c:v>255</c:v>
                </c:pt>
                <c:pt idx="37">
                  <c:v>260</c:v>
                </c:pt>
                <c:pt idx="38">
                  <c:v>265</c:v>
                </c:pt>
                <c:pt idx="39">
                  <c:v>270</c:v>
                </c:pt>
                <c:pt idx="40">
                  <c:v>275</c:v>
                </c:pt>
                <c:pt idx="41">
                  <c:v>280</c:v>
                </c:pt>
                <c:pt idx="42">
                  <c:v>285</c:v>
                </c:pt>
                <c:pt idx="43">
                  <c:v>290</c:v>
                </c:pt>
                <c:pt idx="44">
                  <c:v>295</c:v>
                </c:pt>
                <c:pt idx="45">
                  <c:v>300</c:v>
                </c:pt>
                <c:pt idx="46">
                  <c:v>305</c:v>
                </c:pt>
                <c:pt idx="47">
                  <c:v>310</c:v>
                </c:pt>
                <c:pt idx="48">
                  <c:v>315</c:v>
                </c:pt>
                <c:pt idx="49">
                  <c:v>320</c:v>
                </c:pt>
                <c:pt idx="50">
                  <c:v>325</c:v>
                </c:pt>
                <c:pt idx="51">
                  <c:v>330</c:v>
                </c:pt>
                <c:pt idx="52">
                  <c:v>335</c:v>
                </c:pt>
                <c:pt idx="53">
                  <c:v>340</c:v>
                </c:pt>
                <c:pt idx="54">
                  <c:v>345</c:v>
                </c:pt>
                <c:pt idx="55">
                  <c:v>350</c:v>
                </c:pt>
                <c:pt idx="56">
                  <c:v>355</c:v>
                </c:pt>
              </c:numCache>
            </c:numRef>
          </c:xVal>
          <c:yVal>
            <c:numRef>
              <c:f>'Old Forward Flight  (2)'!$K$17:$K$73</c:f>
              <c:numCache>
                <c:formatCode>General</c:formatCode>
                <c:ptCount val="57"/>
                <c:pt idx="0">
                  <c:v>285.31334993147254</c:v>
                </c:pt>
                <c:pt idx="1">
                  <c:v>285.31334993147254</c:v>
                </c:pt>
                <c:pt idx="2">
                  <c:v>285.31334993147254</c:v>
                </c:pt>
                <c:pt idx="3">
                  <c:v>285.31334993147254</c:v>
                </c:pt>
                <c:pt idx="4">
                  <c:v>285.31334993147254</c:v>
                </c:pt>
                <c:pt idx="5">
                  <c:v>285.31334993147254</c:v>
                </c:pt>
                <c:pt idx="6">
                  <c:v>285.31334993147254</c:v>
                </c:pt>
                <c:pt idx="7">
                  <c:v>285.31334993147254</c:v>
                </c:pt>
                <c:pt idx="8">
                  <c:v>285.31334993147254</c:v>
                </c:pt>
                <c:pt idx="9">
                  <c:v>285.31334993147254</c:v>
                </c:pt>
                <c:pt idx="10">
                  <c:v>285.31334993147254</c:v>
                </c:pt>
                <c:pt idx="11">
                  <c:v>285.31334993147254</c:v>
                </c:pt>
                <c:pt idx="12">
                  <c:v>285.31334993147254</c:v>
                </c:pt>
                <c:pt idx="13">
                  <c:v>285.31334993147254</c:v>
                </c:pt>
                <c:pt idx="14">
                  <c:v>285.31334993147254</c:v>
                </c:pt>
                <c:pt idx="15">
                  <c:v>285.31334993147254</c:v>
                </c:pt>
                <c:pt idx="16">
                  <c:v>285.31334993147254</c:v>
                </c:pt>
                <c:pt idx="17">
                  <c:v>285.31334993147254</c:v>
                </c:pt>
                <c:pt idx="18">
                  <c:v>285.31334993147254</c:v>
                </c:pt>
                <c:pt idx="19">
                  <c:v>285.31334993147254</c:v>
                </c:pt>
                <c:pt idx="20">
                  <c:v>285.31334993147254</c:v>
                </c:pt>
                <c:pt idx="21">
                  <c:v>285.31334993147254</c:v>
                </c:pt>
                <c:pt idx="22">
                  <c:v>285.31334993147254</c:v>
                </c:pt>
                <c:pt idx="23">
                  <c:v>285.31334993147254</c:v>
                </c:pt>
                <c:pt idx="24">
                  <c:v>285.31334993147254</c:v>
                </c:pt>
                <c:pt idx="25">
                  <c:v>285.31334993147254</c:v>
                </c:pt>
                <c:pt idx="26">
                  <c:v>285.31334993147254</c:v>
                </c:pt>
                <c:pt idx="27">
                  <c:v>285.31334993147254</c:v>
                </c:pt>
                <c:pt idx="28">
                  <c:v>285.31334993147254</c:v>
                </c:pt>
                <c:pt idx="29">
                  <c:v>285.31334993147254</c:v>
                </c:pt>
                <c:pt idx="30">
                  <c:v>285.31334993147254</c:v>
                </c:pt>
                <c:pt idx="31">
                  <c:v>285.31334993147254</c:v>
                </c:pt>
                <c:pt idx="32">
                  <c:v>285.31334993147254</c:v>
                </c:pt>
                <c:pt idx="33">
                  <c:v>285.31334993147254</c:v>
                </c:pt>
                <c:pt idx="34">
                  <c:v>285.31334993147254</c:v>
                </c:pt>
                <c:pt idx="35">
                  <c:v>285.31334993147254</c:v>
                </c:pt>
                <c:pt idx="36">
                  <c:v>285.31334993147254</c:v>
                </c:pt>
                <c:pt idx="37">
                  <c:v>285.31334993147254</c:v>
                </c:pt>
                <c:pt idx="38">
                  <c:v>285.31334993147254</c:v>
                </c:pt>
                <c:pt idx="39">
                  <c:v>285.31334993147254</c:v>
                </c:pt>
                <c:pt idx="40">
                  <c:v>285.31334993147254</c:v>
                </c:pt>
                <c:pt idx="41">
                  <c:v>285.31334993147254</c:v>
                </c:pt>
                <c:pt idx="42">
                  <c:v>285.31334993147254</c:v>
                </c:pt>
                <c:pt idx="43">
                  <c:v>285.31334993147254</c:v>
                </c:pt>
                <c:pt idx="44">
                  <c:v>285.31334993147254</c:v>
                </c:pt>
                <c:pt idx="45">
                  <c:v>285.31334993147254</c:v>
                </c:pt>
                <c:pt idx="46">
                  <c:v>285.31334993147254</c:v>
                </c:pt>
                <c:pt idx="47">
                  <c:v>285.31334993147254</c:v>
                </c:pt>
                <c:pt idx="48">
                  <c:v>285.31334993147254</c:v>
                </c:pt>
                <c:pt idx="49">
                  <c:v>285.31334993147254</c:v>
                </c:pt>
                <c:pt idx="50">
                  <c:v>285.31334993147254</c:v>
                </c:pt>
                <c:pt idx="51">
                  <c:v>285.31334993147254</c:v>
                </c:pt>
                <c:pt idx="52">
                  <c:v>285.31334993147254</c:v>
                </c:pt>
                <c:pt idx="53">
                  <c:v>285.31334993147254</c:v>
                </c:pt>
                <c:pt idx="54">
                  <c:v>285.31334993147254</c:v>
                </c:pt>
                <c:pt idx="55">
                  <c:v>285.31334993147254</c:v>
                </c:pt>
                <c:pt idx="56">
                  <c:v>285.31334993147254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E2F-4A0F-8C4D-F55BE2482BE5}"/>
            </c:ext>
          </c:extLst>
        </c:ser>
        <c:ser>
          <c:idx val="7"/>
          <c:order val="4"/>
          <c:tx>
            <c:v>Total Power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'Old Forward Flight  (2)'!$D$17:$D$73</c:f>
              <c:numCache>
                <c:formatCode>General</c:formatCode>
                <c:ptCount val="57"/>
                <c:pt idx="0">
                  <c:v>75</c:v>
                </c:pt>
                <c:pt idx="1">
                  <c:v>80</c:v>
                </c:pt>
                <c:pt idx="2">
                  <c:v>85</c:v>
                </c:pt>
                <c:pt idx="3">
                  <c:v>90</c:v>
                </c:pt>
                <c:pt idx="4">
                  <c:v>95</c:v>
                </c:pt>
                <c:pt idx="5">
                  <c:v>100</c:v>
                </c:pt>
                <c:pt idx="6">
                  <c:v>105</c:v>
                </c:pt>
                <c:pt idx="7">
                  <c:v>110</c:v>
                </c:pt>
                <c:pt idx="8">
                  <c:v>115</c:v>
                </c:pt>
                <c:pt idx="9">
                  <c:v>120</c:v>
                </c:pt>
                <c:pt idx="10">
                  <c:v>125</c:v>
                </c:pt>
                <c:pt idx="11">
                  <c:v>130</c:v>
                </c:pt>
                <c:pt idx="12">
                  <c:v>135</c:v>
                </c:pt>
                <c:pt idx="13">
                  <c:v>140</c:v>
                </c:pt>
                <c:pt idx="14">
                  <c:v>145</c:v>
                </c:pt>
                <c:pt idx="15">
                  <c:v>150</c:v>
                </c:pt>
                <c:pt idx="16">
                  <c:v>155</c:v>
                </c:pt>
                <c:pt idx="17">
                  <c:v>160</c:v>
                </c:pt>
                <c:pt idx="18">
                  <c:v>165</c:v>
                </c:pt>
                <c:pt idx="19">
                  <c:v>170</c:v>
                </c:pt>
                <c:pt idx="20">
                  <c:v>175</c:v>
                </c:pt>
                <c:pt idx="21">
                  <c:v>180</c:v>
                </c:pt>
                <c:pt idx="22">
                  <c:v>185</c:v>
                </c:pt>
                <c:pt idx="23">
                  <c:v>190</c:v>
                </c:pt>
                <c:pt idx="24">
                  <c:v>195</c:v>
                </c:pt>
                <c:pt idx="25">
                  <c:v>200</c:v>
                </c:pt>
                <c:pt idx="26">
                  <c:v>205</c:v>
                </c:pt>
                <c:pt idx="27">
                  <c:v>210</c:v>
                </c:pt>
                <c:pt idx="28">
                  <c:v>215</c:v>
                </c:pt>
                <c:pt idx="29">
                  <c:v>220</c:v>
                </c:pt>
                <c:pt idx="30">
                  <c:v>225</c:v>
                </c:pt>
                <c:pt idx="31">
                  <c:v>230</c:v>
                </c:pt>
                <c:pt idx="32">
                  <c:v>235</c:v>
                </c:pt>
                <c:pt idx="33">
                  <c:v>240</c:v>
                </c:pt>
                <c:pt idx="34">
                  <c:v>245</c:v>
                </c:pt>
                <c:pt idx="35">
                  <c:v>250</c:v>
                </c:pt>
                <c:pt idx="36">
                  <c:v>255</c:v>
                </c:pt>
                <c:pt idx="37">
                  <c:v>260</c:v>
                </c:pt>
                <c:pt idx="38">
                  <c:v>265</c:v>
                </c:pt>
                <c:pt idx="39">
                  <c:v>270</c:v>
                </c:pt>
                <c:pt idx="40">
                  <c:v>275</c:v>
                </c:pt>
                <c:pt idx="41">
                  <c:v>280</c:v>
                </c:pt>
                <c:pt idx="42">
                  <c:v>285</c:v>
                </c:pt>
                <c:pt idx="43">
                  <c:v>290</c:v>
                </c:pt>
                <c:pt idx="44">
                  <c:v>295</c:v>
                </c:pt>
                <c:pt idx="45">
                  <c:v>300</c:v>
                </c:pt>
                <c:pt idx="46">
                  <c:v>305</c:v>
                </c:pt>
                <c:pt idx="47">
                  <c:v>310</c:v>
                </c:pt>
                <c:pt idx="48">
                  <c:v>315</c:v>
                </c:pt>
                <c:pt idx="49">
                  <c:v>320</c:v>
                </c:pt>
                <c:pt idx="50">
                  <c:v>325</c:v>
                </c:pt>
                <c:pt idx="51">
                  <c:v>330</c:v>
                </c:pt>
                <c:pt idx="52">
                  <c:v>335</c:v>
                </c:pt>
                <c:pt idx="53">
                  <c:v>340</c:v>
                </c:pt>
                <c:pt idx="54">
                  <c:v>345</c:v>
                </c:pt>
                <c:pt idx="55">
                  <c:v>350</c:v>
                </c:pt>
                <c:pt idx="56">
                  <c:v>355</c:v>
                </c:pt>
              </c:numCache>
            </c:numRef>
          </c:xVal>
          <c:yVal>
            <c:numRef>
              <c:f>'Old Forward Flight  (2)'!$J$17:$J$73</c:f>
              <c:numCache>
                <c:formatCode>General</c:formatCode>
                <c:ptCount val="57"/>
                <c:pt idx="0">
                  <c:v>390.53532045789586</c:v>
                </c:pt>
                <c:pt idx="1">
                  <c:v>347.35542539476256</c:v>
                </c:pt>
                <c:pt idx="2">
                  <c:v>312.0848410467994</c:v>
                </c:pt>
                <c:pt idx="3">
                  <c:v>283.04626711452988</c:v>
                </c:pt>
                <c:pt idx="4">
                  <c:v>258.99182943251611</c:v>
                </c:pt>
                <c:pt idx="5">
                  <c:v>238.977599743989</c:v>
                </c:pt>
                <c:pt idx="6">
                  <c:v>222.27889858527351</c:v>
                </c:pt>
                <c:pt idx="7">
                  <c:v>208.33190701021081</c:v>
                </c:pt>
                <c:pt idx="8">
                  <c:v>196.69264574485058</c:v>
                </c:pt>
                <c:pt idx="9">
                  <c:v>187.00765931237152</c:v>
                </c:pt>
                <c:pt idx="10">
                  <c:v>178.99273804137317</c:v>
                </c:pt>
                <c:pt idx="11">
                  <c:v>172.41725449953603</c:v>
                </c:pt>
                <c:pt idx="12">
                  <c:v>167.09248297245728</c:v>
                </c:pt>
                <c:pt idx="13">
                  <c:v>162.86278514760451</c:v>
                </c:pt>
                <c:pt idx="14">
                  <c:v>159.59888550641389</c:v>
                </c:pt>
                <c:pt idx="15">
                  <c:v>157.19268881543491</c:v>
                </c:pt>
                <c:pt idx="16">
                  <c:v>155.55324841291886</c:v>
                </c:pt>
                <c:pt idx="17">
                  <c:v>154.60360224845064</c:v>
                </c:pt>
                <c:pt idx="18">
                  <c:v>154.27826960889143</c:v>
                </c:pt>
                <c:pt idx="19">
                  <c:v>154.52125543760079</c:v>
                </c:pt>
                <c:pt idx="20">
                  <c:v>155.2844479366986</c:v>
                </c:pt>
                <c:pt idx="21">
                  <c:v>156.52632330801623</c:v>
                </c:pt>
                <c:pt idx="22">
                  <c:v>158.21089214905211</c:v>
                </c:pt>
                <c:pt idx="23">
                  <c:v>160.30683731833744</c:v>
                </c:pt>
                <c:pt idx="24">
                  <c:v>162.78680451239373</c:v>
                </c:pt>
                <c:pt idx="25">
                  <c:v>165.62681540437222</c:v>
                </c:pt>
                <c:pt idx="26">
                  <c:v>168.80577972944047</c:v>
                </c:pt>
                <c:pt idx="27">
                  <c:v>172.30508770020182</c:v>
                </c:pt>
                <c:pt idx="28">
                  <c:v>176.10826798527106</c:v>
                </c:pt>
                <c:pt idx="29">
                  <c:v>180.20069946928643</c:v>
                </c:pt>
                <c:pt idx="30">
                  <c:v>184.56936734204399</c:v>
                </c:pt>
                <c:pt idx="31">
                  <c:v>189.20265589313857</c:v>
                </c:pt>
                <c:pt idx="32">
                  <c:v>194.09017183237935</c:v>
                </c:pt>
                <c:pt idx="33">
                  <c:v>199.22259310255288</c:v>
                </c:pt>
                <c:pt idx="34">
                  <c:v>204.59153906593281</c:v>
                </c:pt>
                <c:pt idx="35">
                  <c:v>210.18945867967923</c:v>
                </c:pt>
                <c:pt idx="36">
                  <c:v>216.00953386659472</c:v>
                </c:pt>
                <c:pt idx="37">
                  <c:v>222.04559576643774</c:v>
                </c:pt>
                <c:pt idx="38">
                  <c:v>228.29205194227421</c:v>
                </c:pt>
                <c:pt idx="39">
                  <c:v>234.74382293422775</c:v>
                </c:pt>
                <c:pt idx="40">
                  <c:v>241.39628681360935</c:v>
                </c:pt>
                <c:pt idx="41">
                  <c:v>248.24523060491612</c:v>
                </c:pt>
                <c:pt idx="42">
                  <c:v>255.28680762040329</c:v>
                </c:pt>
                <c:pt idx="43">
                  <c:v>262.5174998988619</c:v>
                </c:pt>
                <c:pt idx="44">
                  <c:v>269.93408506247965</c:v>
                </c:pt>
                <c:pt idx="45">
                  <c:v>277.53360700770247</c:v>
                </c:pt>
                <c:pt idx="46">
                  <c:v>285.31334993147254</c:v>
                </c:pt>
                <c:pt idx="47">
                  <c:v>293.27081526600062</c:v>
                </c:pt>
                <c:pt idx="48">
                  <c:v>301.40370115571704</c:v>
                </c:pt>
                <c:pt idx="49">
                  <c:v>309.70988416115262</c:v>
                </c:pt>
                <c:pt idx="50">
                  <c:v>318.1874029178091</c:v>
                </c:pt>
                <c:pt idx="51">
                  <c:v>326.83444351487378</c:v>
                </c:pt>
                <c:pt idx="52">
                  <c:v>335.64932638998289</c:v>
                </c:pt>
                <c:pt idx="53">
                  <c:v>344.63049456300394</c:v>
                </c:pt>
                <c:pt idx="54">
                  <c:v>353.77650305473378</c:v>
                </c:pt>
                <c:pt idx="55">
                  <c:v>363.08600935607308</c:v>
                </c:pt>
                <c:pt idx="56">
                  <c:v>372.55776483016132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E2F-4A0F-8C4D-F55BE2482B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749576"/>
        <c:axId val="34746832"/>
      </c:scatterChart>
      <c:valAx>
        <c:axId val="34749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Flight Speed (knots)</a:t>
                </a:r>
              </a:p>
            </c:rich>
          </c:tx>
          <c:layout>
            <c:manualLayout>
              <c:xMode val="edge"/>
              <c:yMode val="edge"/>
              <c:x val="0.44307361109826021"/>
              <c:y val="0.9030031723488144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46832"/>
        <c:crosses val="autoZero"/>
        <c:crossBetween val="midCat"/>
      </c:valAx>
      <c:valAx>
        <c:axId val="3474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Power</a:t>
                </a:r>
                <a:r>
                  <a:rPr lang="en-US" sz="1100" b="1" baseline="0"/>
                  <a:t> (HP)</a:t>
                </a:r>
                <a:endParaRPr lang="en-US" sz="1100" b="1"/>
              </a:p>
            </c:rich>
          </c:tx>
          <c:layout>
            <c:manualLayout>
              <c:xMode val="edge"/>
              <c:yMode val="edge"/>
              <c:x val="6.3919396973145692E-2"/>
              <c:y val="0.3543601811046828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495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6292303590806518"/>
          <c:y val="0.33983373092030922"/>
          <c:w val="0.12992388826933113"/>
          <c:h val="0.320332538159381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13228051549736"/>
          <c:y val="3.2546832469551465E-2"/>
          <c:w val="0.70509991333339506"/>
          <c:h val="0.79029646002554421"/>
        </c:manualLayout>
      </c:layout>
      <c:scatterChart>
        <c:scatterStyle val="smoothMarker"/>
        <c:varyColors val="0"/>
        <c:ser>
          <c:idx val="7"/>
          <c:order val="0"/>
          <c:tx>
            <c:v>Total Power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'Old Forward Flight  (2)'!$D$17:$D$73</c:f>
              <c:numCache>
                <c:formatCode>General</c:formatCode>
                <c:ptCount val="57"/>
                <c:pt idx="0">
                  <c:v>75</c:v>
                </c:pt>
                <c:pt idx="1">
                  <c:v>80</c:v>
                </c:pt>
                <c:pt idx="2">
                  <c:v>85</c:v>
                </c:pt>
                <c:pt idx="3">
                  <c:v>90</c:v>
                </c:pt>
                <c:pt idx="4">
                  <c:v>95</c:v>
                </c:pt>
                <c:pt idx="5">
                  <c:v>100</c:v>
                </c:pt>
                <c:pt idx="6">
                  <c:v>105</c:v>
                </c:pt>
                <c:pt idx="7">
                  <c:v>110</c:v>
                </c:pt>
                <c:pt idx="8">
                  <c:v>115</c:v>
                </c:pt>
                <c:pt idx="9">
                  <c:v>120</c:v>
                </c:pt>
                <c:pt idx="10">
                  <c:v>125</c:v>
                </c:pt>
                <c:pt idx="11">
                  <c:v>130</c:v>
                </c:pt>
                <c:pt idx="12">
                  <c:v>135</c:v>
                </c:pt>
                <c:pt idx="13">
                  <c:v>140</c:v>
                </c:pt>
                <c:pt idx="14">
                  <c:v>145</c:v>
                </c:pt>
                <c:pt idx="15">
                  <c:v>150</c:v>
                </c:pt>
                <c:pt idx="16">
                  <c:v>155</c:v>
                </c:pt>
                <c:pt idx="17">
                  <c:v>160</c:v>
                </c:pt>
                <c:pt idx="18">
                  <c:v>165</c:v>
                </c:pt>
                <c:pt idx="19">
                  <c:v>170</c:v>
                </c:pt>
                <c:pt idx="20">
                  <c:v>175</c:v>
                </c:pt>
                <c:pt idx="21">
                  <c:v>180</c:v>
                </c:pt>
                <c:pt idx="22">
                  <c:v>185</c:v>
                </c:pt>
                <c:pt idx="23">
                  <c:v>190</c:v>
                </c:pt>
                <c:pt idx="24">
                  <c:v>195</c:v>
                </c:pt>
                <c:pt idx="25">
                  <c:v>200</c:v>
                </c:pt>
                <c:pt idx="26">
                  <c:v>205</c:v>
                </c:pt>
                <c:pt idx="27">
                  <c:v>210</c:v>
                </c:pt>
                <c:pt idx="28">
                  <c:v>215</c:v>
                </c:pt>
                <c:pt idx="29">
                  <c:v>220</c:v>
                </c:pt>
                <c:pt idx="30">
                  <c:v>225</c:v>
                </c:pt>
                <c:pt idx="31">
                  <c:v>230</c:v>
                </c:pt>
                <c:pt idx="32">
                  <c:v>235</c:v>
                </c:pt>
                <c:pt idx="33">
                  <c:v>240</c:v>
                </c:pt>
                <c:pt idx="34">
                  <c:v>245</c:v>
                </c:pt>
                <c:pt idx="35">
                  <c:v>250</c:v>
                </c:pt>
                <c:pt idx="36">
                  <c:v>255</c:v>
                </c:pt>
                <c:pt idx="37">
                  <c:v>260</c:v>
                </c:pt>
                <c:pt idx="38">
                  <c:v>265</c:v>
                </c:pt>
                <c:pt idx="39">
                  <c:v>270</c:v>
                </c:pt>
                <c:pt idx="40">
                  <c:v>275</c:v>
                </c:pt>
                <c:pt idx="41">
                  <c:v>280</c:v>
                </c:pt>
                <c:pt idx="42">
                  <c:v>285</c:v>
                </c:pt>
                <c:pt idx="43">
                  <c:v>290</c:v>
                </c:pt>
                <c:pt idx="44">
                  <c:v>295</c:v>
                </c:pt>
                <c:pt idx="45">
                  <c:v>300</c:v>
                </c:pt>
                <c:pt idx="46">
                  <c:v>305</c:v>
                </c:pt>
                <c:pt idx="47">
                  <c:v>310</c:v>
                </c:pt>
                <c:pt idx="48">
                  <c:v>315</c:v>
                </c:pt>
                <c:pt idx="49">
                  <c:v>320</c:v>
                </c:pt>
                <c:pt idx="50">
                  <c:v>325</c:v>
                </c:pt>
                <c:pt idx="51">
                  <c:v>330</c:v>
                </c:pt>
                <c:pt idx="52">
                  <c:v>335</c:v>
                </c:pt>
                <c:pt idx="53">
                  <c:v>340</c:v>
                </c:pt>
                <c:pt idx="54">
                  <c:v>345</c:v>
                </c:pt>
                <c:pt idx="55">
                  <c:v>350</c:v>
                </c:pt>
                <c:pt idx="56">
                  <c:v>355</c:v>
                </c:pt>
              </c:numCache>
            </c:numRef>
          </c:xVal>
          <c:yVal>
            <c:numRef>
              <c:f>'Old Forward Flight  (2)'!$J$17:$J$73</c:f>
              <c:numCache>
                <c:formatCode>General</c:formatCode>
                <c:ptCount val="57"/>
                <c:pt idx="0">
                  <c:v>390.53532045789586</c:v>
                </c:pt>
                <c:pt idx="1">
                  <c:v>347.35542539476256</c:v>
                </c:pt>
                <c:pt idx="2">
                  <c:v>312.0848410467994</c:v>
                </c:pt>
                <c:pt idx="3">
                  <c:v>283.04626711452988</c:v>
                </c:pt>
                <c:pt idx="4">
                  <c:v>258.99182943251611</c:v>
                </c:pt>
                <c:pt idx="5">
                  <c:v>238.977599743989</c:v>
                </c:pt>
                <c:pt idx="6">
                  <c:v>222.27889858527351</c:v>
                </c:pt>
                <c:pt idx="7">
                  <c:v>208.33190701021081</c:v>
                </c:pt>
                <c:pt idx="8">
                  <c:v>196.69264574485058</c:v>
                </c:pt>
                <c:pt idx="9">
                  <c:v>187.00765931237152</c:v>
                </c:pt>
                <c:pt idx="10">
                  <c:v>178.99273804137317</c:v>
                </c:pt>
                <c:pt idx="11">
                  <c:v>172.41725449953603</c:v>
                </c:pt>
                <c:pt idx="12">
                  <c:v>167.09248297245728</c:v>
                </c:pt>
                <c:pt idx="13">
                  <c:v>162.86278514760451</c:v>
                </c:pt>
                <c:pt idx="14">
                  <c:v>159.59888550641389</c:v>
                </c:pt>
                <c:pt idx="15">
                  <c:v>157.19268881543491</c:v>
                </c:pt>
                <c:pt idx="16">
                  <c:v>155.55324841291886</c:v>
                </c:pt>
                <c:pt idx="17">
                  <c:v>154.60360224845064</c:v>
                </c:pt>
                <c:pt idx="18">
                  <c:v>154.27826960889143</c:v>
                </c:pt>
                <c:pt idx="19">
                  <c:v>154.52125543760079</c:v>
                </c:pt>
                <c:pt idx="20">
                  <c:v>155.2844479366986</c:v>
                </c:pt>
                <c:pt idx="21">
                  <c:v>156.52632330801623</c:v>
                </c:pt>
                <c:pt idx="22">
                  <c:v>158.21089214905211</c:v>
                </c:pt>
                <c:pt idx="23">
                  <c:v>160.30683731833744</c:v>
                </c:pt>
                <c:pt idx="24">
                  <c:v>162.78680451239373</c:v>
                </c:pt>
                <c:pt idx="25">
                  <c:v>165.62681540437222</c:v>
                </c:pt>
                <c:pt idx="26">
                  <c:v>168.80577972944047</c:v>
                </c:pt>
                <c:pt idx="27">
                  <c:v>172.30508770020182</c:v>
                </c:pt>
                <c:pt idx="28">
                  <c:v>176.10826798527106</c:v>
                </c:pt>
                <c:pt idx="29">
                  <c:v>180.20069946928643</c:v>
                </c:pt>
                <c:pt idx="30">
                  <c:v>184.56936734204399</c:v>
                </c:pt>
                <c:pt idx="31">
                  <c:v>189.20265589313857</c:v>
                </c:pt>
                <c:pt idx="32">
                  <c:v>194.09017183237935</c:v>
                </c:pt>
                <c:pt idx="33">
                  <c:v>199.22259310255288</c:v>
                </c:pt>
                <c:pt idx="34">
                  <c:v>204.59153906593281</c:v>
                </c:pt>
                <c:pt idx="35">
                  <c:v>210.18945867967923</c:v>
                </c:pt>
                <c:pt idx="36">
                  <c:v>216.00953386659472</c:v>
                </c:pt>
                <c:pt idx="37">
                  <c:v>222.04559576643774</c:v>
                </c:pt>
                <c:pt idx="38">
                  <c:v>228.29205194227421</c:v>
                </c:pt>
                <c:pt idx="39">
                  <c:v>234.74382293422775</c:v>
                </c:pt>
                <c:pt idx="40">
                  <c:v>241.39628681360935</c:v>
                </c:pt>
                <c:pt idx="41">
                  <c:v>248.24523060491612</c:v>
                </c:pt>
                <c:pt idx="42">
                  <c:v>255.28680762040329</c:v>
                </c:pt>
                <c:pt idx="43">
                  <c:v>262.5174998988619</c:v>
                </c:pt>
                <c:pt idx="44">
                  <c:v>269.93408506247965</c:v>
                </c:pt>
                <c:pt idx="45">
                  <c:v>277.53360700770247</c:v>
                </c:pt>
                <c:pt idx="46">
                  <c:v>285.31334993147254</c:v>
                </c:pt>
                <c:pt idx="47">
                  <c:v>293.27081526600062</c:v>
                </c:pt>
                <c:pt idx="48">
                  <c:v>301.40370115571704</c:v>
                </c:pt>
                <c:pt idx="49">
                  <c:v>309.70988416115262</c:v>
                </c:pt>
                <c:pt idx="50">
                  <c:v>318.1874029178091</c:v>
                </c:pt>
                <c:pt idx="51">
                  <c:v>326.83444351487378</c:v>
                </c:pt>
                <c:pt idx="52">
                  <c:v>335.64932638998289</c:v>
                </c:pt>
                <c:pt idx="53">
                  <c:v>344.63049456300394</c:v>
                </c:pt>
                <c:pt idx="54">
                  <c:v>353.77650305473378</c:v>
                </c:pt>
                <c:pt idx="55">
                  <c:v>363.08600935607308</c:v>
                </c:pt>
                <c:pt idx="56">
                  <c:v>372.55776483016132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502-40E8-A740-3D648B3C962B}"/>
            </c:ext>
          </c:extLst>
        </c:ser>
        <c:ser>
          <c:idx val="1"/>
          <c:order val="1"/>
          <c:tx>
            <c:strRef>
              <c:f>[2]Sheet1!$J$15</c:f>
              <c:strCache>
                <c:ptCount val="1"/>
                <c:pt idx="0">
                  <c:v>P_req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[2]Sheet1!$A$16:$A$30</c:f>
              <c:numCache>
                <c:formatCode>General</c:formatCode>
                <c:ptCount val="15"/>
                <c:pt idx="0">
                  <c:v>0</c:v>
                </c:pt>
                <c:pt idx="1">
                  <c:v>12.5</c:v>
                </c:pt>
                <c:pt idx="2">
                  <c:v>25</c:v>
                </c:pt>
                <c:pt idx="3">
                  <c:v>37.5</c:v>
                </c:pt>
                <c:pt idx="4">
                  <c:v>50</c:v>
                </c:pt>
                <c:pt idx="5">
                  <c:v>62.5</c:v>
                </c:pt>
                <c:pt idx="6">
                  <c:v>75</c:v>
                </c:pt>
                <c:pt idx="7">
                  <c:v>87.5</c:v>
                </c:pt>
                <c:pt idx="8">
                  <c:v>100</c:v>
                </c:pt>
                <c:pt idx="9">
                  <c:v>112.5</c:v>
                </c:pt>
                <c:pt idx="10">
                  <c:v>125</c:v>
                </c:pt>
                <c:pt idx="11">
                  <c:v>137.5</c:v>
                </c:pt>
                <c:pt idx="12">
                  <c:v>150</c:v>
                </c:pt>
                <c:pt idx="13">
                  <c:v>162.5</c:v>
                </c:pt>
                <c:pt idx="14">
                  <c:v>175</c:v>
                </c:pt>
              </c:numCache>
            </c:numRef>
          </c:xVal>
          <c:yVal>
            <c:numRef>
              <c:f>[2]Sheet1!$J$16:$J$30</c:f>
              <c:numCache>
                <c:formatCode>General</c:formatCode>
                <c:ptCount val="15"/>
                <c:pt idx="0">
                  <c:v>345.87804023492026</c:v>
                </c:pt>
                <c:pt idx="1">
                  <c:v>344.68794316768503</c:v>
                </c:pt>
                <c:pt idx="2">
                  <c:v>341.32015291098935</c:v>
                </c:pt>
                <c:pt idx="3">
                  <c:v>336.13281245134783</c:v>
                </c:pt>
                <c:pt idx="4">
                  <c:v>329.56547281986508</c:v>
                </c:pt>
                <c:pt idx="5">
                  <c:v>322.15086772362093</c:v>
                </c:pt>
                <c:pt idx="6">
                  <c:v>314.51987500586324</c:v>
                </c:pt>
                <c:pt idx="7">
                  <c:v>307.38914513575935</c:v>
                </c:pt>
                <c:pt idx="8">
                  <c:v>301.52436557901871</c:v>
                </c:pt>
                <c:pt idx="9">
                  <c:v>297.68328637858838</c:v>
                </c:pt>
                <c:pt idx="10">
                  <c:v>296.55585346032882</c:v>
                </c:pt>
                <c:pt idx="11">
                  <c:v>298.72270681496366</c:v>
                </c:pt>
                <c:pt idx="12">
                  <c:v>304.64327006089599</c:v>
                </c:pt>
                <c:pt idx="13">
                  <c:v>314.6694845937842</c:v>
                </c:pt>
                <c:pt idx="14">
                  <c:v>329.07267372027451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502-40E8-A740-3D648B3C96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749576"/>
        <c:axId val="34746832"/>
      </c:scatterChart>
      <c:valAx>
        <c:axId val="34749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Flight Speed (knots)</a:t>
                </a:r>
              </a:p>
            </c:rich>
          </c:tx>
          <c:layout>
            <c:manualLayout>
              <c:xMode val="edge"/>
              <c:yMode val="edge"/>
              <c:x val="0.44307361109826021"/>
              <c:y val="0.9030031723488144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46832"/>
        <c:crosses val="autoZero"/>
        <c:crossBetween val="midCat"/>
      </c:valAx>
      <c:valAx>
        <c:axId val="3474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</a:t>
                </a:r>
                <a:r>
                  <a:rPr lang="en-US" baseline="0"/>
                  <a:t> (HP)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6.3919396973145692E-2"/>
              <c:y val="0.3543601811046828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495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6292303590806518"/>
          <c:y val="0.33983373092030922"/>
          <c:w val="0.12992388826933113"/>
          <c:h val="0.320332538159381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13228051549736"/>
          <c:y val="3.2546832469551465E-2"/>
          <c:w val="0.70509991333339506"/>
          <c:h val="0.79029646002554421"/>
        </c:manualLayout>
      </c:layout>
      <c:scatterChart>
        <c:scatterStyle val="smoothMarker"/>
        <c:varyColors val="0"/>
        <c:ser>
          <c:idx val="0"/>
          <c:order val="0"/>
          <c:tx>
            <c:v>Pasatie Power</c:v>
          </c:tx>
          <c:spPr>
            <a:ln>
              <a:solidFill>
                <a:schemeClr val="accent6"/>
              </a:solidFill>
              <a:prstDash val="dash"/>
            </a:ln>
          </c:spPr>
          <c:marker>
            <c:symbol val="none"/>
          </c:marker>
          <c:xVal>
            <c:numRef>
              <c:f>'Old Forward Flight  (2)'!$D$21:$D$73</c:f>
              <c:numCache>
                <c:formatCode>General</c:formatCode>
                <c:ptCount val="53"/>
                <c:pt idx="0">
                  <c:v>95</c:v>
                </c:pt>
                <c:pt idx="1">
                  <c:v>100</c:v>
                </c:pt>
                <c:pt idx="2">
                  <c:v>105</c:v>
                </c:pt>
                <c:pt idx="3">
                  <c:v>110</c:v>
                </c:pt>
                <c:pt idx="4">
                  <c:v>115</c:v>
                </c:pt>
                <c:pt idx="5">
                  <c:v>120</c:v>
                </c:pt>
                <c:pt idx="6">
                  <c:v>125</c:v>
                </c:pt>
                <c:pt idx="7">
                  <c:v>130</c:v>
                </c:pt>
                <c:pt idx="8">
                  <c:v>135</c:v>
                </c:pt>
                <c:pt idx="9">
                  <c:v>140</c:v>
                </c:pt>
                <c:pt idx="10">
                  <c:v>145</c:v>
                </c:pt>
                <c:pt idx="11">
                  <c:v>150</c:v>
                </c:pt>
                <c:pt idx="12">
                  <c:v>155</c:v>
                </c:pt>
                <c:pt idx="13">
                  <c:v>160</c:v>
                </c:pt>
                <c:pt idx="14">
                  <c:v>165</c:v>
                </c:pt>
                <c:pt idx="15">
                  <c:v>170</c:v>
                </c:pt>
                <c:pt idx="16">
                  <c:v>175</c:v>
                </c:pt>
                <c:pt idx="17">
                  <c:v>180</c:v>
                </c:pt>
                <c:pt idx="18">
                  <c:v>185</c:v>
                </c:pt>
                <c:pt idx="19">
                  <c:v>190</c:v>
                </c:pt>
                <c:pt idx="20">
                  <c:v>195</c:v>
                </c:pt>
                <c:pt idx="21">
                  <c:v>200</c:v>
                </c:pt>
                <c:pt idx="22">
                  <c:v>205</c:v>
                </c:pt>
                <c:pt idx="23">
                  <c:v>210</c:v>
                </c:pt>
                <c:pt idx="24">
                  <c:v>215</c:v>
                </c:pt>
                <c:pt idx="25">
                  <c:v>220</c:v>
                </c:pt>
                <c:pt idx="26">
                  <c:v>225</c:v>
                </c:pt>
                <c:pt idx="27">
                  <c:v>230</c:v>
                </c:pt>
                <c:pt idx="28">
                  <c:v>235</c:v>
                </c:pt>
                <c:pt idx="29">
                  <c:v>240</c:v>
                </c:pt>
                <c:pt idx="30">
                  <c:v>245</c:v>
                </c:pt>
                <c:pt idx="31">
                  <c:v>250</c:v>
                </c:pt>
                <c:pt idx="32">
                  <c:v>255</c:v>
                </c:pt>
                <c:pt idx="33">
                  <c:v>260</c:v>
                </c:pt>
                <c:pt idx="34">
                  <c:v>265</c:v>
                </c:pt>
                <c:pt idx="35">
                  <c:v>270</c:v>
                </c:pt>
                <c:pt idx="36">
                  <c:v>275</c:v>
                </c:pt>
                <c:pt idx="37">
                  <c:v>280</c:v>
                </c:pt>
                <c:pt idx="38">
                  <c:v>285</c:v>
                </c:pt>
                <c:pt idx="39">
                  <c:v>290</c:v>
                </c:pt>
                <c:pt idx="40">
                  <c:v>295</c:v>
                </c:pt>
                <c:pt idx="41">
                  <c:v>300</c:v>
                </c:pt>
                <c:pt idx="42">
                  <c:v>305</c:v>
                </c:pt>
                <c:pt idx="43">
                  <c:v>310</c:v>
                </c:pt>
                <c:pt idx="44">
                  <c:v>315</c:v>
                </c:pt>
                <c:pt idx="45">
                  <c:v>320</c:v>
                </c:pt>
                <c:pt idx="46">
                  <c:v>325</c:v>
                </c:pt>
                <c:pt idx="47">
                  <c:v>330</c:v>
                </c:pt>
                <c:pt idx="48">
                  <c:v>335</c:v>
                </c:pt>
                <c:pt idx="49">
                  <c:v>340</c:v>
                </c:pt>
                <c:pt idx="50">
                  <c:v>345</c:v>
                </c:pt>
                <c:pt idx="51">
                  <c:v>350</c:v>
                </c:pt>
                <c:pt idx="52">
                  <c:v>355</c:v>
                </c:pt>
              </c:numCache>
            </c:numRef>
          </c:xVal>
          <c:yVal>
            <c:numRef>
              <c:f>'Old Forward Flight  (2)'!$H$21:$H$73</c:f>
              <c:numCache>
                <c:formatCode>General</c:formatCode>
                <c:ptCount val="53"/>
                <c:pt idx="0">
                  <c:v>25.482367989388912</c:v>
                </c:pt>
                <c:pt idx="1">
                  <c:v>28.235310791566661</c:v>
                </c:pt>
                <c:pt idx="2">
                  <c:v>31.129430147702251</c:v>
                </c:pt>
                <c:pt idx="3">
                  <c:v>34.164726057795662</c:v>
                </c:pt>
                <c:pt idx="4">
                  <c:v>37.341198521846913</c:v>
                </c:pt>
                <c:pt idx="5">
                  <c:v>40.658847539855998</c:v>
                </c:pt>
                <c:pt idx="6">
                  <c:v>44.117673111822917</c:v>
                </c:pt>
                <c:pt idx="7">
                  <c:v>47.717675237747663</c:v>
                </c:pt>
                <c:pt idx="8">
                  <c:v>51.45885391763025</c:v>
                </c:pt>
                <c:pt idx="9">
                  <c:v>55.341209151470665</c:v>
                </c:pt>
                <c:pt idx="10">
                  <c:v>59.36474093926892</c:v>
                </c:pt>
                <c:pt idx="11">
                  <c:v>63.529449281024995</c:v>
                </c:pt>
                <c:pt idx="12">
                  <c:v>67.835334176738911</c:v>
                </c:pt>
                <c:pt idx="13">
                  <c:v>72.282395626410661</c:v>
                </c:pt>
                <c:pt idx="14">
                  <c:v>76.870633630040246</c:v>
                </c:pt>
                <c:pt idx="15">
                  <c:v>81.600048187627664</c:v>
                </c:pt>
                <c:pt idx="16">
                  <c:v>86.470639299172916</c:v>
                </c:pt>
                <c:pt idx="17">
                  <c:v>91.482406964675988</c:v>
                </c:pt>
                <c:pt idx="18">
                  <c:v>96.635351184136908</c:v>
                </c:pt>
                <c:pt idx="19">
                  <c:v>101.92947195755565</c:v>
                </c:pt>
                <c:pt idx="20">
                  <c:v>107.36476928493224</c:v>
                </c:pt>
                <c:pt idx="21">
                  <c:v>112.94124316626664</c:v>
                </c:pt>
                <c:pt idx="22">
                  <c:v>118.65889360155889</c:v>
                </c:pt>
                <c:pt idx="23">
                  <c:v>124.51772059080901</c:v>
                </c:pt>
                <c:pt idx="24">
                  <c:v>130.5177241340169</c:v>
                </c:pt>
                <c:pt idx="25">
                  <c:v>136.65890423118265</c:v>
                </c:pt>
                <c:pt idx="26">
                  <c:v>142.94126088230624</c:v>
                </c:pt>
                <c:pt idx="27">
                  <c:v>149.36479408738765</c:v>
                </c:pt>
                <c:pt idx="28">
                  <c:v>155.92950384642691</c:v>
                </c:pt>
                <c:pt idx="29">
                  <c:v>162.63539015942399</c:v>
                </c:pt>
                <c:pt idx="30">
                  <c:v>169.48245302637889</c:v>
                </c:pt>
                <c:pt idx="31">
                  <c:v>176.47069244729167</c:v>
                </c:pt>
                <c:pt idx="32">
                  <c:v>183.60010842216224</c:v>
                </c:pt>
                <c:pt idx="33">
                  <c:v>190.87070095099065</c:v>
                </c:pt>
                <c:pt idx="34">
                  <c:v>198.28247003377692</c:v>
                </c:pt>
                <c:pt idx="35">
                  <c:v>205.835415670521</c:v>
                </c:pt>
                <c:pt idx="36">
                  <c:v>213.52953786122293</c:v>
                </c:pt>
                <c:pt idx="37">
                  <c:v>221.36483660588266</c:v>
                </c:pt>
                <c:pt idx="38">
                  <c:v>229.34131190450026</c:v>
                </c:pt>
                <c:pt idx="39">
                  <c:v>237.45896375707568</c:v>
                </c:pt>
                <c:pt idx="40">
                  <c:v>245.71779216360892</c:v>
                </c:pt>
                <c:pt idx="41">
                  <c:v>254.11779712409998</c:v>
                </c:pt>
                <c:pt idx="42">
                  <c:v>262.65897863854889</c:v>
                </c:pt>
                <c:pt idx="43">
                  <c:v>271.34133670695564</c:v>
                </c:pt>
                <c:pt idx="44">
                  <c:v>280.16487132932025</c:v>
                </c:pt>
                <c:pt idx="45">
                  <c:v>289.12958250564265</c:v>
                </c:pt>
                <c:pt idx="46">
                  <c:v>298.23547023592295</c:v>
                </c:pt>
                <c:pt idx="47">
                  <c:v>307.48253452016098</c:v>
                </c:pt>
                <c:pt idx="48">
                  <c:v>316.87077535835692</c:v>
                </c:pt>
                <c:pt idx="49">
                  <c:v>326.40019275051066</c:v>
                </c:pt>
                <c:pt idx="50">
                  <c:v>336.07078669662224</c:v>
                </c:pt>
                <c:pt idx="51">
                  <c:v>345.88255719669166</c:v>
                </c:pt>
                <c:pt idx="52">
                  <c:v>355.83550425071894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79F-4BBF-B70E-5AF69348E99F}"/>
            </c:ext>
          </c:extLst>
        </c:ser>
        <c:ser>
          <c:idx val="2"/>
          <c:order val="1"/>
          <c:tx>
            <c:v>Induced Power</c:v>
          </c:tx>
          <c:spPr>
            <a:ln w="19050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'Old Forward Flight  (2)'!$D$21:$D$73</c:f>
              <c:numCache>
                <c:formatCode>General</c:formatCode>
                <c:ptCount val="53"/>
                <c:pt idx="0">
                  <c:v>95</c:v>
                </c:pt>
                <c:pt idx="1">
                  <c:v>100</c:v>
                </c:pt>
                <c:pt idx="2">
                  <c:v>105</c:v>
                </c:pt>
                <c:pt idx="3">
                  <c:v>110</c:v>
                </c:pt>
                <c:pt idx="4">
                  <c:v>115</c:v>
                </c:pt>
                <c:pt idx="5">
                  <c:v>120</c:v>
                </c:pt>
                <c:pt idx="6">
                  <c:v>125</c:v>
                </c:pt>
                <c:pt idx="7">
                  <c:v>130</c:v>
                </c:pt>
                <c:pt idx="8">
                  <c:v>135</c:v>
                </c:pt>
                <c:pt idx="9">
                  <c:v>140</c:v>
                </c:pt>
                <c:pt idx="10">
                  <c:v>145</c:v>
                </c:pt>
                <c:pt idx="11">
                  <c:v>150</c:v>
                </c:pt>
                <c:pt idx="12">
                  <c:v>155</c:v>
                </c:pt>
                <c:pt idx="13">
                  <c:v>160</c:v>
                </c:pt>
                <c:pt idx="14">
                  <c:v>165</c:v>
                </c:pt>
                <c:pt idx="15">
                  <c:v>170</c:v>
                </c:pt>
                <c:pt idx="16">
                  <c:v>175</c:v>
                </c:pt>
                <c:pt idx="17">
                  <c:v>180</c:v>
                </c:pt>
                <c:pt idx="18">
                  <c:v>185</c:v>
                </c:pt>
                <c:pt idx="19">
                  <c:v>190</c:v>
                </c:pt>
                <c:pt idx="20">
                  <c:v>195</c:v>
                </c:pt>
                <c:pt idx="21">
                  <c:v>200</c:v>
                </c:pt>
                <c:pt idx="22">
                  <c:v>205</c:v>
                </c:pt>
                <c:pt idx="23">
                  <c:v>210</c:v>
                </c:pt>
                <c:pt idx="24">
                  <c:v>215</c:v>
                </c:pt>
                <c:pt idx="25">
                  <c:v>220</c:v>
                </c:pt>
                <c:pt idx="26">
                  <c:v>225</c:v>
                </c:pt>
                <c:pt idx="27">
                  <c:v>230</c:v>
                </c:pt>
                <c:pt idx="28">
                  <c:v>235</c:v>
                </c:pt>
                <c:pt idx="29">
                  <c:v>240</c:v>
                </c:pt>
                <c:pt idx="30">
                  <c:v>245</c:v>
                </c:pt>
                <c:pt idx="31">
                  <c:v>250</c:v>
                </c:pt>
                <c:pt idx="32">
                  <c:v>255</c:v>
                </c:pt>
                <c:pt idx="33">
                  <c:v>260</c:v>
                </c:pt>
                <c:pt idx="34">
                  <c:v>265</c:v>
                </c:pt>
                <c:pt idx="35">
                  <c:v>270</c:v>
                </c:pt>
                <c:pt idx="36">
                  <c:v>275</c:v>
                </c:pt>
                <c:pt idx="37">
                  <c:v>280</c:v>
                </c:pt>
                <c:pt idx="38">
                  <c:v>285</c:v>
                </c:pt>
                <c:pt idx="39">
                  <c:v>290</c:v>
                </c:pt>
                <c:pt idx="40">
                  <c:v>295</c:v>
                </c:pt>
                <c:pt idx="41">
                  <c:v>300</c:v>
                </c:pt>
                <c:pt idx="42">
                  <c:v>305</c:v>
                </c:pt>
                <c:pt idx="43">
                  <c:v>310</c:v>
                </c:pt>
                <c:pt idx="44">
                  <c:v>315</c:v>
                </c:pt>
                <c:pt idx="45">
                  <c:v>320</c:v>
                </c:pt>
                <c:pt idx="46">
                  <c:v>325</c:v>
                </c:pt>
                <c:pt idx="47">
                  <c:v>330</c:v>
                </c:pt>
                <c:pt idx="48">
                  <c:v>335</c:v>
                </c:pt>
                <c:pt idx="49">
                  <c:v>340</c:v>
                </c:pt>
                <c:pt idx="50">
                  <c:v>345</c:v>
                </c:pt>
                <c:pt idx="51">
                  <c:v>350</c:v>
                </c:pt>
                <c:pt idx="52">
                  <c:v>355</c:v>
                </c:pt>
              </c:numCache>
            </c:numRef>
          </c:xVal>
          <c:yVal>
            <c:numRef>
              <c:f>'Old Forward Flight  (2)'!$I$21:$I$73</c:f>
              <c:numCache>
                <c:formatCode>General</c:formatCode>
                <c:ptCount val="53"/>
                <c:pt idx="0">
                  <c:v>233.50946144312721</c:v>
                </c:pt>
                <c:pt idx="1">
                  <c:v>210.74228895242234</c:v>
                </c:pt>
                <c:pt idx="2">
                  <c:v>191.14946843757127</c:v>
                </c:pt>
                <c:pt idx="3">
                  <c:v>174.16718095241515</c:v>
                </c:pt>
                <c:pt idx="4">
                  <c:v>159.35144722300367</c:v>
                </c:pt>
                <c:pt idx="5">
                  <c:v>146.34881177251552</c:v>
                </c:pt>
                <c:pt idx="6">
                  <c:v>134.87506492955026</c:v>
                </c:pt>
                <c:pt idx="7">
                  <c:v>124.69957926178837</c:v>
                </c:pt>
                <c:pt idx="8">
                  <c:v>115.63362905482704</c:v>
                </c:pt>
                <c:pt idx="9">
                  <c:v>107.52157599613385</c:v>
                </c:pt>
                <c:pt idx="10">
                  <c:v>100.23414456714497</c:v>
                </c:pt>
                <c:pt idx="11">
                  <c:v>93.663239534409911</c:v>
                </c:pt>
                <c:pt idx="12">
                  <c:v>87.717914236179951</c:v>
                </c:pt>
                <c:pt idx="13">
                  <c:v>82.321206622039981</c:v>
                </c:pt>
                <c:pt idx="14">
                  <c:v>77.407635978851175</c:v>
                </c:pt>
                <c:pt idx="15">
                  <c:v>72.921207249973122</c:v>
                </c:pt>
                <c:pt idx="16">
                  <c:v>68.813808637525668</c:v>
                </c:pt>
                <c:pt idx="17">
                  <c:v>65.043916343340229</c:v>
                </c:pt>
                <c:pt idx="18">
                  <c:v>61.575540964915213</c:v>
                </c:pt>
                <c:pt idx="19">
                  <c:v>58.377365360781802</c:v>
                </c:pt>
                <c:pt idx="20">
                  <c:v>55.4220352274615</c:v>
                </c:pt>
                <c:pt idx="21">
                  <c:v>52.685572238105586</c:v>
                </c:pt>
                <c:pt idx="22">
                  <c:v>50.146886127881587</c:v>
                </c:pt>
                <c:pt idx="23">
                  <c:v>47.787367109392818</c:v>
                </c:pt>
                <c:pt idx="24">
                  <c:v>45.590543851254154</c:v>
                </c:pt>
                <c:pt idx="25">
                  <c:v>43.541795238103788</c:v>
                </c:pt>
                <c:pt idx="26">
                  <c:v>41.628106459737744</c:v>
                </c:pt>
                <c:pt idx="27">
                  <c:v>39.837861805750919</c:v>
                </c:pt>
                <c:pt idx="28">
                  <c:v>38.160667985952436</c:v>
                </c:pt>
                <c:pt idx="29">
                  <c:v>36.587202943128879</c:v>
                </c:pt>
                <c:pt idx="30">
                  <c:v>35.109086039553908</c:v>
                </c:pt>
                <c:pt idx="31">
                  <c:v>33.718766232387566</c:v>
                </c:pt>
                <c:pt idx="32">
                  <c:v>32.4094254444325</c:v>
                </c:pt>
                <c:pt idx="33">
                  <c:v>31.174894815447093</c:v>
                </c:pt>
                <c:pt idx="34">
                  <c:v>30.009581908497307</c:v>
                </c:pt>
                <c:pt idx="35">
                  <c:v>28.90840726370676</c:v>
                </c:pt>
                <c:pt idx="36">
                  <c:v>27.866748952386413</c:v>
                </c:pt>
                <c:pt idx="37">
                  <c:v>26.880393999033462</c:v>
                </c:pt>
                <c:pt idx="38">
                  <c:v>25.945495715903025</c:v>
                </c:pt>
                <c:pt idx="39">
                  <c:v>25.058536141786242</c:v>
                </c:pt>
                <c:pt idx="40">
                  <c:v>24.216292898870709</c:v>
                </c:pt>
                <c:pt idx="41">
                  <c:v>23.415809883602478</c:v>
                </c:pt>
                <c:pt idx="42">
                  <c:v>22.65437129292366</c:v>
                </c:pt>
                <c:pt idx="43">
                  <c:v>21.929478559044988</c:v>
                </c:pt>
                <c:pt idx="44">
                  <c:v>21.238829826396806</c:v>
                </c:pt>
                <c:pt idx="45">
                  <c:v>20.580301655509995</c:v>
                </c:pt>
                <c:pt idx="46">
                  <c:v>19.951932681886138</c:v>
                </c:pt>
                <c:pt idx="47">
                  <c:v>19.351908994712794</c:v>
                </c:pt>
                <c:pt idx="48">
                  <c:v>18.778551031625966</c:v>
                </c:pt>
                <c:pt idx="49">
                  <c:v>18.230301812493281</c:v>
                </c:pt>
                <c:pt idx="50">
                  <c:v>17.70571635811152</c:v>
                </c:pt>
                <c:pt idx="51">
                  <c:v>17.203452159381417</c:v>
                </c:pt>
                <c:pt idx="52">
                  <c:v>16.722260579442359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79F-4BBF-B70E-5AF69348E99F}"/>
            </c:ext>
          </c:extLst>
        </c:ser>
        <c:ser>
          <c:idx val="3"/>
          <c:order val="2"/>
          <c:tx>
            <c:v>Total Power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'Old Forward Flight  (2)'!$D$17:$D$73</c:f>
              <c:numCache>
                <c:formatCode>General</c:formatCode>
                <c:ptCount val="57"/>
                <c:pt idx="0">
                  <c:v>75</c:v>
                </c:pt>
                <c:pt idx="1">
                  <c:v>80</c:v>
                </c:pt>
                <c:pt idx="2">
                  <c:v>85</c:v>
                </c:pt>
                <c:pt idx="3">
                  <c:v>90</c:v>
                </c:pt>
                <c:pt idx="4">
                  <c:v>95</c:v>
                </c:pt>
                <c:pt idx="5">
                  <c:v>100</c:v>
                </c:pt>
                <c:pt idx="6">
                  <c:v>105</c:v>
                </c:pt>
                <c:pt idx="7">
                  <c:v>110</c:v>
                </c:pt>
                <c:pt idx="8">
                  <c:v>115</c:v>
                </c:pt>
                <c:pt idx="9">
                  <c:v>120</c:v>
                </c:pt>
                <c:pt idx="10">
                  <c:v>125</c:v>
                </c:pt>
                <c:pt idx="11">
                  <c:v>130</c:v>
                </c:pt>
                <c:pt idx="12">
                  <c:v>135</c:v>
                </c:pt>
                <c:pt idx="13">
                  <c:v>140</c:v>
                </c:pt>
                <c:pt idx="14">
                  <c:v>145</c:v>
                </c:pt>
                <c:pt idx="15">
                  <c:v>150</c:v>
                </c:pt>
                <c:pt idx="16">
                  <c:v>155</c:v>
                </c:pt>
                <c:pt idx="17">
                  <c:v>160</c:v>
                </c:pt>
                <c:pt idx="18">
                  <c:v>165</c:v>
                </c:pt>
                <c:pt idx="19">
                  <c:v>170</c:v>
                </c:pt>
                <c:pt idx="20">
                  <c:v>175</c:v>
                </c:pt>
                <c:pt idx="21">
                  <c:v>180</c:v>
                </c:pt>
                <c:pt idx="22">
                  <c:v>185</c:v>
                </c:pt>
                <c:pt idx="23">
                  <c:v>190</c:v>
                </c:pt>
                <c:pt idx="24">
                  <c:v>195</c:v>
                </c:pt>
                <c:pt idx="25">
                  <c:v>200</c:v>
                </c:pt>
                <c:pt idx="26">
                  <c:v>205</c:v>
                </c:pt>
                <c:pt idx="27">
                  <c:v>210</c:v>
                </c:pt>
                <c:pt idx="28">
                  <c:v>215</c:v>
                </c:pt>
                <c:pt idx="29">
                  <c:v>220</c:v>
                </c:pt>
                <c:pt idx="30">
                  <c:v>225</c:v>
                </c:pt>
                <c:pt idx="31">
                  <c:v>230</c:v>
                </c:pt>
                <c:pt idx="32">
                  <c:v>235</c:v>
                </c:pt>
                <c:pt idx="33">
                  <c:v>240</c:v>
                </c:pt>
                <c:pt idx="34">
                  <c:v>245</c:v>
                </c:pt>
                <c:pt idx="35">
                  <c:v>250</c:v>
                </c:pt>
                <c:pt idx="36">
                  <c:v>255</c:v>
                </c:pt>
                <c:pt idx="37">
                  <c:v>260</c:v>
                </c:pt>
                <c:pt idx="38">
                  <c:v>265</c:v>
                </c:pt>
                <c:pt idx="39">
                  <c:v>270</c:v>
                </c:pt>
                <c:pt idx="40">
                  <c:v>275</c:v>
                </c:pt>
                <c:pt idx="41">
                  <c:v>280</c:v>
                </c:pt>
                <c:pt idx="42">
                  <c:v>285</c:v>
                </c:pt>
                <c:pt idx="43">
                  <c:v>290</c:v>
                </c:pt>
                <c:pt idx="44">
                  <c:v>295</c:v>
                </c:pt>
                <c:pt idx="45">
                  <c:v>300</c:v>
                </c:pt>
                <c:pt idx="46">
                  <c:v>305</c:v>
                </c:pt>
                <c:pt idx="47">
                  <c:v>310</c:v>
                </c:pt>
                <c:pt idx="48">
                  <c:v>315</c:v>
                </c:pt>
                <c:pt idx="49">
                  <c:v>320</c:v>
                </c:pt>
                <c:pt idx="50">
                  <c:v>325</c:v>
                </c:pt>
                <c:pt idx="51">
                  <c:v>330</c:v>
                </c:pt>
                <c:pt idx="52">
                  <c:v>335</c:v>
                </c:pt>
                <c:pt idx="53">
                  <c:v>340</c:v>
                </c:pt>
                <c:pt idx="54">
                  <c:v>345</c:v>
                </c:pt>
                <c:pt idx="55">
                  <c:v>350</c:v>
                </c:pt>
                <c:pt idx="56">
                  <c:v>355</c:v>
                </c:pt>
              </c:numCache>
            </c:numRef>
          </c:xVal>
          <c:yVal>
            <c:numRef>
              <c:f>'Old Forward Flight  (2)'!$J$17:$J$73</c:f>
              <c:numCache>
                <c:formatCode>General</c:formatCode>
                <c:ptCount val="57"/>
                <c:pt idx="0">
                  <c:v>390.53532045789586</c:v>
                </c:pt>
                <c:pt idx="1">
                  <c:v>347.35542539476256</c:v>
                </c:pt>
                <c:pt idx="2">
                  <c:v>312.0848410467994</c:v>
                </c:pt>
                <c:pt idx="3">
                  <c:v>283.04626711452988</c:v>
                </c:pt>
                <c:pt idx="4">
                  <c:v>258.99182943251611</c:v>
                </c:pt>
                <c:pt idx="5">
                  <c:v>238.977599743989</c:v>
                </c:pt>
                <c:pt idx="6">
                  <c:v>222.27889858527351</c:v>
                </c:pt>
                <c:pt idx="7">
                  <c:v>208.33190701021081</c:v>
                </c:pt>
                <c:pt idx="8">
                  <c:v>196.69264574485058</c:v>
                </c:pt>
                <c:pt idx="9">
                  <c:v>187.00765931237152</c:v>
                </c:pt>
                <c:pt idx="10">
                  <c:v>178.99273804137317</c:v>
                </c:pt>
                <c:pt idx="11">
                  <c:v>172.41725449953603</c:v>
                </c:pt>
                <c:pt idx="12">
                  <c:v>167.09248297245728</c:v>
                </c:pt>
                <c:pt idx="13">
                  <c:v>162.86278514760451</c:v>
                </c:pt>
                <c:pt idx="14">
                  <c:v>159.59888550641389</c:v>
                </c:pt>
                <c:pt idx="15">
                  <c:v>157.19268881543491</c:v>
                </c:pt>
                <c:pt idx="16">
                  <c:v>155.55324841291886</c:v>
                </c:pt>
                <c:pt idx="17">
                  <c:v>154.60360224845064</c:v>
                </c:pt>
                <c:pt idx="18">
                  <c:v>154.27826960889143</c:v>
                </c:pt>
                <c:pt idx="19">
                  <c:v>154.52125543760079</c:v>
                </c:pt>
                <c:pt idx="20">
                  <c:v>155.2844479366986</c:v>
                </c:pt>
                <c:pt idx="21">
                  <c:v>156.52632330801623</c:v>
                </c:pt>
                <c:pt idx="22">
                  <c:v>158.21089214905211</c:v>
                </c:pt>
                <c:pt idx="23">
                  <c:v>160.30683731833744</c:v>
                </c:pt>
                <c:pt idx="24">
                  <c:v>162.78680451239373</c:v>
                </c:pt>
                <c:pt idx="25">
                  <c:v>165.62681540437222</c:v>
                </c:pt>
                <c:pt idx="26">
                  <c:v>168.80577972944047</c:v>
                </c:pt>
                <c:pt idx="27">
                  <c:v>172.30508770020182</c:v>
                </c:pt>
                <c:pt idx="28">
                  <c:v>176.10826798527106</c:v>
                </c:pt>
                <c:pt idx="29">
                  <c:v>180.20069946928643</c:v>
                </c:pt>
                <c:pt idx="30">
                  <c:v>184.56936734204399</c:v>
                </c:pt>
                <c:pt idx="31">
                  <c:v>189.20265589313857</c:v>
                </c:pt>
                <c:pt idx="32">
                  <c:v>194.09017183237935</c:v>
                </c:pt>
                <c:pt idx="33">
                  <c:v>199.22259310255288</c:v>
                </c:pt>
                <c:pt idx="34">
                  <c:v>204.59153906593281</c:v>
                </c:pt>
                <c:pt idx="35">
                  <c:v>210.18945867967923</c:v>
                </c:pt>
                <c:pt idx="36">
                  <c:v>216.00953386659472</c:v>
                </c:pt>
                <c:pt idx="37">
                  <c:v>222.04559576643774</c:v>
                </c:pt>
                <c:pt idx="38">
                  <c:v>228.29205194227421</c:v>
                </c:pt>
                <c:pt idx="39">
                  <c:v>234.74382293422775</c:v>
                </c:pt>
                <c:pt idx="40">
                  <c:v>241.39628681360935</c:v>
                </c:pt>
                <c:pt idx="41">
                  <c:v>248.24523060491612</c:v>
                </c:pt>
                <c:pt idx="42">
                  <c:v>255.28680762040329</c:v>
                </c:pt>
                <c:pt idx="43">
                  <c:v>262.5174998988619</c:v>
                </c:pt>
                <c:pt idx="44">
                  <c:v>269.93408506247965</c:v>
                </c:pt>
                <c:pt idx="45">
                  <c:v>277.53360700770247</c:v>
                </c:pt>
                <c:pt idx="46">
                  <c:v>285.31334993147254</c:v>
                </c:pt>
                <c:pt idx="47">
                  <c:v>293.27081526600062</c:v>
                </c:pt>
                <c:pt idx="48">
                  <c:v>301.40370115571704</c:v>
                </c:pt>
                <c:pt idx="49">
                  <c:v>309.70988416115262</c:v>
                </c:pt>
                <c:pt idx="50">
                  <c:v>318.1874029178091</c:v>
                </c:pt>
                <c:pt idx="51">
                  <c:v>326.83444351487378</c:v>
                </c:pt>
                <c:pt idx="52">
                  <c:v>335.64932638998289</c:v>
                </c:pt>
                <c:pt idx="53">
                  <c:v>344.63049456300394</c:v>
                </c:pt>
                <c:pt idx="54">
                  <c:v>353.77650305473378</c:v>
                </c:pt>
                <c:pt idx="55">
                  <c:v>363.08600935607308</c:v>
                </c:pt>
                <c:pt idx="56">
                  <c:v>372.55776483016132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79F-4BBF-B70E-5AF69348E99F}"/>
            </c:ext>
          </c:extLst>
        </c:ser>
        <c:ser>
          <c:idx val="4"/>
          <c:order val="3"/>
          <c:tx>
            <c:v>Power Available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'Old Forward Flight  (2)'!$D$17:$D$73</c:f>
              <c:numCache>
                <c:formatCode>General</c:formatCode>
                <c:ptCount val="57"/>
                <c:pt idx="0">
                  <c:v>75</c:v>
                </c:pt>
                <c:pt idx="1">
                  <c:v>80</c:v>
                </c:pt>
                <c:pt idx="2">
                  <c:v>85</c:v>
                </c:pt>
                <c:pt idx="3">
                  <c:v>90</c:v>
                </c:pt>
                <c:pt idx="4">
                  <c:v>95</c:v>
                </c:pt>
                <c:pt idx="5">
                  <c:v>100</c:v>
                </c:pt>
                <c:pt idx="6">
                  <c:v>105</c:v>
                </c:pt>
                <c:pt idx="7">
                  <c:v>110</c:v>
                </c:pt>
                <c:pt idx="8">
                  <c:v>115</c:v>
                </c:pt>
                <c:pt idx="9">
                  <c:v>120</c:v>
                </c:pt>
                <c:pt idx="10">
                  <c:v>125</c:v>
                </c:pt>
                <c:pt idx="11">
                  <c:v>130</c:v>
                </c:pt>
                <c:pt idx="12">
                  <c:v>135</c:v>
                </c:pt>
                <c:pt idx="13">
                  <c:v>140</c:v>
                </c:pt>
                <c:pt idx="14">
                  <c:v>145</c:v>
                </c:pt>
                <c:pt idx="15">
                  <c:v>150</c:v>
                </c:pt>
                <c:pt idx="16">
                  <c:v>155</c:v>
                </c:pt>
                <c:pt idx="17">
                  <c:v>160</c:v>
                </c:pt>
                <c:pt idx="18">
                  <c:v>165</c:v>
                </c:pt>
                <c:pt idx="19">
                  <c:v>170</c:v>
                </c:pt>
                <c:pt idx="20">
                  <c:v>175</c:v>
                </c:pt>
                <c:pt idx="21">
                  <c:v>180</c:v>
                </c:pt>
                <c:pt idx="22">
                  <c:v>185</c:v>
                </c:pt>
                <c:pt idx="23">
                  <c:v>190</c:v>
                </c:pt>
                <c:pt idx="24">
                  <c:v>195</c:v>
                </c:pt>
                <c:pt idx="25">
                  <c:v>200</c:v>
                </c:pt>
                <c:pt idx="26">
                  <c:v>205</c:v>
                </c:pt>
                <c:pt idx="27">
                  <c:v>210</c:v>
                </c:pt>
                <c:pt idx="28">
                  <c:v>215</c:v>
                </c:pt>
                <c:pt idx="29">
                  <c:v>220</c:v>
                </c:pt>
                <c:pt idx="30">
                  <c:v>225</c:v>
                </c:pt>
                <c:pt idx="31">
                  <c:v>230</c:v>
                </c:pt>
                <c:pt idx="32">
                  <c:v>235</c:v>
                </c:pt>
                <c:pt idx="33">
                  <c:v>240</c:v>
                </c:pt>
                <c:pt idx="34">
                  <c:v>245</c:v>
                </c:pt>
                <c:pt idx="35">
                  <c:v>250</c:v>
                </c:pt>
                <c:pt idx="36">
                  <c:v>255</c:v>
                </c:pt>
                <c:pt idx="37">
                  <c:v>260</c:v>
                </c:pt>
                <c:pt idx="38">
                  <c:v>265</c:v>
                </c:pt>
                <c:pt idx="39">
                  <c:v>270</c:v>
                </c:pt>
                <c:pt idx="40">
                  <c:v>275</c:v>
                </c:pt>
                <c:pt idx="41">
                  <c:v>280</c:v>
                </c:pt>
                <c:pt idx="42">
                  <c:v>285</c:v>
                </c:pt>
                <c:pt idx="43">
                  <c:v>290</c:v>
                </c:pt>
                <c:pt idx="44">
                  <c:v>295</c:v>
                </c:pt>
                <c:pt idx="45">
                  <c:v>300</c:v>
                </c:pt>
                <c:pt idx="46">
                  <c:v>305</c:v>
                </c:pt>
                <c:pt idx="47">
                  <c:v>310</c:v>
                </c:pt>
                <c:pt idx="48">
                  <c:v>315</c:v>
                </c:pt>
                <c:pt idx="49">
                  <c:v>320</c:v>
                </c:pt>
                <c:pt idx="50">
                  <c:v>325</c:v>
                </c:pt>
                <c:pt idx="51">
                  <c:v>330</c:v>
                </c:pt>
                <c:pt idx="52">
                  <c:v>335</c:v>
                </c:pt>
                <c:pt idx="53">
                  <c:v>340</c:v>
                </c:pt>
                <c:pt idx="54">
                  <c:v>345</c:v>
                </c:pt>
                <c:pt idx="55">
                  <c:v>350</c:v>
                </c:pt>
                <c:pt idx="56">
                  <c:v>355</c:v>
                </c:pt>
              </c:numCache>
            </c:numRef>
          </c:xVal>
          <c:yVal>
            <c:numRef>
              <c:f>'Old Forward Flight  (2)'!$K$17:$K$73</c:f>
              <c:numCache>
                <c:formatCode>General</c:formatCode>
                <c:ptCount val="57"/>
                <c:pt idx="0">
                  <c:v>285.31334993147254</c:v>
                </c:pt>
                <c:pt idx="1">
                  <c:v>285.31334993147254</c:v>
                </c:pt>
                <c:pt idx="2">
                  <c:v>285.31334993147254</c:v>
                </c:pt>
                <c:pt idx="3">
                  <c:v>285.31334993147254</c:v>
                </c:pt>
                <c:pt idx="4">
                  <c:v>285.31334993147254</c:v>
                </c:pt>
                <c:pt idx="5">
                  <c:v>285.31334993147254</c:v>
                </c:pt>
                <c:pt idx="6">
                  <c:v>285.31334993147254</c:v>
                </c:pt>
                <c:pt idx="7">
                  <c:v>285.31334993147254</c:v>
                </c:pt>
                <c:pt idx="8">
                  <c:v>285.31334993147254</c:v>
                </c:pt>
                <c:pt idx="9">
                  <c:v>285.31334993147254</c:v>
                </c:pt>
                <c:pt idx="10">
                  <c:v>285.31334993147254</c:v>
                </c:pt>
                <c:pt idx="11">
                  <c:v>285.31334993147254</c:v>
                </c:pt>
                <c:pt idx="12">
                  <c:v>285.31334993147254</c:v>
                </c:pt>
                <c:pt idx="13">
                  <c:v>285.31334993147254</c:v>
                </c:pt>
                <c:pt idx="14">
                  <c:v>285.31334993147254</c:v>
                </c:pt>
                <c:pt idx="15">
                  <c:v>285.31334993147254</c:v>
                </c:pt>
                <c:pt idx="16">
                  <c:v>285.31334993147254</c:v>
                </c:pt>
                <c:pt idx="17">
                  <c:v>285.31334993147254</c:v>
                </c:pt>
                <c:pt idx="18">
                  <c:v>285.31334993147254</c:v>
                </c:pt>
                <c:pt idx="19">
                  <c:v>285.31334993147254</c:v>
                </c:pt>
                <c:pt idx="20">
                  <c:v>285.31334993147254</c:v>
                </c:pt>
                <c:pt idx="21">
                  <c:v>285.31334993147254</c:v>
                </c:pt>
                <c:pt idx="22">
                  <c:v>285.31334993147254</c:v>
                </c:pt>
                <c:pt idx="23">
                  <c:v>285.31334993147254</c:v>
                </c:pt>
                <c:pt idx="24">
                  <c:v>285.31334993147254</c:v>
                </c:pt>
                <c:pt idx="25">
                  <c:v>285.31334993147254</c:v>
                </c:pt>
                <c:pt idx="26">
                  <c:v>285.31334993147254</c:v>
                </c:pt>
                <c:pt idx="27">
                  <c:v>285.31334993147254</c:v>
                </c:pt>
                <c:pt idx="28">
                  <c:v>285.31334993147254</c:v>
                </c:pt>
                <c:pt idx="29">
                  <c:v>285.31334993147254</c:v>
                </c:pt>
                <c:pt idx="30">
                  <c:v>285.31334993147254</c:v>
                </c:pt>
                <c:pt idx="31">
                  <c:v>285.31334993147254</c:v>
                </c:pt>
                <c:pt idx="32">
                  <c:v>285.31334993147254</c:v>
                </c:pt>
                <c:pt idx="33">
                  <c:v>285.31334993147254</c:v>
                </c:pt>
                <c:pt idx="34">
                  <c:v>285.31334993147254</c:v>
                </c:pt>
                <c:pt idx="35">
                  <c:v>285.31334993147254</c:v>
                </c:pt>
                <c:pt idx="36">
                  <c:v>285.31334993147254</c:v>
                </c:pt>
                <c:pt idx="37">
                  <c:v>285.31334993147254</c:v>
                </c:pt>
                <c:pt idx="38">
                  <c:v>285.31334993147254</c:v>
                </c:pt>
                <c:pt idx="39">
                  <c:v>285.31334993147254</c:v>
                </c:pt>
                <c:pt idx="40">
                  <c:v>285.31334993147254</c:v>
                </c:pt>
                <c:pt idx="41">
                  <c:v>285.31334993147254</c:v>
                </c:pt>
                <c:pt idx="42">
                  <c:v>285.31334993147254</c:v>
                </c:pt>
                <c:pt idx="43">
                  <c:v>285.31334993147254</c:v>
                </c:pt>
                <c:pt idx="44">
                  <c:v>285.31334993147254</c:v>
                </c:pt>
                <c:pt idx="45">
                  <c:v>285.31334993147254</c:v>
                </c:pt>
                <c:pt idx="46">
                  <c:v>285.31334993147254</c:v>
                </c:pt>
                <c:pt idx="47">
                  <c:v>285.31334993147254</c:v>
                </c:pt>
                <c:pt idx="48">
                  <c:v>285.31334993147254</c:v>
                </c:pt>
                <c:pt idx="49">
                  <c:v>285.31334993147254</c:v>
                </c:pt>
                <c:pt idx="50">
                  <c:v>285.31334993147254</c:v>
                </c:pt>
                <c:pt idx="51">
                  <c:v>285.31334993147254</c:v>
                </c:pt>
                <c:pt idx="52">
                  <c:v>285.31334993147254</c:v>
                </c:pt>
                <c:pt idx="53">
                  <c:v>285.31334993147254</c:v>
                </c:pt>
                <c:pt idx="54">
                  <c:v>285.31334993147254</c:v>
                </c:pt>
                <c:pt idx="55">
                  <c:v>285.31334993147254</c:v>
                </c:pt>
                <c:pt idx="56">
                  <c:v>285.31334993147254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79F-4BBF-B70E-5AF69348E99F}"/>
            </c:ext>
          </c:extLst>
        </c:ser>
        <c:ser>
          <c:idx val="7"/>
          <c:order val="4"/>
          <c:tx>
            <c:v>Total Power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'Old Forward Flight  (2)'!$D$17:$D$73</c:f>
              <c:numCache>
                <c:formatCode>General</c:formatCode>
                <c:ptCount val="57"/>
                <c:pt idx="0">
                  <c:v>75</c:v>
                </c:pt>
                <c:pt idx="1">
                  <c:v>80</c:v>
                </c:pt>
                <c:pt idx="2">
                  <c:v>85</c:v>
                </c:pt>
                <c:pt idx="3">
                  <c:v>90</c:v>
                </c:pt>
                <c:pt idx="4">
                  <c:v>95</c:v>
                </c:pt>
                <c:pt idx="5">
                  <c:v>100</c:v>
                </c:pt>
                <c:pt idx="6">
                  <c:v>105</c:v>
                </c:pt>
                <c:pt idx="7">
                  <c:v>110</c:v>
                </c:pt>
                <c:pt idx="8">
                  <c:v>115</c:v>
                </c:pt>
                <c:pt idx="9">
                  <c:v>120</c:v>
                </c:pt>
                <c:pt idx="10">
                  <c:v>125</c:v>
                </c:pt>
                <c:pt idx="11">
                  <c:v>130</c:v>
                </c:pt>
                <c:pt idx="12">
                  <c:v>135</c:v>
                </c:pt>
                <c:pt idx="13">
                  <c:v>140</c:v>
                </c:pt>
                <c:pt idx="14">
                  <c:v>145</c:v>
                </c:pt>
                <c:pt idx="15">
                  <c:v>150</c:v>
                </c:pt>
                <c:pt idx="16">
                  <c:v>155</c:v>
                </c:pt>
                <c:pt idx="17">
                  <c:v>160</c:v>
                </c:pt>
                <c:pt idx="18">
                  <c:v>165</c:v>
                </c:pt>
                <c:pt idx="19">
                  <c:v>170</c:v>
                </c:pt>
                <c:pt idx="20">
                  <c:v>175</c:v>
                </c:pt>
                <c:pt idx="21">
                  <c:v>180</c:v>
                </c:pt>
                <c:pt idx="22">
                  <c:v>185</c:v>
                </c:pt>
                <c:pt idx="23">
                  <c:v>190</c:v>
                </c:pt>
                <c:pt idx="24">
                  <c:v>195</c:v>
                </c:pt>
                <c:pt idx="25">
                  <c:v>200</c:v>
                </c:pt>
                <c:pt idx="26">
                  <c:v>205</c:v>
                </c:pt>
                <c:pt idx="27">
                  <c:v>210</c:v>
                </c:pt>
                <c:pt idx="28">
                  <c:v>215</c:v>
                </c:pt>
                <c:pt idx="29">
                  <c:v>220</c:v>
                </c:pt>
                <c:pt idx="30">
                  <c:v>225</c:v>
                </c:pt>
                <c:pt idx="31">
                  <c:v>230</c:v>
                </c:pt>
                <c:pt idx="32">
                  <c:v>235</c:v>
                </c:pt>
                <c:pt idx="33">
                  <c:v>240</c:v>
                </c:pt>
                <c:pt idx="34">
                  <c:v>245</c:v>
                </c:pt>
                <c:pt idx="35">
                  <c:v>250</c:v>
                </c:pt>
                <c:pt idx="36">
                  <c:v>255</c:v>
                </c:pt>
                <c:pt idx="37">
                  <c:v>260</c:v>
                </c:pt>
                <c:pt idx="38">
                  <c:v>265</c:v>
                </c:pt>
                <c:pt idx="39">
                  <c:v>270</c:v>
                </c:pt>
                <c:pt idx="40">
                  <c:v>275</c:v>
                </c:pt>
                <c:pt idx="41">
                  <c:v>280</c:v>
                </c:pt>
                <c:pt idx="42">
                  <c:v>285</c:v>
                </c:pt>
                <c:pt idx="43">
                  <c:v>290</c:v>
                </c:pt>
                <c:pt idx="44">
                  <c:v>295</c:v>
                </c:pt>
                <c:pt idx="45">
                  <c:v>300</c:v>
                </c:pt>
                <c:pt idx="46">
                  <c:v>305</c:v>
                </c:pt>
                <c:pt idx="47">
                  <c:v>310</c:v>
                </c:pt>
                <c:pt idx="48">
                  <c:v>315</c:v>
                </c:pt>
                <c:pt idx="49">
                  <c:v>320</c:v>
                </c:pt>
                <c:pt idx="50">
                  <c:v>325</c:v>
                </c:pt>
                <c:pt idx="51">
                  <c:v>330</c:v>
                </c:pt>
                <c:pt idx="52">
                  <c:v>335</c:v>
                </c:pt>
                <c:pt idx="53">
                  <c:v>340</c:v>
                </c:pt>
                <c:pt idx="54">
                  <c:v>345</c:v>
                </c:pt>
                <c:pt idx="55">
                  <c:v>350</c:v>
                </c:pt>
                <c:pt idx="56">
                  <c:v>355</c:v>
                </c:pt>
              </c:numCache>
            </c:numRef>
          </c:xVal>
          <c:yVal>
            <c:numRef>
              <c:f>'Old Forward Flight  (2)'!$J$17:$J$73</c:f>
              <c:numCache>
                <c:formatCode>General</c:formatCode>
                <c:ptCount val="57"/>
                <c:pt idx="0">
                  <c:v>390.53532045789586</c:v>
                </c:pt>
                <c:pt idx="1">
                  <c:v>347.35542539476256</c:v>
                </c:pt>
                <c:pt idx="2">
                  <c:v>312.0848410467994</c:v>
                </c:pt>
                <c:pt idx="3">
                  <c:v>283.04626711452988</c:v>
                </c:pt>
                <c:pt idx="4">
                  <c:v>258.99182943251611</c:v>
                </c:pt>
                <c:pt idx="5">
                  <c:v>238.977599743989</c:v>
                </c:pt>
                <c:pt idx="6">
                  <c:v>222.27889858527351</c:v>
                </c:pt>
                <c:pt idx="7">
                  <c:v>208.33190701021081</c:v>
                </c:pt>
                <c:pt idx="8">
                  <c:v>196.69264574485058</c:v>
                </c:pt>
                <c:pt idx="9">
                  <c:v>187.00765931237152</c:v>
                </c:pt>
                <c:pt idx="10">
                  <c:v>178.99273804137317</c:v>
                </c:pt>
                <c:pt idx="11">
                  <c:v>172.41725449953603</c:v>
                </c:pt>
                <c:pt idx="12">
                  <c:v>167.09248297245728</c:v>
                </c:pt>
                <c:pt idx="13">
                  <c:v>162.86278514760451</c:v>
                </c:pt>
                <c:pt idx="14">
                  <c:v>159.59888550641389</c:v>
                </c:pt>
                <c:pt idx="15">
                  <c:v>157.19268881543491</c:v>
                </c:pt>
                <c:pt idx="16">
                  <c:v>155.55324841291886</c:v>
                </c:pt>
                <c:pt idx="17">
                  <c:v>154.60360224845064</c:v>
                </c:pt>
                <c:pt idx="18">
                  <c:v>154.27826960889143</c:v>
                </c:pt>
                <c:pt idx="19">
                  <c:v>154.52125543760079</c:v>
                </c:pt>
                <c:pt idx="20">
                  <c:v>155.2844479366986</c:v>
                </c:pt>
                <c:pt idx="21">
                  <c:v>156.52632330801623</c:v>
                </c:pt>
                <c:pt idx="22">
                  <c:v>158.21089214905211</c:v>
                </c:pt>
                <c:pt idx="23">
                  <c:v>160.30683731833744</c:v>
                </c:pt>
                <c:pt idx="24">
                  <c:v>162.78680451239373</c:v>
                </c:pt>
                <c:pt idx="25">
                  <c:v>165.62681540437222</c:v>
                </c:pt>
                <c:pt idx="26">
                  <c:v>168.80577972944047</c:v>
                </c:pt>
                <c:pt idx="27">
                  <c:v>172.30508770020182</c:v>
                </c:pt>
                <c:pt idx="28">
                  <c:v>176.10826798527106</c:v>
                </c:pt>
                <c:pt idx="29">
                  <c:v>180.20069946928643</c:v>
                </c:pt>
                <c:pt idx="30">
                  <c:v>184.56936734204399</c:v>
                </c:pt>
                <c:pt idx="31">
                  <c:v>189.20265589313857</c:v>
                </c:pt>
                <c:pt idx="32">
                  <c:v>194.09017183237935</c:v>
                </c:pt>
                <c:pt idx="33">
                  <c:v>199.22259310255288</c:v>
                </c:pt>
                <c:pt idx="34">
                  <c:v>204.59153906593281</c:v>
                </c:pt>
                <c:pt idx="35">
                  <c:v>210.18945867967923</c:v>
                </c:pt>
                <c:pt idx="36">
                  <c:v>216.00953386659472</c:v>
                </c:pt>
                <c:pt idx="37">
                  <c:v>222.04559576643774</c:v>
                </c:pt>
                <c:pt idx="38">
                  <c:v>228.29205194227421</c:v>
                </c:pt>
                <c:pt idx="39">
                  <c:v>234.74382293422775</c:v>
                </c:pt>
                <c:pt idx="40">
                  <c:v>241.39628681360935</c:v>
                </c:pt>
                <c:pt idx="41">
                  <c:v>248.24523060491612</c:v>
                </c:pt>
                <c:pt idx="42">
                  <c:v>255.28680762040329</c:v>
                </c:pt>
                <c:pt idx="43">
                  <c:v>262.5174998988619</c:v>
                </c:pt>
                <c:pt idx="44">
                  <c:v>269.93408506247965</c:v>
                </c:pt>
                <c:pt idx="45">
                  <c:v>277.53360700770247</c:v>
                </c:pt>
                <c:pt idx="46">
                  <c:v>285.31334993147254</c:v>
                </c:pt>
                <c:pt idx="47">
                  <c:v>293.27081526600062</c:v>
                </c:pt>
                <c:pt idx="48">
                  <c:v>301.40370115571704</c:v>
                </c:pt>
                <c:pt idx="49">
                  <c:v>309.70988416115262</c:v>
                </c:pt>
                <c:pt idx="50">
                  <c:v>318.1874029178091</c:v>
                </c:pt>
                <c:pt idx="51">
                  <c:v>326.83444351487378</c:v>
                </c:pt>
                <c:pt idx="52">
                  <c:v>335.64932638998289</c:v>
                </c:pt>
                <c:pt idx="53">
                  <c:v>344.63049456300394</c:v>
                </c:pt>
                <c:pt idx="54">
                  <c:v>353.77650305473378</c:v>
                </c:pt>
                <c:pt idx="55">
                  <c:v>363.08600935607308</c:v>
                </c:pt>
                <c:pt idx="56">
                  <c:v>372.55776483016132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79F-4BBF-B70E-5AF69348E99F}"/>
            </c:ext>
          </c:extLst>
        </c:ser>
        <c:ser>
          <c:idx val="1"/>
          <c:order val="5"/>
          <c:tx>
            <c:strRef>
              <c:f>[2]Sheet1!$J$15</c:f>
              <c:strCache>
                <c:ptCount val="1"/>
                <c:pt idx="0">
                  <c:v>P_req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[2]Sheet1!$A$16:$A$30</c:f>
              <c:numCache>
                <c:formatCode>General</c:formatCode>
                <c:ptCount val="15"/>
                <c:pt idx="0">
                  <c:v>0</c:v>
                </c:pt>
                <c:pt idx="1">
                  <c:v>12.5</c:v>
                </c:pt>
                <c:pt idx="2">
                  <c:v>25</c:v>
                </c:pt>
                <c:pt idx="3">
                  <c:v>37.5</c:v>
                </c:pt>
                <c:pt idx="4">
                  <c:v>50</c:v>
                </c:pt>
                <c:pt idx="5">
                  <c:v>62.5</c:v>
                </c:pt>
                <c:pt idx="6">
                  <c:v>75</c:v>
                </c:pt>
                <c:pt idx="7">
                  <c:v>87.5</c:v>
                </c:pt>
                <c:pt idx="8">
                  <c:v>100</c:v>
                </c:pt>
                <c:pt idx="9">
                  <c:v>112.5</c:v>
                </c:pt>
                <c:pt idx="10">
                  <c:v>125</c:v>
                </c:pt>
                <c:pt idx="11">
                  <c:v>137.5</c:v>
                </c:pt>
                <c:pt idx="12">
                  <c:v>150</c:v>
                </c:pt>
                <c:pt idx="13">
                  <c:v>162.5</c:v>
                </c:pt>
                <c:pt idx="14">
                  <c:v>175</c:v>
                </c:pt>
              </c:numCache>
            </c:numRef>
          </c:xVal>
          <c:yVal>
            <c:numRef>
              <c:f>[2]Sheet1!$J$16:$J$30</c:f>
              <c:numCache>
                <c:formatCode>General</c:formatCode>
                <c:ptCount val="15"/>
                <c:pt idx="0">
                  <c:v>345.87804023492026</c:v>
                </c:pt>
                <c:pt idx="1">
                  <c:v>344.68794316768503</c:v>
                </c:pt>
                <c:pt idx="2">
                  <c:v>341.32015291098935</c:v>
                </c:pt>
                <c:pt idx="3">
                  <c:v>336.13281245134783</c:v>
                </c:pt>
                <c:pt idx="4">
                  <c:v>329.56547281986508</c:v>
                </c:pt>
                <c:pt idx="5">
                  <c:v>322.15086772362093</c:v>
                </c:pt>
                <c:pt idx="6">
                  <c:v>314.51987500586324</c:v>
                </c:pt>
                <c:pt idx="7">
                  <c:v>307.38914513575935</c:v>
                </c:pt>
                <c:pt idx="8">
                  <c:v>301.52436557901871</c:v>
                </c:pt>
                <c:pt idx="9">
                  <c:v>297.68328637858838</c:v>
                </c:pt>
                <c:pt idx="10">
                  <c:v>296.55585346032882</c:v>
                </c:pt>
                <c:pt idx="11">
                  <c:v>298.72270681496366</c:v>
                </c:pt>
                <c:pt idx="12">
                  <c:v>304.64327006089599</c:v>
                </c:pt>
                <c:pt idx="13">
                  <c:v>314.6694845937842</c:v>
                </c:pt>
                <c:pt idx="14">
                  <c:v>329.07267372027451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79F-4BBF-B70E-5AF69348E9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749576"/>
        <c:axId val="34746832"/>
      </c:scatterChart>
      <c:valAx>
        <c:axId val="34749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Flight Speed (knots)</a:t>
                </a:r>
              </a:p>
            </c:rich>
          </c:tx>
          <c:layout>
            <c:manualLayout>
              <c:xMode val="edge"/>
              <c:yMode val="edge"/>
              <c:x val="0.44307361109826021"/>
              <c:y val="0.9030031723488144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46832"/>
        <c:crosses val="autoZero"/>
        <c:crossBetween val="midCat"/>
      </c:valAx>
      <c:valAx>
        <c:axId val="3474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</a:t>
                </a:r>
                <a:r>
                  <a:rPr lang="en-US" baseline="0"/>
                  <a:t> (HP)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6.3919396973145692E-2"/>
              <c:y val="0.3543601811046828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495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6292303590806518"/>
          <c:y val="0.33983373092030922"/>
          <c:w val="0.12992388826933113"/>
          <c:h val="0.320332538159381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'Old Forward Flight  (2)'!$D$2:$D$73</c:f>
              <c:numCache>
                <c:formatCode>General</c:formatCode>
                <c:ptCount val="7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</c:numCache>
            </c:numRef>
          </c:xVal>
          <c:yVal>
            <c:numRef>
              <c:f>'Old Forward Flight  (2)'!$L$2:$L$73</c:f>
              <c:numCache>
                <c:formatCode>General</c:formatCode>
                <c:ptCount val="72"/>
                <c:pt idx="1">
                  <c:v>5.9314101573706682E-5</c:v>
                </c:pt>
                <c:pt idx="2">
                  <c:v>4.7450685247957361E-4</c:v>
                </c:pt>
                <c:pt idx="3">
                  <c:v>1.6013734663475508E-3</c:v>
                </c:pt>
                <c:pt idx="4">
                  <c:v>3.7952920886130466E-3</c:v>
                </c:pt>
                <c:pt idx="5">
                  <c:v>7.410390599758984E-3</c:v>
                </c:pt>
                <c:pt idx="6">
                  <c:v>1.2797967798303569E-2</c:v>
                </c:pt>
                <c:pt idx="7">
                  <c:v>2.0303931976710567E-2</c:v>
                </c:pt>
                <c:pt idx="8">
                  <c:v>3.0265039523392247E-2</c:v>
                </c:pt>
                <c:pt idx="9">
                  <c:v>4.3003752399508682E-2</c:v>
                </c:pt>
                <c:pt idx="10">
                  <c:v>5.882159290059899E-2</c:v>
                </c:pt>
                <c:pt idx="11">
                  <c:v>7.799096351989325E-2</c:v>
                </c:pt>
                <c:pt idx="12">
                  <c:v>0.10074552376432681</c:v>
                </c:pt>
                <c:pt idx="13">
                  <c:v>0.12726937551371137</c:v>
                </c:pt>
                <c:pt idx="14">
                  <c:v>0.15768549899561768</c:v>
                </c:pt>
                <c:pt idx="15">
                  <c:v>0.1920440894105655</c:v>
                </c:pt>
                <c:pt idx="16">
                  <c:v>0.23031164666301551</c:v>
                </c:pt>
                <c:pt idx="17">
                  <c:v>0.2723618350538648</c:v>
                </c:pt>
                <c:pt idx="18">
                  <c:v>0.31796921725020671</c:v>
                </c:pt>
                <c:pt idx="19">
                  <c:v>0.36680693830441302</c:v>
                </c:pt>
                <c:pt idx="20">
                  <c:v>0.4184492609647415</c:v>
                </c:pt>
                <c:pt idx="21">
                  <c:v>0.4723795226100535</c:v>
                </c:pt>
                <c:pt idx="22">
                  <c:v>0.52800361489807057</c:v>
                </c:pt>
                <c:pt idx="23">
                  <c:v>0.58466852974857964</c:v>
                </c:pt>
                <c:pt idx="24">
                  <c:v>0.64168494724355596</c:v>
                </c:pt>
                <c:pt idx="25">
                  <c:v>0.69835235422292352</c:v>
                </c:pt>
                <c:pt idx="26">
                  <c:v>0.75398486292652245</c:v>
                </c:pt>
                <c:pt idx="27">
                  <c:v>0.80793580655721509</c:v>
                </c:pt>
                <c:pt idx="28">
                  <c:v>0.8596193407420627</c:v>
                </c:pt>
                <c:pt idx="29">
                  <c:v>0.90852764754533832</c:v>
                </c:pt>
                <c:pt idx="30">
                  <c:v>0.95424285397980513</c:v>
                </c:pt>
                <c:pt idx="31">
                  <c:v>0.99644335030889064</c:v>
                </c:pt>
                <c:pt idx="32">
                  <c:v>1.0349047349031186</c:v>
                </c:pt>
                <c:pt idx="33">
                  <c:v>1.0694960503400062</c:v>
                </c:pt>
                <c:pt idx="34">
                  <c:v>1.1001722676829395</c:v>
                </c:pt>
                <c:pt idx="35">
                  <c:v>1.1269641121520322</c:v>
                </c:pt>
                <c:pt idx="36">
                  <c:v>1.1499663200150156</c:v>
                </c:pt>
                <c:pt idx="37">
                  <c:v>1.1693253067918332</c:v>
                </c:pt>
                <c:pt idx="38">
                  <c:v>1.1852270506884111</c:v>
                </c:pt>
                <c:pt idx="39">
                  <c:v>1.1978857904613129</c:v>
                </c:pt>
                <c:pt idx="40">
                  <c:v>1.2075339341139104</c:v>
                </c:pt>
                <c:pt idx="41">
                  <c:v>1.2144133946632107</c:v>
                </c:pt>
                <c:pt idx="42">
                  <c:v>1.2187684229346991</c:v>
                </c:pt>
                <c:pt idx="43">
                  <c:v>1.2208398984310134</c:v>
                </c:pt>
                <c:pt idx="44">
                  <c:v>1.2208609658449023</c:v>
                </c:pt>
                <c:pt idx="45">
                  <c:v>1.2190538616466617</c:v>
                </c:pt>
                <c:pt idx="46">
                  <c:v>1.2156277559333191</c:v>
                </c:pt>
                <c:pt idx="47">
                  <c:v>1.2107774328880048</c:v>
                </c:pt>
                <c:pt idx="48">
                  <c:v>1.2046826429794353</c:v>
                </c:pt>
                <c:pt idx="49">
                  <c:v>1.1975079767157182</c:v>
                </c:pt>
                <c:pt idx="50">
                  <c:v>1.1894031297782184</c:v>
                </c:pt>
                <c:pt idx="51">
                  <c:v>1.1805034501740344</c:v>
                </c:pt>
                <c:pt idx="52">
                  <c:v>1.1709306780103184</c:v>
                </c:pt>
                <c:pt idx="53">
                  <c:v>1.1607938066411867</c:v>
                </c:pt>
                <c:pt idx="54">
                  <c:v>1.1501900097948503</c:v>
                </c:pt>
                <c:pt idx="55">
                  <c:v>1.1392055927203937</c:v>
                </c:pt>
                <c:pt idx="56">
                  <c:v>1.1279169364813368</c:v>
                </c:pt>
                <c:pt idx="57">
                  <c:v>1.1163914134716217</c:v>
                </c:pt>
                <c:pt idx="58">
                  <c:v>1.1046882593035743</c:v>
                </c:pt>
                <c:pt idx="59">
                  <c:v>1.0928593916982308</c:v>
                </c:pt>
                <c:pt idx="60">
                  <c:v>1.0809501711685461</c:v>
                </c:pt>
                <c:pt idx="61">
                  <c:v>1.0690001013736505</c:v>
                </c:pt>
                <c:pt idx="62">
                  <c:v>1.0570434692549471</c:v>
                </c:pt>
                <c:pt idx="63">
                  <c:v>1.0451099266271404</c:v>
                </c:pt>
                <c:pt idx="64">
                  <c:v>1.0332250159426397</c:v>
                </c:pt>
                <c:pt idx="65">
                  <c:v>1.0214106436009682</c:v>
                </c:pt>
                <c:pt idx="66">
                  <c:v>1.0096855045358222</c:v>
                </c:pt>
                <c:pt idx="67">
                  <c:v>0.9980654619600563</c:v>
                </c:pt>
                <c:pt idx="68">
                  <c:v>0.98656388614456347</c:v>
                </c:pt>
                <c:pt idx="69">
                  <c:v>0.97519195599777875</c:v>
                </c:pt>
                <c:pt idx="70">
                  <c:v>0.9639589270341733</c:v>
                </c:pt>
                <c:pt idx="71">
                  <c:v>0.95287236909915052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F6-4433-8686-CA51848F47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7288000"/>
        <c:axId val="687294888"/>
      </c:scatterChart>
      <c:valAx>
        <c:axId val="68728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294888"/>
        <c:crosses val="autoZero"/>
        <c:crossBetween val="midCat"/>
      </c:valAx>
      <c:valAx>
        <c:axId val="687294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288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4886679311071513E-2"/>
          <c:y val="9.2395988064096324E-2"/>
          <c:w val="0.71495556502704583"/>
          <c:h val="0.80986129883143665"/>
        </c:manualLayout>
      </c:layout>
      <c:scatterChart>
        <c:scatterStyle val="smoothMarker"/>
        <c:varyColors val="0"/>
        <c:ser>
          <c:idx val="1"/>
          <c:order val="0"/>
          <c:tx>
            <c:v>Max Speed</c:v>
          </c:tx>
          <c:spPr>
            <a:ln w="76200" cmpd="thickThin"/>
          </c:spPr>
          <c:marker>
            <c:symbol val="none"/>
          </c:marker>
          <c:xVal>
            <c:numRef>
              <c:f>Hand_launch!$F$3:$F$280</c:f>
              <c:numCache>
                <c:formatCode>General</c:formatCode>
                <c:ptCount val="27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  <c:pt idx="262">
                  <c:v>1310</c:v>
                </c:pt>
                <c:pt idx="263">
                  <c:v>1315</c:v>
                </c:pt>
                <c:pt idx="264">
                  <c:v>1320</c:v>
                </c:pt>
                <c:pt idx="265">
                  <c:v>1325</c:v>
                </c:pt>
                <c:pt idx="266">
                  <c:v>1330</c:v>
                </c:pt>
                <c:pt idx="267">
                  <c:v>1335</c:v>
                </c:pt>
                <c:pt idx="268">
                  <c:v>1340</c:v>
                </c:pt>
                <c:pt idx="269">
                  <c:v>1345</c:v>
                </c:pt>
                <c:pt idx="270">
                  <c:v>1350</c:v>
                </c:pt>
                <c:pt idx="271">
                  <c:v>1355</c:v>
                </c:pt>
                <c:pt idx="272">
                  <c:v>1360</c:v>
                </c:pt>
                <c:pt idx="273">
                  <c:v>1365</c:v>
                </c:pt>
                <c:pt idx="274">
                  <c:v>1370</c:v>
                </c:pt>
                <c:pt idx="275">
                  <c:v>1375</c:v>
                </c:pt>
                <c:pt idx="276">
                  <c:v>1380</c:v>
                </c:pt>
                <c:pt idx="277">
                  <c:v>1385</c:v>
                </c:pt>
              </c:numCache>
            </c:numRef>
          </c:xVal>
          <c:yVal>
            <c:numRef>
              <c:f>maximum_speed!$L$3:$L$280</c:f>
              <c:numCache>
                <c:formatCode>General</c:formatCode>
                <c:ptCount val="278"/>
                <c:pt idx="8">
                  <c:v>511.7765318010089</c:v>
                </c:pt>
                <c:pt idx="9">
                  <c:v>454.94480977563302</c:v>
                </c:pt>
                <c:pt idx="10">
                  <c:v>409.4828560797161</c:v>
                </c:pt>
                <c:pt idx="11">
                  <c:v>372.28982480522382</c:v>
                </c:pt>
                <c:pt idx="12">
                  <c:v>341.29848534680031</c:v>
                </c:pt>
                <c:pt idx="13">
                  <c:v>315.07767805458326</c:v>
                </c:pt>
                <c:pt idx="14">
                  <c:v>292.60514603581424</c:v>
                </c:pt>
                <c:pt idx="15">
                  <c:v>273.13123423580367</c:v>
                </c:pt>
                <c:pt idx="16">
                  <c:v>256.09370136353425</c:v>
                </c:pt>
                <c:pt idx="17">
                  <c:v>241.06259819646357</c:v>
                </c:pt>
                <c:pt idx="18">
                  <c:v>227.70351978372506</c:v>
                </c:pt>
                <c:pt idx="19">
                  <c:v>215.75246221673996</c:v>
                </c:pt>
                <c:pt idx="20">
                  <c:v>204.99822236864534</c:v>
                </c:pt>
                <c:pt idx="21">
                  <c:v>195.26982627959961</c:v>
                </c:pt>
                <c:pt idx="22">
                  <c:v>186.42738616427795</c:v>
                </c:pt>
                <c:pt idx="23">
                  <c:v>178.35534254784685</c:v>
                </c:pt>
                <c:pt idx="24">
                  <c:v>170.95739586794488</c:v>
                </c:pt>
                <c:pt idx="25">
                  <c:v>164.15265449218862</c:v>
                </c:pt>
                <c:pt idx="26">
                  <c:v>157.87267165471508</c:v>
                </c:pt>
                <c:pt idx="27">
                  <c:v>152.05914085127063</c:v>
                </c:pt>
                <c:pt idx="28">
                  <c:v>146.66208507820932</c:v>
                </c:pt>
                <c:pt idx="29">
                  <c:v>141.63842071169833</c:v>
                </c:pt>
                <c:pt idx="30">
                  <c:v>136.95080861108275</c:v>
                </c:pt>
                <c:pt idx="31">
                  <c:v>132.56672758934033</c:v>
                </c:pt>
                <c:pt idx="32">
                  <c:v>128.45772160782678</c:v>
                </c:pt>
                <c:pt idx="33">
                  <c:v>124.59878384470309</c:v>
                </c:pt>
                <c:pt idx="34">
                  <c:v>120.96784945717015</c:v>
                </c:pt>
                <c:pt idx="35">
                  <c:v>117.54537529874877</c:v>
                </c:pt>
                <c:pt idx="36">
                  <c:v>114.31398968367964</c:v>
                </c:pt>
                <c:pt idx="37">
                  <c:v>111.25819894628552</c:v>
                </c:pt>
                <c:pt idx="38">
                  <c:v>108.36414033306582</c:v>
                </c:pt>
                <c:pt idx="39">
                  <c:v>105.61937291139169</c:v>
                </c:pt>
                <c:pt idx="40">
                  <c:v>103.0126998418972</c:v>
                </c:pt>
                <c:pt idx="41">
                  <c:v>100.53401665978878</c:v>
                </c:pt>
                <c:pt idx="42">
                  <c:v>98.174181230253083</c:v>
                </c:pt>
                <c:pt idx="43">
                  <c:v>95.924901849622273</c:v>
                </c:pt>
                <c:pt idx="44">
                  <c:v>93.778640605470997</c:v>
                </c:pt>
                <c:pt idx="45">
                  <c:v>91.728529622033946</c:v>
                </c:pt>
                <c:pt idx="46">
                  <c:v>89.768298230134164</c:v>
                </c:pt>
                <c:pt idx="47">
                  <c:v>87.892209434567079</c:v>
                </c:pt>
                <c:pt idx="48">
                  <c:v>86.095004323061914</c:v>
                </c:pt>
                <c:pt idx="49">
                  <c:v>84.371853282308763</c:v>
                </c:pt>
                <c:pt idx="50">
                  <c:v>82.718313068062514</c:v>
                </c:pt>
                <c:pt idx="51">
                  <c:v>81.13028892582274</c:v>
                </c:pt>
                <c:pt idx="52">
                  <c:v>79.604001082204476</c:v>
                </c:pt>
                <c:pt idx="53">
                  <c:v>78.135955029738554</c:v>
                </c:pt>
                <c:pt idx="54">
                  <c:v>76.722915113360969</c:v>
                </c:pt>
                <c:pt idx="55">
                  <c:v>75.361880998376009</c:v>
                </c:pt>
                <c:pt idx="56">
                  <c:v>74.050066659709032</c:v>
                </c:pt>
                <c:pt idx="57">
                  <c:v>72.784881582817022</c:v>
                </c:pt>
                <c:pt idx="58">
                  <c:v>71.563913909332285</c:v>
                </c:pt>
                <c:pt idx="59">
                  <c:v>70.384915296708698</c:v>
                </c:pt>
                <c:pt idx="60">
                  <c:v>69.245787291903198</c:v>
                </c:pt>
                <c:pt idx="61">
                  <c:v>68.144569045350977</c:v>
                </c:pt>
                <c:pt idx="62">
                  <c:v>67.079426213910722</c:v>
                </c:pt>
                <c:pt idx="63">
                  <c:v>66.048640920672369</c:v>
                </c:pt>
                <c:pt idx="64">
                  <c:v>65.05060265603268</c:v>
                </c:pt>
                <c:pt idx="65">
                  <c:v>64.083800018671724</c:v>
                </c:pt>
                <c:pt idx="66">
                  <c:v>63.146813207349567</c:v>
                </c:pt>
                <c:pt idx="67">
                  <c:v>62.238307185079371</c:v>
                </c:pt>
                <c:pt idx="68">
                  <c:v>61.357025446461819</c:v>
                </c:pt>
                <c:pt idx="69">
                  <c:v>60.501784326990261</c:v>
                </c:pt>
                <c:pt idx="70">
                  <c:v>59.671467800129854</c:v>
                </c:pt>
                <c:pt idx="71">
                  <c:v>58.865022714080141</c:v>
                </c:pt>
                <c:pt idx="72">
                  <c:v>58.081454425474021</c:v>
                </c:pt>
                <c:pt idx="73">
                  <c:v>57.319822791950763</c:v>
                </c:pt>
                <c:pt idx="74">
                  <c:v>56.579238489655687</c:v>
                </c:pt>
                <c:pt idx="75">
                  <c:v>55.858859625339662</c:v>
                </c:pt>
                <c:pt idx="76">
                  <c:v>55.157888615924563</c:v>
                </c:pt>
                <c:pt idx="77">
                  <c:v>54.475569311219445</c:v>
                </c:pt>
                <c:pt idx="78">
                  <c:v>53.811184337966225</c:v>
                </c:pt>
                <c:pt idx="79">
                  <c:v>53.164052645603448</c:v>
                </c:pt>
                <c:pt idx="80">
                  <c:v>52.533527236097719</c:v>
                </c:pt>
                <c:pt idx="81">
                  <c:v>51.918993061935822</c:v>
                </c:pt>
                <c:pt idx="82">
                  <c:v>51.319865077922231</c:v>
                </c:pt>
                <c:pt idx="83">
                  <c:v>50.735586433810639</c:v>
                </c:pt>
                <c:pt idx="84">
                  <c:v>50.165626796033109</c:v>
                </c:pt>
                <c:pt idx="85">
                  <c:v>49.6094807878955</c:v>
                </c:pt>
                <c:pt idx="86">
                  <c:v>49.066666538596422</c:v>
                </c:pt>
                <c:pt idx="87">
                  <c:v>48.536724332313867</c:v>
                </c:pt>
                <c:pt idx="88">
                  <c:v>48.019215349399516</c:v>
                </c:pt>
                <c:pt idx="89">
                  <c:v>47.513720492436477</c:v>
                </c:pt>
                <c:pt idx="90">
                  <c:v>47.01983929055973</c:v>
                </c:pt>
                <c:pt idx="91">
                  <c:v>46.537188876019144</c:v>
                </c:pt>
                <c:pt idx="92">
                  <c:v>46.065403027488557</c:v>
                </c:pt>
                <c:pt idx="93">
                  <c:v>45.60413127509667</c:v>
                </c:pt>
                <c:pt idx="94">
                  <c:v>45.15303806258374</c:v>
                </c:pt>
                <c:pt idx="95">
                  <c:v>44.711801962374651</c:v>
                </c:pt>
                <c:pt idx="96">
                  <c:v>44.280114939709883</c:v>
                </c:pt>
                <c:pt idx="97">
                  <c:v>43.85768166229429</c:v>
                </c:pt>
                <c:pt idx="98">
                  <c:v>43.444218852212046</c:v>
                </c:pt>
                <c:pt idx="99">
                  <c:v>43.039454677119728</c:v>
                </c:pt>
                <c:pt idx="100">
                  <c:v>42.64312817796764</c:v>
                </c:pt>
                <c:pt idx="101">
                  <c:v>42.254988730717962</c:v>
                </c:pt>
                <c:pt idx="102">
                  <c:v>41.874795539726485</c:v>
                </c:pt>
                <c:pt idx="103">
                  <c:v>41.502317160636196</c:v>
                </c:pt>
                <c:pt idx="104">
                  <c:v>41.137331050796085</c:v>
                </c:pt>
                <c:pt idx="105">
                  <c:v>40.779623145370437</c:v>
                </c:pt>
                <c:pt idx="106">
                  <c:v>40.428987457441849</c:v>
                </c:pt>
                <c:pt idx="107">
                  <c:v>40.085225700538466</c:v>
                </c:pt>
                <c:pt idx="108">
                  <c:v>39.748146932131789</c:v>
                </c:pt>
                <c:pt idx="109">
                  <c:v>39.417567216758606</c:v>
                </c:pt>
                <c:pt idx="110">
                  <c:v>39.093309307518027</c:v>
                </c:pt>
                <c:pt idx="111">
                  <c:v>38.775202344784823</c:v>
                </c:pt>
                <c:pt idx="112">
                  <c:v>38.463081571063277</c:v>
                </c:pt>
                <c:pt idx="113">
                  <c:v>38.156788060981377</c:v>
                </c:pt>
                <c:pt idx="114">
                  <c:v>37.856168465495998</c:v>
                </c:pt>
                <c:pt idx="115">
                  <c:v>37.561074769443728</c:v>
                </c:pt>
                <c:pt idx="116">
                  <c:v>37.271364061632354</c:v>
                </c:pt>
                <c:pt idx="117">
                  <c:v>36.986898316722353</c:v>
                </c:pt>
                <c:pt idx="118">
                  <c:v>36.707544188199293</c:v>
                </c:pt>
                <c:pt idx="119">
                  <c:v>36.433172811784495</c:v>
                </c:pt>
                <c:pt idx="120">
                  <c:v>36.163659618675268</c:v>
                </c:pt>
                <c:pt idx="121">
                  <c:v>35.898884158045853</c:v>
                </c:pt>
                <c:pt idx="122">
                  <c:v>35.638729928277883</c:v>
                </c:pt>
                <c:pt idx="123">
                  <c:v>35.383084216423526</c:v>
                </c:pt>
                <c:pt idx="124">
                  <c:v>35.131837945436487</c:v>
                </c:pt>
                <c:pt idx="125">
                  <c:v>34.88488552873595</c:v>
                </c:pt>
                <c:pt idx="126">
                  <c:v>34.642124731696036</c:v>
                </c:pt>
                <c:pt idx="127">
                  <c:v>34.403456539679105</c:v>
                </c:pt>
                <c:pt idx="128">
                  <c:v>34.168785032254917</c:v>
                </c:pt>
                <c:pt idx="129">
                  <c:v>33.938017263270169</c:v>
                </c:pt>
                <c:pt idx="130">
                  <c:v>33.711063146453171</c:v>
                </c:pt>
                <c:pt idx="131">
                  <c:v>33.487835346258095</c:v>
                </c:pt>
                <c:pt idx="132">
                  <c:v>33.268249173670817</c:v>
                </c:pt>
                <c:pt idx="133">
                  <c:v>33.052222486715209</c:v>
                </c:pt>
                <c:pt idx="134">
                  <c:v>32.839675595414455</c:v>
                </c:pt>
                <c:pt idx="135">
                  <c:v>32.630531170976212</c:v>
                </c:pt>
                <c:pt idx="136">
                  <c:v>32.424714158984393</c:v>
                </c:pt>
                <c:pt idx="137">
                  <c:v>32.222151696392757</c:v>
                </c:pt>
                <c:pt idx="138">
                  <c:v>32.022773032127347</c:v>
                </c:pt>
                <c:pt idx="139">
                  <c:v>31.826509451116394</c:v>
                </c:pt>
                <c:pt idx="140">
                  <c:v>31.633294201575872</c:v>
                </c:pt>
                <c:pt idx="141">
                  <c:v>31.443062425389396</c:v>
                </c:pt>
                <c:pt idx="142">
                  <c:v>31.255751091429747</c:v>
                </c:pt>
                <c:pt idx="143">
                  <c:v>31.071298931678196</c:v>
                </c:pt>
                <c:pt idx="144">
                  <c:v>30.889646380005409</c:v>
                </c:pt>
                <c:pt idx="145">
                  <c:v>30.710735513485613</c:v>
                </c:pt>
                <c:pt idx="146">
                  <c:v>30.534509996122512</c:v>
                </c:pt>
                <c:pt idx="147">
                  <c:v>30.360915024872096</c:v>
                </c:pt>
                <c:pt idx="148">
                  <c:v>30.189897277853699</c:v>
                </c:pt>
                <c:pt idx="149">
                  <c:v>30.021404864646552</c:v>
                </c:pt>
                <c:pt idx="150">
                  <c:v>29.855387278574419</c:v>
                </c:pt>
                <c:pt idx="151">
                  <c:v>29.691795350886274</c:v>
                </c:pt>
                <c:pt idx="152">
                  <c:v>29.530581206745595</c:v>
                </c:pt>
                <c:pt idx="153">
                  <c:v>29.371698222945561</c:v>
                </c:pt>
                <c:pt idx="154">
                  <c:v>29.215100987271764</c:v>
                </c:pt>
                <c:pt idx="155">
                  <c:v>29.060745259437866</c:v>
                </c:pt>
                <c:pt idx="156">
                  <c:v>28.908587933523876</c:v>
                </c:pt>
                <c:pt idx="157">
                  <c:v>28.758587001849811</c:v>
                </c:pt>
                <c:pt idx="158">
                  <c:v>28.61070152022122</c:v>
                </c:pt>
                <c:pt idx="159">
                  <c:v>28.46489157448632</c:v>
                </c:pt>
                <c:pt idx="160">
                  <c:v>28.321118248347084</c:v>
                </c:pt>
                <c:pt idx="161">
                  <c:v>28.179343592370071</c:v>
                </c:pt>
                <c:pt idx="162">
                  <c:v>28.039530594144857</c:v>
                </c:pt>
                <c:pt idx="163">
                  <c:v>27.901643149541048</c:v>
                </c:pt>
                <c:pt idx="164">
                  <c:v>27.76564603501679</c:v>
                </c:pt>
                <c:pt idx="165">
                  <c:v>27.631504880934269</c:v>
                </c:pt>
                <c:pt idx="166">
                  <c:v>27.49918614583973</c:v>
                </c:pt>
                <c:pt idx="167">
                  <c:v>27.368657091667494</c:v>
                </c:pt>
                <c:pt idx="168">
                  <c:v>27.239885759829686</c:v>
                </c:pt>
                <c:pt idx="169">
                  <c:v>27.112840948154687</c:v>
                </c:pt>
                <c:pt idx="170">
                  <c:v>26.987492188639617</c:v>
                </c:pt>
                <c:pt idx="171">
                  <c:v>26.863809725983423</c:v>
                </c:pt>
                <c:pt idx="172">
                  <c:v>26.741764496868804</c:v>
                </c:pt>
                <c:pt idx="173">
                  <c:v>26.621328109962668</c:v>
                </c:pt>
                <c:pt idx="174">
                  <c:v>26.502472826606247</c:v>
                </c:pt>
                <c:pt idx="175">
                  <c:v>26.385171542167267</c:v>
                </c:pt>
                <c:pt idx="176">
                  <c:v>26.269397768027805</c:v>
                </c:pt>
                <c:pt idx="177">
                  <c:v>26.155125614182797</c:v>
                </c:pt>
                <c:pt idx="178">
                  <c:v>26.042329772425013</c:v>
                </c:pt>
                <c:pt idx="179">
                  <c:v>25.930985500093797</c:v>
                </c:pt>
                <c:pt idx="180">
                  <c:v>25.821068604365365</c:v>
                </c:pt>
                <c:pt idx="181">
                  <c:v>25.712555427063979</c:v>
                </c:pt>
                <c:pt idx="182">
                  <c:v>25.605422829973801</c:v>
                </c:pt>
                <c:pt idx="183">
                  <c:v>25.499648180632363</c:v>
                </c:pt>
                <c:pt idx="184">
                  <c:v>25.395209338587236</c:v>
                </c:pt>
                <c:pt idx="185">
                  <c:v>25.292084642098477</c:v>
                </c:pt>
                <c:pt idx="186">
                  <c:v>25.190252895270021</c:v>
                </c:pt>
                <c:pt idx="187">
                  <c:v>25.089693355593941</c:v>
                </c:pt>
                <c:pt idx="188">
                  <c:v>24.990385721892284</c:v>
                </c:pt>
                <c:pt idx="189">
                  <c:v>24.892310122641639</c:v>
                </c:pt>
                <c:pt idx="190">
                  <c:v>24.795447104666465</c:v>
                </c:pt>
                <c:pt idx="191">
                  <c:v>24.699777622187561</c:v>
                </c:pt>
                <c:pt idx="192">
                  <c:v>24.60528302621281</c:v>
                </c:pt>
                <c:pt idx="193">
                  <c:v>24.511945054257684</c:v>
                </c:pt>
                <c:pt idx="194">
                  <c:v>24.419745820383739</c:v>
                </c:pt>
                <c:pt idx="195">
                  <c:v>24.328667805543567</c:v>
                </c:pt>
                <c:pt idx="196">
                  <c:v>24.238693848221342</c:v>
                </c:pt>
                <c:pt idx="197">
                  <c:v>24.149807135358429</c:v>
                </c:pt>
                <c:pt idx="198">
                  <c:v>24.061991193553915</c:v>
                </c:pt>
                <c:pt idx="199">
                  <c:v>23.975229880530541</c:v>
                </c:pt>
                <c:pt idx="200">
                  <c:v>23.889507376856596</c:v>
                </c:pt>
                <c:pt idx="201">
                  <c:v>23.804808177914921</c:v>
                </c:pt>
                <c:pt idx="202">
                  <c:v>23.721117086110485</c:v>
                </c:pt>
                <c:pt idx="203">
                  <c:v>23.638419203308249</c:v>
                </c:pt>
                <c:pt idx="204">
                  <c:v>23.556699923493479</c:v>
                </c:pt>
                <c:pt idx="205">
                  <c:v>23.475944925646839</c:v>
                </c:pt>
                <c:pt idx="206">
                  <c:v>23.396140166827056</c:v>
                </c:pt>
                <c:pt idx="207">
                  <c:v>23.317271875454026</c:v>
                </c:pt>
                <c:pt idx="208">
                  <c:v>23.23932654478573</c:v>
                </c:pt>
                <c:pt idx="209">
                  <c:v>23.162290926582383</c:v>
                </c:pt>
                <c:pt idx="210">
                  <c:v>23.08615202495163</c:v>
                </c:pt>
                <c:pt idx="211">
                  <c:v>23.010897090368747</c:v>
                </c:pt>
                <c:pt idx="212">
                  <c:v>22.936513613866069</c:v>
                </c:pt>
                <c:pt idx="213">
                  <c:v>22.862989321386131</c:v>
                </c:pt>
                <c:pt idx="214">
                  <c:v>22.790312168293102</c:v>
                </c:pt>
                <c:pt idx="215">
                  <c:v>22.718470334037395</c:v>
                </c:pt>
                <c:pt idx="216">
                  <c:v>22.647452216968492</c:v>
                </c:pt>
                <c:pt idx="217">
                  <c:v>22.577246429291186</c:v>
                </c:pt>
                <c:pt idx="218">
                  <c:v>22.507841792160633</c:v>
                </c:pt>
                <c:pt idx="219">
                  <c:v>22.439227330911816</c:v>
                </c:pt>
                <c:pt idx="220">
                  <c:v>22.371392270419069</c:v>
                </c:pt>
                <c:pt idx="221">
                  <c:v>22.304326030581638</c:v>
                </c:pt>
                <c:pt idx="222">
                  <c:v>22.238018221931199</c:v>
                </c:pt>
                <c:pt idx="223">
                  <c:v>22.172458641357618</c:v>
                </c:pt>
                <c:pt idx="224">
                  <c:v>22.107637267949148</c:v>
                </c:pt>
                <c:pt idx="225">
                  <c:v>22.043544258943591</c:v>
                </c:pt>
                <c:pt idx="226">
                  <c:v>21.980169945786926</c:v>
                </c:pt>
                <c:pt idx="227">
                  <c:v>21.917504830296132</c:v>
                </c:pt>
                <c:pt idx="228">
                  <c:v>21.855539580922965</c:v>
                </c:pt>
                <c:pt idx="229">
                  <c:v>21.794265029115667</c:v>
                </c:pt>
                <c:pt idx="230">
                  <c:v>21.733672165775562</c:v>
                </c:pt>
                <c:pt idx="231">
                  <c:v>21.673752137805661</c:v>
                </c:pt>
                <c:pt idx="232">
                  <c:v>21.614496244748597</c:v>
                </c:pt>
                <c:pt idx="233">
                  <c:v>21.555895935511074</c:v>
                </c:pt>
                <c:pt idx="234">
                  <c:v>21.497942805172329</c:v>
                </c:pt>
                <c:pt idx="235">
                  <c:v>21.440628591874074</c:v>
                </c:pt>
                <c:pt idx="236">
                  <c:v>21.383945173789524</c:v>
                </c:pt>
                <c:pt idx="237">
                  <c:v>21.327884566169143</c:v>
                </c:pt>
                <c:pt idx="238">
                  <c:v>21.272438918460853</c:v>
                </c:pt>
                <c:pt idx="239">
                  <c:v>21.217600511502585</c:v>
                </c:pt>
                <c:pt idx="240">
                  <c:v>21.163361754784969</c:v>
                </c:pt>
                <c:pt idx="241">
                  <c:v>21.109715183782178</c:v>
                </c:pt>
                <c:pt idx="242">
                  <c:v>21.056653457348986</c:v>
                </c:pt>
                <c:pt idx="243">
                  <c:v>21.004169355182075</c:v>
                </c:pt>
                <c:pt idx="244">
                  <c:v>20.952255775343733</c:v>
                </c:pt>
                <c:pt idx="245">
                  <c:v>20.900905731846269</c:v>
                </c:pt>
                <c:pt idx="246">
                  <c:v>20.85011235229528</c:v>
                </c:pt>
                <c:pt idx="247">
                  <c:v>20.79986887559021</c:v>
                </c:pt>
                <c:pt idx="248">
                  <c:v>20.750168649680493</c:v>
                </c:pt>
                <c:pt idx="249">
                  <c:v>20.701005129375822</c:v>
                </c:pt>
                <c:pt idx="250">
                  <c:v>20.652371874208946</c:v>
                </c:pt>
                <c:pt idx="251">
                  <c:v>20.604262546349528</c:v>
                </c:pt>
                <c:pt idx="252">
                  <c:v>20.556670908567721</c:v>
                </c:pt>
                <c:pt idx="253">
                  <c:v>20.509590822245993</c:v>
                </c:pt>
                <c:pt idx="254">
                  <c:v>20.463016245437981</c:v>
                </c:pt>
                <c:pt idx="255">
                  <c:v>20.41694123097292</c:v>
                </c:pt>
                <c:pt idx="256">
                  <c:v>20.371359924604615</c:v>
                </c:pt>
                <c:pt idx="257">
                  <c:v>20.326266563203529</c:v>
                </c:pt>
                <c:pt idx="258">
                  <c:v>20.28165547299097</c:v>
                </c:pt>
                <c:pt idx="259">
                  <c:v>20.237521067814175</c:v>
                </c:pt>
                <c:pt idx="260">
                  <c:v>20.193857847461196</c:v>
                </c:pt>
                <c:pt idx="261">
                  <c:v>20.150660396014519</c:v>
                </c:pt>
                <c:pt idx="262">
                  <c:v>20.107923380242386</c:v>
                </c:pt>
                <c:pt idx="263">
                  <c:v>20.065641548026846</c:v>
                </c:pt>
                <c:pt idx="264">
                  <c:v>20.023809726827473</c:v>
                </c:pt>
                <c:pt idx="265">
                  <c:v>19.982422822179942</c:v>
                </c:pt>
                <c:pt idx="266">
                  <c:v>19.941475816228401</c:v>
                </c:pt>
                <c:pt idx="267">
                  <c:v>19.900963766290868</c:v>
                </c:pt>
                <c:pt idx="268">
                  <c:v>19.860881803456749</c:v>
                </c:pt>
                <c:pt idx="269">
                  <c:v>19.821225131215588</c:v>
                </c:pt>
                <c:pt idx="270">
                  <c:v>19.781989024116353</c:v>
                </c:pt>
                <c:pt idx="271">
                  <c:v>19.743168826456372</c:v>
                </c:pt>
                <c:pt idx="272">
                  <c:v>19.704759950999179</c:v>
                </c:pt>
                <c:pt idx="273">
                  <c:v>19.666757877720563</c:v>
                </c:pt>
                <c:pt idx="274">
                  <c:v>19.629158152582082</c:v>
                </c:pt>
                <c:pt idx="275">
                  <c:v>19.591956386331287</c:v>
                </c:pt>
                <c:pt idx="276">
                  <c:v>19.555148253328106</c:v>
                </c:pt>
                <c:pt idx="277">
                  <c:v>19.518729490396566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0D5-4403-B636-751C84E5EA8E}"/>
            </c:ext>
          </c:extLst>
        </c:ser>
        <c:ser>
          <c:idx val="3"/>
          <c:order val="1"/>
          <c:tx>
            <c:v>Ceiling</c:v>
          </c:tx>
          <c:spPr>
            <a:ln w="76200" cmpd="thickThin"/>
          </c:spPr>
          <c:marker>
            <c:symbol val="none"/>
          </c:marker>
          <c:xVal>
            <c:numRef>
              <c:f>Hand_launch!$F$3:$F$280</c:f>
              <c:numCache>
                <c:formatCode>General</c:formatCode>
                <c:ptCount val="27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  <c:pt idx="262">
                  <c:v>1310</c:v>
                </c:pt>
                <c:pt idx="263">
                  <c:v>1315</c:v>
                </c:pt>
                <c:pt idx="264">
                  <c:v>1320</c:v>
                </c:pt>
                <c:pt idx="265">
                  <c:v>1325</c:v>
                </c:pt>
                <c:pt idx="266">
                  <c:v>1330</c:v>
                </c:pt>
                <c:pt idx="267">
                  <c:v>1335</c:v>
                </c:pt>
                <c:pt idx="268">
                  <c:v>1340</c:v>
                </c:pt>
                <c:pt idx="269">
                  <c:v>1345</c:v>
                </c:pt>
                <c:pt idx="270">
                  <c:v>1350</c:v>
                </c:pt>
                <c:pt idx="271">
                  <c:v>1355</c:v>
                </c:pt>
                <c:pt idx="272">
                  <c:v>1360</c:v>
                </c:pt>
                <c:pt idx="273">
                  <c:v>1365</c:v>
                </c:pt>
                <c:pt idx="274">
                  <c:v>1370</c:v>
                </c:pt>
                <c:pt idx="275">
                  <c:v>1375</c:v>
                </c:pt>
                <c:pt idx="276">
                  <c:v>1380</c:v>
                </c:pt>
                <c:pt idx="277">
                  <c:v>1385</c:v>
                </c:pt>
              </c:numCache>
            </c:numRef>
          </c:xVal>
          <c:yVal>
            <c:numRef>
              <c:f>Ceiling!$K$3:$K$280</c:f>
              <c:numCache>
                <c:formatCode>General</c:formatCode>
                <c:ptCount val="278"/>
                <c:pt idx="0">
                  <c:v>0</c:v>
                </c:pt>
                <c:pt idx="1">
                  <c:v>0.64300675293406007</c:v>
                </c:pt>
                <c:pt idx="2">
                  <c:v>0.90934887069683368</c:v>
                </c:pt>
                <c:pt idx="3">
                  <c:v>1.1137203656916805</c:v>
                </c:pt>
                <c:pt idx="4">
                  <c:v>1.2860135058681201</c:v>
                </c:pt>
                <c:pt idx="5">
                  <c:v>1.4378068095519707</c:v>
                </c:pt>
                <c:pt idx="6">
                  <c:v>1.5750384458522975</c:v>
                </c:pt>
                <c:pt idx="7">
                  <c:v>1.7012359595986748</c:v>
                </c:pt>
                <c:pt idx="8">
                  <c:v>1.8186977413936674</c:v>
                </c:pt>
                <c:pt idx="9">
                  <c:v>1.9290202588021805</c:v>
                </c:pt>
                <c:pt idx="10">
                  <c:v>2.0333658901407867</c:v>
                </c:pt>
                <c:pt idx="11">
                  <c:v>2.1326121371470337</c:v>
                </c:pt>
                <c:pt idx="12">
                  <c:v>2.2274407313833611</c:v>
                </c:pt>
                <c:pt idx="13">
                  <c:v>2.3183938181733588</c:v>
                </c:pt>
                <c:pt idx="14">
                  <c:v>2.4059109668612524</c:v>
                </c:pt>
                <c:pt idx="15">
                  <c:v>2.4903544456125219</c:v>
                </c:pt>
                <c:pt idx="16">
                  <c:v>2.5720270117362403</c:v>
                </c:pt>
                <c:pt idx="17">
                  <c:v>2.6511847603325682</c:v>
                </c:pt>
                <c:pt idx="18">
                  <c:v>2.7280466120905014</c:v>
                </c:pt>
                <c:pt idx="19">
                  <c:v>2.8028014560537935</c:v>
                </c:pt>
                <c:pt idx="20">
                  <c:v>2.8756136191039414</c:v>
                </c:pt>
                <c:pt idx="21">
                  <c:v>2.9466271176880987</c:v>
                </c:pt>
                <c:pt idx="22">
                  <c:v>3.0159690076348058</c:v>
                </c:pt>
                <c:pt idx="23">
                  <c:v>3.0837520554241187</c:v>
                </c:pt>
                <c:pt idx="24">
                  <c:v>3.1500768917045949</c:v>
                </c:pt>
                <c:pt idx="25">
                  <c:v>3.2150337646703009</c:v>
                </c:pt>
                <c:pt idx="26">
                  <c:v>3.2787039805827067</c:v>
                </c:pt>
                <c:pt idx="27">
                  <c:v>3.3411610970750414</c:v>
                </c:pt>
                <c:pt idx="28">
                  <c:v>3.4024719191973496</c:v>
                </c:pt>
                <c:pt idx="29">
                  <c:v>3.4626973366503311</c:v>
                </c:pt>
                <c:pt idx="30">
                  <c:v>3.5218930321013588</c:v>
                </c:pt>
                <c:pt idx="31">
                  <c:v>3.5801100840453088</c:v>
                </c:pt>
                <c:pt idx="32">
                  <c:v>3.6373954827873347</c:v>
                </c:pt>
                <c:pt idx="33">
                  <c:v>3.6937925743767086</c:v>
                </c:pt>
                <c:pt idx="34">
                  <c:v>3.7493414444191822</c:v>
                </c:pt>
                <c:pt idx="35">
                  <c:v>3.804079251429723</c:v>
                </c:pt>
                <c:pt idx="36">
                  <c:v>3.8580405176043611</c:v>
                </c:pt>
                <c:pt idx="37">
                  <c:v>3.9112573834760256</c:v>
                </c:pt>
                <c:pt idx="38">
                  <c:v>3.9637598317903335</c:v>
                </c:pt>
                <c:pt idx="39">
                  <c:v>4.0155758850298593</c:v>
                </c:pt>
                <c:pt idx="40">
                  <c:v>4.0667317802815734</c:v>
                </c:pt>
                <c:pt idx="41">
                  <c:v>4.1172521245450762</c:v>
                </c:pt>
                <c:pt idx="42">
                  <c:v>4.1671600330908518</c:v>
                </c:pt>
                <c:pt idx="43">
                  <c:v>4.2164772530761452</c:v>
                </c:pt>
                <c:pt idx="44">
                  <c:v>4.2652242742940674</c:v>
                </c:pt>
                <c:pt idx="45">
                  <c:v>4.3134204286559124</c:v>
                </c:pt>
                <c:pt idx="46">
                  <c:v>4.3610839797766969</c:v>
                </c:pt>
                <c:pt idx="47">
                  <c:v>4.4082322038413269</c:v>
                </c:pt>
                <c:pt idx="48">
                  <c:v>4.4548814627667221</c:v>
                </c:pt>
                <c:pt idx="49">
                  <c:v>4.5010472705384208</c:v>
                </c:pt>
                <c:pt idx="50">
                  <c:v>4.5467443534841694</c:v>
                </c:pt>
                <c:pt idx="51">
                  <c:v>4.591986705148325</c:v>
                </c:pt>
                <c:pt idx="52">
                  <c:v>4.6367876363467175</c:v>
                </c:pt>
                <c:pt idx="53">
                  <c:v>4.6811598209094054</c:v>
                </c:pt>
                <c:pt idx="54">
                  <c:v>4.7251153375568924</c:v>
                </c:pt>
                <c:pt idx="55">
                  <c:v>4.7686657083018709</c:v>
                </c:pt>
                <c:pt idx="56">
                  <c:v>4.8118219337225048</c:v>
                </c:pt>
                <c:pt idx="57">
                  <c:v>4.8545945254131988</c:v>
                </c:pt>
                <c:pt idx="58">
                  <c:v>4.8969935358840928</c:v>
                </c:pt>
                <c:pt idx="59">
                  <c:v>4.9390285861502567</c:v>
                </c:pt>
                <c:pt idx="60">
                  <c:v>4.9807088912250439</c:v>
                </c:pt>
                <c:pt idx="61">
                  <c:v>5.0220432837090332</c:v>
                </c:pt>
                <c:pt idx="62">
                  <c:v>5.0630402356455564</c:v>
                </c:pt>
                <c:pt idx="63">
                  <c:v>5.1037078787960244</c:v>
                </c:pt>
                <c:pt idx="64">
                  <c:v>5.1440540234724805</c:v>
                </c:pt>
                <c:pt idx="65">
                  <c:v>5.1840861760509176</c:v>
                </c:pt>
                <c:pt idx="66">
                  <c:v>5.2238115552765709</c:v>
                </c:pt>
                <c:pt idx="67">
                  <c:v>5.2632371074615127</c:v>
                </c:pt>
                <c:pt idx="68">
                  <c:v>5.3023695206651364</c:v>
                </c:pt>
                <c:pt idx="69">
                  <c:v>5.3412152379395303</c:v>
                </c:pt>
                <c:pt idx="70">
                  <c:v>5.3797804697140057</c:v>
                </c:pt>
                <c:pt idx="71">
                  <c:v>5.4180712053861972</c:v>
                </c:pt>
                <c:pt idx="72">
                  <c:v>5.4560932241810027</c:v>
                </c:pt>
                <c:pt idx="73">
                  <c:v>5.4938521053330742</c:v>
                </c:pt>
                <c:pt idx="74">
                  <c:v>5.5313532376437013</c:v>
                </c:pt>
                <c:pt idx="75">
                  <c:v>5.5686018284584025</c:v>
                </c:pt>
                <c:pt idx="76">
                  <c:v>5.605602912107587</c:v>
                </c:pt>
                <c:pt idx="77">
                  <c:v>5.6423613578490226</c:v>
                </c:pt>
                <c:pt idx="78">
                  <c:v>5.6788818773475702</c:v>
                </c:pt>
                <c:pt idx="79">
                  <c:v>5.7151690317247379</c:v>
                </c:pt>
                <c:pt idx="80">
                  <c:v>5.7512272382078828</c:v>
                </c:pt>
                <c:pt idx="81">
                  <c:v>5.7870607764065403</c:v>
                </c:pt>
                <c:pt idx="82">
                  <c:v>5.8226737942410862</c:v>
                </c:pt>
                <c:pt idx="83">
                  <c:v>5.8580703135470031</c:v>
                </c:pt>
                <c:pt idx="84">
                  <c:v>5.8932542353761974</c:v>
                </c:pt>
                <c:pt idx="85">
                  <c:v>5.9282293450151116</c:v>
                </c:pt>
                <c:pt idx="86">
                  <c:v>5.9629993167379363</c:v>
                </c:pt>
                <c:pt idx="87">
                  <c:v>5.9975677183118075</c:v>
                </c:pt>
                <c:pt idx="88">
                  <c:v>6.0319380152696116</c:v>
                </c:pt>
                <c:pt idx="89">
                  <c:v>6.0661135749649056</c:v>
                </c:pt>
                <c:pt idx="90">
                  <c:v>6.1000976704223602</c:v>
                </c:pt>
                <c:pt idx="91">
                  <c:v>6.1338934839962063</c:v>
                </c:pt>
                <c:pt idx="92">
                  <c:v>6.1675041108482374</c:v>
                </c:pt>
                <c:pt idx="93">
                  <c:v>6.200932562256158</c:v>
                </c:pt>
                <c:pt idx="94">
                  <c:v>6.2341817687622418</c:v>
                </c:pt>
                <c:pt idx="95">
                  <c:v>6.2672545831716722</c:v>
                </c:pt>
                <c:pt idx="96">
                  <c:v>6.3001537834091899</c:v>
                </c:pt>
                <c:pt idx="97">
                  <c:v>6.3328820752421988</c:v>
                </c:pt>
                <c:pt idx="98">
                  <c:v>6.3654420948778361</c:v>
                </c:pt>
                <c:pt idx="99">
                  <c:v>6.3978364114411006</c:v>
                </c:pt>
                <c:pt idx="100">
                  <c:v>6.4300675293406018</c:v>
                </c:pt>
                <c:pt idx="101">
                  <c:v>6.4621378905281146</c:v>
                </c:pt>
                <c:pt idx="102">
                  <c:v>6.4940498766577042</c:v>
                </c:pt>
                <c:pt idx="103">
                  <c:v>6.5258058111498203</c:v>
                </c:pt>
                <c:pt idx="104">
                  <c:v>6.5574079611654135</c:v>
                </c:pt>
                <c:pt idx="105">
                  <c:v>6.5888585394948622</c:v>
                </c:pt>
                <c:pt idx="106">
                  <c:v>6.6201597063660911</c:v>
                </c:pt>
                <c:pt idx="107">
                  <c:v>6.6513135711761455</c:v>
                </c:pt>
                <c:pt idx="108">
                  <c:v>6.6823221941500828</c:v>
                </c:pt>
                <c:pt idx="109">
                  <c:v>6.7131875879309053</c:v>
                </c:pt>
                <c:pt idx="110">
                  <c:v>6.7439117191040081</c:v>
                </c:pt>
                <c:pt idx="111">
                  <c:v>6.7744965096593841</c:v>
                </c:pt>
                <c:pt idx="112">
                  <c:v>6.8049438383946992</c:v>
                </c:pt>
                <c:pt idx="113">
                  <c:v>6.835255542262102</c:v>
                </c:pt>
                <c:pt idx="114">
                  <c:v>6.8654334176615235</c:v>
                </c:pt>
                <c:pt idx="115">
                  <c:v>6.8954792216830292</c:v>
                </c:pt>
                <c:pt idx="116">
                  <c:v>6.9253946733006622</c:v>
                </c:pt>
                <c:pt idx="117">
                  <c:v>6.9551814545200763</c:v>
                </c:pt>
                <c:pt idx="118">
                  <c:v>6.984841211482105</c:v>
                </c:pt>
                <c:pt idx="119">
                  <c:v>7.0143755555243557</c:v>
                </c:pt>
                <c:pt idx="120">
                  <c:v>7.0437860642027177</c:v>
                </c:pt>
                <c:pt idx="121">
                  <c:v>7.0730742822746624</c:v>
                </c:pt>
                <c:pt idx="122">
                  <c:v>7.1022417226460277</c:v>
                </c:pt>
                <c:pt idx="123">
                  <c:v>7.1312898672829741</c:v>
                </c:pt>
                <c:pt idx="124">
                  <c:v>7.1602201680906177</c:v>
                </c:pt>
                <c:pt idx="125">
                  <c:v>7.1890340477598542</c:v>
                </c:pt>
                <c:pt idx="126">
                  <c:v>7.2177329005837576</c:v>
                </c:pt>
                <c:pt idx="127">
                  <c:v>7.2463180932448745</c:v>
                </c:pt>
                <c:pt idx="128">
                  <c:v>7.2747909655746694</c:v>
                </c:pt>
                <c:pt idx="129">
                  <c:v>7.3031528312863383</c:v>
                </c:pt>
                <c:pt idx="130">
                  <c:v>7.3314049786820839</c:v>
                </c:pt>
                <c:pt idx="131">
                  <c:v>7.3595486713359843</c:v>
                </c:pt>
                <c:pt idx="132">
                  <c:v>7.3875851487534172</c:v>
                </c:pt>
                <c:pt idx="133">
                  <c:v>7.4155156270080669</c:v>
                </c:pt>
                <c:pt idx="134">
                  <c:v>7.4433412993574102</c:v>
                </c:pt>
                <c:pt idx="135">
                  <c:v>7.4710633368375658</c:v>
                </c:pt>
                <c:pt idx="136">
                  <c:v>7.4986828888383643</c:v>
                </c:pt>
                <c:pt idx="137">
                  <c:v>7.5262010836594095</c:v>
                </c:pt>
                <c:pt idx="138">
                  <c:v>7.5536190290479217</c:v>
                </c:pt>
                <c:pt idx="139">
                  <c:v>7.5809378127190632</c:v>
                </c:pt>
                <c:pt idx="140">
                  <c:v>7.6081585028594461</c:v>
                </c:pt>
                <c:pt idx="141">
                  <c:v>7.6352821486145022</c:v>
                </c:pt>
                <c:pt idx="142">
                  <c:v>7.6623097805603031</c:v>
                </c:pt>
                <c:pt idx="143">
                  <c:v>7.6892424111604711</c:v>
                </c:pt>
                <c:pt idx="144">
                  <c:v>7.7160810352087221</c:v>
                </c:pt>
                <c:pt idx="145">
                  <c:v>7.742826630257615</c:v>
                </c:pt>
                <c:pt idx="146">
                  <c:v>7.7694801570340148</c:v>
                </c:pt>
                <c:pt idx="147">
                  <c:v>7.7960425598417631</c:v>
                </c:pt>
                <c:pt idx="148">
                  <c:v>7.8225147669520512</c:v>
                </c:pt>
                <c:pt idx="149">
                  <c:v>7.8488976909819446</c:v>
                </c:pt>
                <c:pt idx="150">
                  <c:v>7.8751922292614873</c:v>
                </c:pt>
                <c:pt idx="151">
                  <c:v>7.9013992641898128</c:v>
                </c:pt>
                <c:pt idx="152">
                  <c:v>7.9275196635806671</c:v>
                </c:pt>
                <c:pt idx="153">
                  <c:v>7.9535542809977056</c:v>
                </c:pt>
                <c:pt idx="154">
                  <c:v>7.9795039560799594</c:v>
                </c:pt>
                <c:pt idx="155">
                  <c:v>8.0053695148577955</c:v>
                </c:pt>
                <c:pt idx="156">
                  <c:v>8.0311517700597186</c:v>
                </c:pt>
                <c:pt idx="157">
                  <c:v>8.0568515214103424</c:v>
                </c:pt>
                <c:pt idx="158">
                  <c:v>8.0824695559198343</c:v>
                </c:pt>
                <c:pt idx="159">
                  <c:v>8.1080066481651176</c:v>
                </c:pt>
                <c:pt idx="160">
                  <c:v>8.1334635605631469</c:v>
                </c:pt>
                <c:pt idx="161">
                  <c:v>8.1588410436364889</c:v>
                </c:pt>
                <c:pt idx="162">
                  <c:v>8.1841398362715037</c:v>
                </c:pt>
                <c:pt idx="163">
                  <c:v>8.2093606659693652</c:v>
                </c:pt>
                <c:pt idx="164">
                  <c:v>8.2345042490901523</c:v>
                </c:pt>
                <c:pt idx="165">
                  <c:v>8.2595712910902677</c:v>
                </c:pt>
                <c:pt idx="166">
                  <c:v>8.2845624867533818</c:v>
                </c:pt>
                <c:pt idx="167">
                  <c:v>8.3094785204151158</c:v>
                </c:pt>
                <c:pt idx="168">
                  <c:v>8.3343200661817036</c:v>
                </c:pt>
                <c:pt idx="169">
                  <c:v>8.3590877881427819</c:v>
                </c:pt>
                <c:pt idx="170">
                  <c:v>8.3837823405785397</c:v>
                </c:pt>
                <c:pt idx="171">
                  <c:v>8.4084043681613796</c:v>
                </c:pt>
                <c:pt idx="172">
                  <c:v>8.4329545061522904</c:v>
                </c:pt>
                <c:pt idx="173">
                  <c:v>8.4574333805920698</c:v>
                </c:pt>
                <c:pt idx="174">
                  <c:v>8.4818416084876169</c:v>
                </c:pt>
                <c:pt idx="175">
                  <c:v>8.506179797993374</c:v>
                </c:pt>
                <c:pt idx="176">
                  <c:v>8.5304485485881347</c:v>
                </c:pt>
                <c:pt idx="177">
                  <c:v>8.5546484512473224</c:v>
                </c:pt>
                <c:pt idx="178">
                  <c:v>8.5787800886109089</c:v>
                </c:pt>
                <c:pt idx="179">
                  <c:v>8.6028440351470863</c:v>
                </c:pt>
                <c:pt idx="180">
                  <c:v>8.6268408573118247</c:v>
                </c:pt>
                <c:pt idx="181">
                  <c:v>8.6507711137044563</c:v>
                </c:pt>
                <c:pt idx="182">
                  <c:v>8.6746353552193902</c:v>
                </c:pt>
                <c:pt idx="183">
                  <c:v>8.6984341251940869</c:v>
                </c:pt>
                <c:pt idx="184">
                  <c:v>8.7221679595533939</c:v>
                </c:pt>
                <c:pt idx="185">
                  <c:v>8.7458373869503561</c:v>
                </c:pt>
                <c:pt idx="186">
                  <c:v>8.7694429289036062</c:v>
                </c:pt>
                <c:pt idx="187">
                  <c:v>8.7929850999314354</c:v>
                </c:pt>
                <c:pt idx="188">
                  <c:v>8.8164644076826537</c:v>
                </c:pt>
                <c:pt idx="189">
                  <c:v>8.8398813530642961</c:v>
                </c:pt>
                <c:pt idx="190">
                  <c:v>8.8632364303663174</c:v>
                </c:pt>
                <c:pt idx="191">
                  <c:v>8.8865301273833239</c:v>
                </c:pt>
                <c:pt idx="192">
                  <c:v>8.9097629255334443</c:v>
                </c:pt>
                <c:pt idx="193">
                  <c:v>8.9329352999744192</c:v>
                </c:pt>
                <c:pt idx="194">
                  <c:v>8.9560477197169881</c:v>
                </c:pt>
                <c:pt idx="195">
                  <c:v>8.9791006477356436</c:v>
                </c:pt>
                <c:pt idx="196">
                  <c:v>9.0020945410768416</c:v>
                </c:pt>
                <c:pt idx="197">
                  <c:v>9.0250298509647209</c:v>
                </c:pt>
                <c:pt idx="198">
                  <c:v>9.0479070229044183</c:v>
                </c:pt>
                <c:pt idx="199">
                  <c:v>9.0707264967830383</c:v>
                </c:pt>
                <c:pt idx="200">
                  <c:v>9.0934887069683388</c:v>
                </c:pt>
                <c:pt idx="201">
                  <c:v>9.1161940824051939</c:v>
                </c:pt>
                <c:pt idx="202">
                  <c:v>9.1388430467099226</c:v>
                </c:pt>
                <c:pt idx="203">
                  <c:v>9.1614360182624814</c:v>
                </c:pt>
                <c:pt idx="204">
                  <c:v>9.1839734102966499</c:v>
                </c:pt>
                <c:pt idx="205">
                  <c:v>9.20645563098822</c:v>
                </c:pt>
                <c:pt idx="206">
                  <c:v>9.2288830835412323</c:v>
                </c:pt>
                <c:pt idx="207">
                  <c:v>9.2512561662723574</c:v>
                </c:pt>
                <c:pt idx="208">
                  <c:v>9.2735752726934351</c:v>
                </c:pt>
                <c:pt idx="209">
                  <c:v>9.295840791592223</c:v>
                </c:pt>
                <c:pt idx="210">
                  <c:v>9.3180531071114174</c:v>
                </c:pt>
                <c:pt idx="211">
                  <c:v>9.3402125988259765</c:v>
                </c:pt>
                <c:pt idx="212">
                  <c:v>9.3623196418188108</c:v>
                </c:pt>
                <c:pt idx="213">
                  <c:v>9.384374606754843</c:v>
                </c:pt>
                <c:pt idx="214">
                  <c:v>9.4063778599535297</c:v>
                </c:pt>
                <c:pt idx="215">
                  <c:v>9.4283297634598426</c:v>
                </c:pt>
                <c:pt idx="216">
                  <c:v>9.4502306751137848</c:v>
                </c:pt>
                <c:pt idx="217">
                  <c:v>9.4720809486184372</c:v>
                </c:pt>
                <c:pt idx="218">
                  <c:v>9.4938809336066114</c:v>
                </c:pt>
                <c:pt idx="219">
                  <c:v>9.5156309757061273</c:v>
                </c:pt>
                <c:pt idx="220">
                  <c:v>9.5373314166037417</c:v>
                </c:pt>
                <c:pt idx="221">
                  <c:v>9.5589825941077837</c:v>
                </c:pt>
                <c:pt idx="222">
                  <c:v>9.580584842209495</c:v>
                </c:pt>
                <c:pt idx="223">
                  <c:v>9.6021384911431653</c:v>
                </c:pt>
                <c:pt idx="224">
                  <c:v>9.6236438674450095</c:v>
                </c:pt>
                <c:pt idx="225">
                  <c:v>9.6451012940109031</c:v>
                </c:pt>
                <c:pt idx="226">
                  <c:v>9.6665110901529285</c:v>
                </c:pt>
                <c:pt idx="227">
                  <c:v>9.6878735716548441</c:v>
                </c:pt>
                <c:pt idx="228">
                  <c:v>9.7091890508263976</c:v>
                </c:pt>
                <c:pt idx="229">
                  <c:v>9.7304578365566137</c:v>
                </c:pt>
                <c:pt idx="230">
                  <c:v>9.7516802343660132</c:v>
                </c:pt>
                <c:pt idx="231">
                  <c:v>9.7728565464578256</c:v>
                </c:pt>
                <c:pt idx="232">
                  <c:v>9.7939870717681856</c:v>
                </c:pt>
                <c:pt idx="233">
                  <c:v>9.8150721060153803</c:v>
                </c:pt>
                <c:pt idx="234">
                  <c:v>9.836111941748122</c:v>
                </c:pt>
                <c:pt idx="235">
                  <c:v>9.8571068683929166</c:v>
                </c:pt>
                <c:pt idx="236">
                  <c:v>9.8780571723005135</c:v>
                </c:pt>
                <c:pt idx="237">
                  <c:v>9.898963136791469</c:v>
                </c:pt>
                <c:pt idx="238">
                  <c:v>9.9198250422008574</c:v>
                </c:pt>
                <c:pt idx="239">
                  <c:v>9.9406431659221131</c:v>
                </c:pt>
                <c:pt idx="240">
                  <c:v>9.9614177824500878</c:v>
                </c:pt>
                <c:pt idx="241">
                  <c:v>9.9821491634232569</c:v>
                </c:pt>
                <c:pt idx="242">
                  <c:v>10.002837577665172</c:v>
                </c:pt>
                <c:pt idx="243">
                  <c:v>10.023483291225125</c:v>
                </c:pt>
                <c:pt idx="244">
                  <c:v>10.044086567418066</c:v>
                </c:pt>
                <c:pt idx="245">
                  <c:v>10.064647666863797</c:v>
                </c:pt>
                <c:pt idx="246">
                  <c:v>10.085166847525413</c:v>
                </c:pt>
                <c:pt idx="247">
                  <c:v>10.105644364747082</c:v>
                </c:pt>
                <c:pt idx="248">
                  <c:v>10.126080471291113</c:v>
                </c:pt>
                <c:pt idx="249">
                  <c:v>10.146475417374353</c:v>
                </c:pt>
                <c:pt idx="250">
                  <c:v>10.166829450703935</c:v>
                </c:pt>
                <c:pt idx="251">
                  <c:v>10.187142816512374</c:v>
                </c:pt>
                <c:pt idx="252">
                  <c:v>10.207415757592049</c:v>
                </c:pt>
                <c:pt idx="253">
                  <c:v>10.227648514329053</c:v>
                </c:pt>
                <c:pt idx="254">
                  <c:v>10.247841324736449</c:v>
                </c:pt>
                <c:pt idx="255">
                  <c:v>10.26799442448694</c:v>
                </c:pt>
                <c:pt idx="256">
                  <c:v>10.288108046944961</c:v>
                </c:pt>
                <c:pt idx="257">
                  <c:v>10.308182423198208</c:v>
                </c:pt>
                <c:pt idx="258">
                  <c:v>10.328217782088608</c:v>
                </c:pt>
                <c:pt idx="259">
                  <c:v>10.348214350242756</c:v>
                </c:pt>
                <c:pt idx="260">
                  <c:v>10.368172352101835</c:v>
                </c:pt>
                <c:pt idx="261">
                  <c:v>10.388092009950995</c:v>
                </c:pt>
                <c:pt idx="262">
                  <c:v>10.407973543948241</c:v>
                </c:pt>
                <c:pt idx="263">
                  <c:v>10.427817172152825</c:v>
                </c:pt>
                <c:pt idx="264">
                  <c:v>10.447623110553142</c:v>
                </c:pt>
                <c:pt idx="265">
                  <c:v>10.467391573094172</c:v>
                </c:pt>
                <c:pt idx="266">
                  <c:v>10.487122771704435</c:v>
                </c:pt>
                <c:pt idx="267">
                  <c:v>10.506816916322494</c:v>
                </c:pt>
                <c:pt idx="268">
                  <c:v>10.526474214923025</c:v>
                </c:pt>
                <c:pt idx="269">
                  <c:v>10.546094873542438</c:v>
                </c:pt>
                <c:pt idx="270">
                  <c:v>10.565679096304077</c:v>
                </c:pt>
                <c:pt idx="271">
                  <c:v>10.585227085442984</c:v>
                </c:pt>
                <c:pt idx="272">
                  <c:v>10.604739041330273</c:v>
                </c:pt>
                <c:pt idx="273">
                  <c:v>10.624215162497103</c:v>
                </c:pt>
                <c:pt idx="274">
                  <c:v>10.643655645658221</c:v>
                </c:pt>
                <c:pt idx="275">
                  <c:v>10.66306068573517</c:v>
                </c:pt>
                <c:pt idx="276">
                  <c:v>10.682430475879061</c:v>
                </c:pt>
                <c:pt idx="277">
                  <c:v>10.70176520749304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0D5-4403-B636-751C84E5EA8E}"/>
            </c:ext>
          </c:extLst>
        </c:ser>
        <c:ser>
          <c:idx val="4"/>
          <c:order val="2"/>
          <c:tx>
            <c:v>Rate of climb</c:v>
          </c:tx>
          <c:spPr>
            <a:ln w="76200" cmpd="thickThin"/>
          </c:spPr>
          <c:marker>
            <c:symbol val="none"/>
          </c:marker>
          <c:xVal>
            <c:numRef>
              <c:f>Hand_launch!$F$3:$F$280</c:f>
              <c:numCache>
                <c:formatCode>General</c:formatCode>
                <c:ptCount val="27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  <c:pt idx="262">
                  <c:v>1310</c:v>
                </c:pt>
                <c:pt idx="263">
                  <c:v>1315</c:v>
                </c:pt>
                <c:pt idx="264">
                  <c:v>1320</c:v>
                </c:pt>
                <c:pt idx="265">
                  <c:v>1325</c:v>
                </c:pt>
                <c:pt idx="266">
                  <c:v>1330</c:v>
                </c:pt>
                <c:pt idx="267">
                  <c:v>1335</c:v>
                </c:pt>
                <c:pt idx="268">
                  <c:v>1340</c:v>
                </c:pt>
                <c:pt idx="269">
                  <c:v>1345</c:v>
                </c:pt>
                <c:pt idx="270">
                  <c:v>1350</c:v>
                </c:pt>
                <c:pt idx="271">
                  <c:v>1355</c:v>
                </c:pt>
                <c:pt idx="272">
                  <c:v>1360</c:v>
                </c:pt>
                <c:pt idx="273">
                  <c:v>1365</c:v>
                </c:pt>
                <c:pt idx="274">
                  <c:v>1370</c:v>
                </c:pt>
                <c:pt idx="275">
                  <c:v>1375</c:v>
                </c:pt>
                <c:pt idx="276">
                  <c:v>1380</c:v>
                </c:pt>
                <c:pt idx="277">
                  <c:v>1385</c:v>
                </c:pt>
              </c:numCache>
            </c:numRef>
          </c:xVal>
          <c:yVal>
            <c:numRef>
              <c:f>'Rate of climb'!$K$3:$K$280</c:f>
              <c:numCache>
                <c:formatCode>General</c:formatCode>
                <c:ptCount val="278"/>
                <c:pt idx="0">
                  <c:v>11.320754716981131</c:v>
                </c:pt>
                <c:pt idx="1">
                  <c:v>11.839303409265593</c:v>
                </c:pt>
                <c:pt idx="2">
                  <c:v>12.054093310360649</c:v>
                </c:pt>
                <c:pt idx="3">
                  <c:v>12.218907398216217</c:v>
                </c:pt>
                <c:pt idx="4">
                  <c:v>12.357852101550051</c:v>
                </c:pt>
                <c:pt idx="5">
                  <c:v>12.480264842572806</c:v>
                </c:pt>
                <c:pt idx="6">
                  <c:v>12.590934419865549</c:v>
                </c:pt>
                <c:pt idx="7">
                  <c:v>12.692705599443572</c:v>
                </c:pt>
                <c:pt idx="8">
                  <c:v>12.787431903740165</c:v>
                </c:pt>
                <c:pt idx="9">
                  <c:v>12.876400793834513</c:v>
                </c:pt>
                <c:pt idx="10">
                  <c:v>12.960549662301808</c:v>
                </c:pt>
                <c:pt idx="11">
                  <c:v>13.040586164818148</c:v>
                </c:pt>
                <c:pt idx="12">
                  <c:v>13.117060079451301</c:v>
                </c:pt>
                <c:pt idx="13">
                  <c:v>13.190408615837553</c:v>
                </c:pt>
                <c:pt idx="14">
                  <c:v>13.260986261869252</c:v>
                </c:pt>
                <c:pt idx="15">
                  <c:v>13.329085166396482</c:v>
                </c:pt>
                <c:pt idx="16">
                  <c:v>13.394949486118975</c:v>
                </c:pt>
                <c:pt idx="17">
                  <c:v>13.458785747295872</c:v>
                </c:pt>
                <c:pt idx="18">
                  <c:v>13.520770497119683</c:v>
                </c:pt>
                <c:pt idx="19">
                  <c:v>13.581056063954264</c:v>
                </c:pt>
                <c:pt idx="20">
                  <c:v>13.639774968164481</c:v>
                </c:pt>
                <c:pt idx="21">
                  <c:v>13.697043350895036</c:v>
                </c:pt>
                <c:pt idx="22">
                  <c:v>13.752963675507996</c:v>
                </c:pt>
                <c:pt idx="23">
                  <c:v>13.807626881811537</c:v>
                </c:pt>
                <c:pt idx="24">
                  <c:v>13.861114122749965</c:v>
                </c:pt>
                <c:pt idx="25">
                  <c:v>13.913498178403435</c:v>
                </c:pt>
                <c:pt idx="26">
                  <c:v>13.964844617687618</c:v>
                </c:pt>
                <c:pt idx="27">
                  <c:v>14.015212760686387</c:v>
                </c:pt>
                <c:pt idx="28">
                  <c:v>14.064656481906013</c:v>
                </c:pt>
                <c:pt idx="29">
                  <c:v>14.113224885457029</c:v>
                </c:pt>
                <c:pt idx="30">
                  <c:v>14.160962876271174</c:v>
                </c:pt>
                <c:pt idx="31">
                  <c:v>14.207911646274663</c:v>
                </c:pt>
                <c:pt idx="32">
                  <c:v>14.254109090499201</c:v>
                </c:pt>
                <c:pt idx="33">
                  <c:v>14.299590165089587</c:v>
                </c:pt>
                <c:pt idx="34">
                  <c:v>14.34438719682676</c:v>
                </c:pt>
                <c:pt idx="35">
                  <c:v>14.388530151957973</c:v>
                </c:pt>
                <c:pt idx="36">
                  <c:v>14.432046870687897</c:v>
                </c:pt>
                <c:pt idx="37">
                  <c:v>14.474963272544191</c:v>
                </c:pt>
                <c:pt idx="38">
                  <c:v>14.517303536920712</c:v>
                </c:pt>
                <c:pt idx="39">
                  <c:v>14.559090262369695</c:v>
                </c:pt>
                <c:pt idx="40">
                  <c:v>14.600344607622485</c:v>
                </c:pt>
                <c:pt idx="41">
                  <c:v>14.64108641683687</c:v>
                </c:pt>
                <c:pt idx="42">
                  <c:v>14.68133433117521</c:v>
                </c:pt>
                <c:pt idx="43">
                  <c:v>14.721105888493678</c:v>
                </c:pt>
                <c:pt idx="44">
                  <c:v>14.760417612655164</c:v>
                </c:pt>
                <c:pt idx="45">
                  <c:v>14.799285093756156</c:v>
                </c:pt>
                <c:pt idx="46">
                  <c:v>14.837723060372427</c:v>
                </c:pt>
                <c:pt idx="47">
                  <c:v>14.875745444773038</c:v>
                </c:pt>
                <c:pt idx="48">
                  <c:v>14.913365441921473</c:v>
                </c:pt>
                <c:pt idx="49">
                  <c:v>14.950595562972355</c:v>
                </c:pt>
                <c:pt idx="50">
                  <c:v>14.987447683878717</c:v>
                </c:pt>
                <c:pt idx="51">
                  <c:v>15.023933089645098</c:v>
                </c:pt>
                <c:pt idx="52">
                  <c:v>15.060062514693975</c:v>
                </c:pt>
                <c:pt idx="53">
                  <c:v>15.095846179754714</c:v>
                </c:pt>
                <c:pt idx="54">
                  <c:v>15.131293825634382</c:v>
                </c:pt>
                <c:pt idx="55">
                  <c:v>15.166414744186584</c:v>
                </c:pt>
                <c:pt idx="56">
                  <c:v>15.201217806757374</c:v>
                </c:pt>
                <c:pt idx="57">
                  <c:v>15.235711490354969</c:v>
                </c:pt>
                <c:pt idx="58">
                  <c:v>15.269903901762028</c:v>
                </c:pt>
                <c:pt idx="59">
                  <c:v>15.303802799784743</c:v>
                </c:pt>
                <c:pt idx="60">
                  <c:v>15.337415615811834</c:v>
                </c:pt>
                <c:pt idx="61">
                  <c:v>15.370749472837662</c:v>
                </c:pt>
                <c:pt idx="62">
                  <c:v>15.403811203087502</c:v>
                </c:pt>
                <c:pt idx="63">
                  <c:v>15.436607364368454</c:v>
                </c:pt>
                <c:pt idx="64">
                  <c:v>15.469144255256818</c:v>
                </c:pt>
                <c:pt idx="65">
                  <c:v>15.501427929221604</c:v>
                </c:pt>
                <c:pt idx="66">
                  <c:v>15.533464207773845</c:v>
                </c:pt>
                <c:pt idx="67">
                  <c:v>15.565258692722576</c:v>
                </c:pt>
                <c:pt idx="68">
                  <c:v>15.596816777610615</c:v>
                </c:pt>
                <c:pt idx="69">
                  <c:v>15.628143658396194</c:v>
                </c:pt>
                <c:pt idx="70">
                  <c:v>15.659244343440403</c:v>
                </c:pt>
                <c:pt idx="71">
                  <c:v>15.690123662854736</c:v>
                </c:pt>
                <c:pt idx="72">
                  <c:v>15.720786277258235</c:v>
                </c:pt>
                <c:pt idx="73">
                  <c:v>15.751236685989072</c:v>
                </c:pt>
                <c:pt idx="74">
                  <c:v>15.781479234811661</c:v>
                </c:pt>
                <c:pt idx="75">
                  <c:v>15.811518123156556</c:v>
                </c:pt>
                <c:pt idx="76">
                  <c:v>15.841357410927399</c:v>
                </c:pt>
                <c:pt idx="77">
                  <c:v>15.871001024906029</c:v>
                </c:pt>
                <c:pt idx="78">
                  <c:v>15.900452764784511</c:v>
                </c:pt>
                <c:pt idx="79">
                  <c:v>15.929716308850175</c:v>
                </c:pt>
                <c:pt idx="80">
                  <c:v>15.958795219347831</c:v>
                </c:pt>
                <c:pt idx="81">
                  <c:v>15.987692947541278</c:v>
                </c:pt>
                <c:pt idx="82">
                  <c:v>16.016412838494428</c:v>
                </c:pt>
                <c:pt idx="83">
                  <c:v>16.044958135590846</c:v>
                </c:pt>
                <c:pt idx="84">
                  <c:v>16.073331984808942</c:v>
                </c:pt>
                <c:pt idx="85">
                  <c:v>16.101537438768805</c:v>
                </c:pt>
                <c:pt idx="86">
                  <c:v>16.129577460565418</c:v>
                </c:pt>
                <c:pt idx="87">
                  <c:v>16.157454927401808</c:v>
                </c:pt>
                <c:pt idx="88">
                  <c:v>16.18517263403486</c:v>
                </c:pt>
                <c:pt idx="89">
                  <c:v>16.212733296045361</c:v>
                </c:pt>
                <c:pt idx="90">
                  <c:v>16.240139552943166</c:v>
                </c:pt>
                <c:pt idx="91">
                  <c:v>16.267393971117531</c:v>
                </c:pt>
                <c:pt idx="92">
                  <c:v>16.294499046641942</c:v>
                </c:pt>
                <c:pt idx="93">
                  <c:v>16.321457207942075</c:v>
                </c:pt>
                <c:pt idx="94">
                  <c:v>16.348270818335049</c:v>
                </c:pt>
                <c:pt idx="95">
                  <c:v>16.374942178447398</c:v>
                </c:pt>
                <c:pt idx="96">
                  <c:v>16.4014735285188</c:v>
                </c:pt>
                <c:pt idx="97">
                  <c:v>16.42786705059811</c:v>
                </c:pt>
                <c:pt idx="98">
                  <c:v>16.454124870637749</c:v>
                </c:pt>
                <c:pt idx="99">
                  <c:v>16.480249060492181</c:v>
                </c:pt>
                <c:pt idx="100">
                  <c:v>16.506241639825738</c:v>
                </c:pt>
                <c:pt idx="101">
                  <c:v>16.532104577934852</c:v>
                </c:pt>
                <c:pt idx="102">
                  <c:v>16.55783979548924</c:v>
                </c:pt>
                <c:pt idx="103">
                  <c:v>16.583449166196495</c:v>
                </c:pt>
                <c:pt idx="104">
                  <c:v>16.608934518394104</c:v>
                </c:pt>
                <c:pt idx="105">
                  <c:v>16.634297636572736</c:v>
                </c:pt>
                <c:pt idx="106">
                  <c:v>16.659540262834419</c:v>
                </c:pt>
                <c:pt idx="107">
                  <c:v>16.684664098288941</c:v>
                </c:pt>
                <c:pt idx="108">
                  <c:v>16.709670804391642</c:v>
                </c:pt>
                <c:pt idx="109">
                  <c:v>16.734562004225641</c:v>
                </c:pt>
                <c:pt idx="110">
                  <c:v>16.759339283731169</c:v>
                </c:pt>
                <c:pt idx="111">
                  <c:v>16.784004192884794</c:v>
                </c:pt>
                <c:pt idx="112">
                  <c:v>16.808558246830898</c:v>
                </c:pt>
                <c:pt idx="113">
                  <c:v>16.833002926967819</c:v>
                </c:pt>
                <c:pt idx="114">
                  <c:v>16.857339681990823</c:v>
                </c:pt>
                <c:pt idx="115">
                  <c:v>16.881569928893978</c:v>
                </c:pt>
                <c:pt idx="116">
                  <c:v>16.905695053932927</c:v>
                </c:pt>
                <c:pt idx="117">
                  <c:v>16.929716413550395</c:v>
                </c:pt>
                <c:pt idx="118">
                  <c:v>16.953635335266156</c:v>
                </c:pt>
                <c:pt idx="119">
                  <c:v>16.977453118533134</c:v>
                </c:pt>
                <c:pt idx="120">
                  <c:v>17.001171035561217</c:v>
                </c:pt>
                <c:pt idx="121">
                  <c:v>17.0247903321102</c:v>
                </c:pt>
                <c:pt idx="122">
                  <c:v>17.048312228253344</c:v>
                </c:pt>
                <c:pt idx="123">
                  <c:v>17.071737919112806</c:v>
                </c:pt>
                <c:pt idx="124">
                  <c:v>17.095068575568195</c:v>
                </c:pt>
                <c:pt idx="125">
                  <c:v>17.118305344939508</c:v>
                </c:pt>
                <c:pt idx="126">
                  <c:v>17.141449351645491</c:v>
                </c:pt>
                <c:pt idx="127">
                  <c:v>17.164501697838567</c:v>
                </c:pt>
                <c:pt idx="128">
                  <c:v>17.18746346401727</c:v>
                </c:pt>
                <c:pt idx="129">
                  <c:v>17.210335709617215</c:v>
                </c:pt>
                <c:pt idx="130">
                  <c:v>17.233119473581503</c:v>
                </c:pt>
                <c:pt idx="131">
                  <c:v>17.255815774911376</c:v>
                </c:pt>
                <c:pt idx="132">
                  <c:v>17.278425613198042</c:v>
                </c:pt>
                <c:pt idx="133">
                  <c:v>17.300949969136362</c:v>
                </c:pt>
                <c:pt idx="134">
                  <c:v>17.323389805021208</c:v>
                </c:pt>
                <c:pt idx="135">
                  <c:v>17.345746065227186</c:v>
                </c:pt>
                <c:pt idx="136">
                  <c:v>17.36801967667239</c:v>
                </c:pt>
                <c:pt idx="137">
                  <c:v>17.390211549266837</c:v>
                </c:pt>
                <c:pt idx="138">
                  <c:v>17.412322576346202</c:v>
                </c:pt>
                <c:pt idx="139">
                  <c:v>17.434353635091437</c:v>
                </c:pt>
                <c:pt idx="140">
                  <c:v>17.456305586934814</c:v>
                </c:pt>
                <c:pt idx="141">
                  <c:v>17.478179277952975</c:v>
                </c:pt>
                <c:pt idx="142">
                  <c:v>17.499975539247416</c:v>
                </c:pt>
                <c:pt idx="143">
                  <c:v>17.521695187312964</c:v>
                </c:pt>
                <c:pt idx="144">
                  <c:v>17.543339024394662</c:v>
                </c:pt>
                <c:pt idx="145">
                  <c:v>17.564907838833527</c:v>
                </c:pt>
                <c:pt idx="146">
                  <c:v>17.586402405401618</c:v>
                </c:pt>
                <c:pt idx="147">
                  <c:v>17.607823485626731</c:v>
                </c:pt>
                <c:pt idx="148">
                  <c:v>17.62917182810725</c:v>
                </c:pt>
                <c:pt idx="149">
                  <c:v>17.650448168817384</c:v>
                </c:pt>
                <c:pt idx="150">
                  <c:v>17.671653231403216</c:v>
                </c:pt>
                <c:pt idx="151">
                  <c:v>17.692787727469902</c:v>
                </c:pt>
                <c:pt idx="152">
                  <c:v>17.713852356860293</c:v>
                </c:pt>
                <c:pt idx="153">
                  <c:v>17.734847807925355</c:v>
                </c:pt>
                <c:pt idx="154">
                  <c:v>17.755774757786629</c:v>
                </c:pt>
                <c:pt idx="155">
                  <c:v>17.77663387259102</c:v>
                </c:pt>
                <c:pt idx="156">
                  <c:v>17.797425807758259</c:v>
                </c:pt>
                <c:pt idx="157">
                  <c:v>17.818151208221153</c:v>
                </c:pt>
                <c:pt idx="158">
                  <c:v>17.838810708659022</c:v>
                </c:pt>
                <c:pt idx="159">
                  <c:v>17.859404933724491</c:v>
                </c:pt>
                <c:pt idx="160">
                  <c:v>17.87993449826384</c:v>
                </c:pt>
                <c:pt idx="161">
                  <c:v>17.900400007531211</c:v>
                </c:pt>
                <c:pt idx="162">
                  <c:v>17.920802057396784</c:v>
                </c:pt>
                <c:pt idx="163">
                  <c:v>17.941141234549246</c:v>
                </c:pt>
                <c:pt idx="164">
                  <c:v>17.961418116692609</c:v>
                </c:pt>
                <c:pt idx="165">
                  <c:v>17.981633272737689</c:v>
                </c:pt>
                <c:pt idx="166">
                  <c:v>18.00178726298833</c:v>
                </c:pt>
                <c:pt idx="167">
                  <c:v>18.021880639322646</c:v>
                </c:pt>
                <c:pt idx="168">
                  <c:v>18.041913945369291</c:v>
                </c:pt>
                <c:pt idx="169">
                  <c:v>18.06188771667912</c:v>
                </c:pt>
                <c:pt idx="170">
                  <c:v>18.081802480892222</c:v>
                </c:pt>
                <c:pt idx="171">
                  <c:v>18.101658757900534</c:v>
                </c:pt>
                <c:pt idx="172">
                  <c:v>18.121457060006225</c:v>
                </c:pt>
                <c:pt idx="173">
                  <c:v>18.141197892075908</c:v>
                </c:pt>
                <c:pt idx="174">
                  <c:v>18.160881751690855</c:v>
                </c:pt>
                <c:pt idx="175">
                  <c:v>18.180509129293338</c:v>
                </c:pt>
                <c:pt idx="176">
                  <c:v>18.200080508329197</c:v>
                </c:pt>
                <c:pt idx="177">
                  <c:v>18.219596365386796</c:v>
                </c:pt>
                <c:pt idx="178">
                  <c:v>18.239057170332426</c:v>
                </c:pt>
                <c:pt idx="179">
                  <c:v>18.258463386442287</c:v>
                </c:pt>
                <c:pt idx="180">
                  <c:v>18.277815470531181</c:v>
                </c:pt>
                <c:pt idx="181">
                  <c:v>18.297113873077979</c:v>
                </c:pt>
                <c:pt idx="182">
                  <c:v>18.316359038347958</c:v>
                </c:pt>
                <c:pt idx="183">
                  <c:v>18.335551404512152</c:v>
                </c:pt>
                <c:pt idx="184">
                  <c:v>18.354691403763724</c:v>
                </c:pt>
                <c:pt idx="185">
                  <c:v>18.373779462431553</c:v>
                </c:pt>
                <c:pt idx="186">
                  <c:v>18.392816001091017</c:v>
                </c:pt>
                <c:pt idx="187">
                  <c:v>18.4118014346721</c:v>
                </c:pt>
                <c:pt idx="188">
                  <c:v>18.430736172564949</c:v>
                </c:pt>
                <c:pt idx="189">
                  <c:v>18.449620618722843</c:v>
                </c:pt>
                <c:pt idx="190">
                  <c:v>18.46845517176277</c:v>
                </c:pt>
                <c:pt idx="191">
                  <c:v>18.487240225063566</c:v>
                </c:pt>
                <c:pt idx="192">
                  <c:v>18.505976166861814</c:v>
                </c:pt>
                <c:pt idx="193">
                  <c:v>18.524663380345444</c:v>
                </c:pt>
                <c:pt idx="194">
                  <c:v>18.54330224374517</c:v>
                </c:pt>
                <c:pt idx="195">
                  <c:v>18.561893130423819</c:v>
                </c:pt>
                <c:pt idx="196">
                  <c:v>18.580436408963582</c:v>
                </c:pt>
                <c:pt idx="197">
                  <c:v>18.598932443251293</c:v>
                </c:pt>
                <c:pt idx="198">
                  <c:v>18.617381592561724</c:v>
                </c:pt>
                <c:pt idx="199">
                  <c:v>18.635784211639027</c:v>
                </c:pt>
                <c:pt idx="200">
                  <c:v>18.654140650776302</c:v>
                </c:pt>
                <c:pt idx="201">
                  <c:v>18.67245125589341</c:v>
                </c:pt>
                <c:pt idx="202">
                  <c:v>18.690716368613028</c:v>
                </c:pt>
                <c:pt idx="203">
                  <c:v>18.708936326334996</c:v>
                </c:pt>
                <c:pt idx="204">
                  <c:v>18.727111462309065</c:v>
                </c:pt>
                <c:pt idx="205">
                  <c:v>18.745242105705991</c:v>
                </c:pt>
                <c:pt idx="206">
                  <c:v>18.763328581687105</c:v>
                </c:pt>
                <c:pt idx="207">
                  <c:v>18.781371211472344</c:v>
                </c:pt>
                <c:pt idx="208">
                  <c:v>18.799370312406818</c:v>
                </c:pt>
                <c:pt idx="209">
                  <c:v>18.817326198025928</c:v>
                </c:pt>
                <c:pt idx="210">
                  <c:v>18.83523917811911</c:v>
                </c:pt>
                <c:pt idx="211">
                  <c:v>18.853109558792159</c:v>
                </c:pt>
                <c:pt idx="212">
                  <c:v>18.870937642528297</c:v>
                </c:pt>
                <c:pt idx="213">
                  <c:v>18.888723728247886</c:v>
                </c:pt>
                <c:pt idx="214">
                  <c:v>18.906468111366912</c:v>
                </c:pt>
                <c:pt idx="215">
                  <c:v>18.92417108385423</c:v>
                </c:pt>
                <c:pt idx="216">
                  <c:v>18.941832934287632</c:v>
                </c:pt>
                <c:pt idx="217">
                  <c:v>18.959453947908713</c:v>
                </c:pt>
                <c:pt idx="218">
                  <c:v>18.977034406676609</c:v>
                </c:pt>
                <c:pt idx="219">
                  <c:v>18.994574589320685</c:v>
                </c:pt>
                <c:pt idx="220">
                  <c:v>19.012074771392037</c:v>
                </c:pt>
                <c:pt idx="221">
                  <c:v>19.029535225314035</c:v>
                </c:pt>
                <c:pt idx="222">
                  <c:v>19.046956220431788</c:v>
                </c:pt>
                <c:pt idx="223">
                  <c:v>19.064338023060632</c:v>
                </c:pt>
                <c:pt idx="224">
                  <c:v>19.081680896533612</c:v>
                </c:pt>
                <c:pt idx="225">
                  <c:v>19.098985101248044</c:v>
                </c:pt>
                <c:pt idx="226">
                  <c:v>19.116250894711122</c:v>
                </c:pt>
                <c:pt idx="227">
                  <c:v>19.133478531584643</c:v>
                </c:pt>
                <c:pt idx="228">
                  <c:v>19.150668263728807</c:v>
                </c:pt>
                <c:pt idx="229">
                  <c:v>19.1678203402452</c:v>
                </c:pt>
                <c:pt idx="230">
                  <c:v>19.184935007518895</c:v>
                </c:pt>
                <c:pt idx="231">
                  <c:v>19.202012509259756</c:v>
                </c:pt>
                <c:pt idx="232">
                  <c:v>19.219053086542925</c:v>
                </c:pt>
                <c:pt idx="233">
                  <c:v>19.23605697784852</c:v>
                </c:pt>
                <c:pt idx="234">
                  <c:v>19.253024419100591</c:v>
                </c:pt>
                <c:pt idx="235">
                  <c:v>19.269955643705291</c:v>
                </c:pt>
                <c:pt idx="236">
                  <c:v>19.286850882588357</c:v>
                </c:pt>
                <c:pt idx="237">
                  <c:v>19.303710364231847</c:v>
                </c:pt>
                <c:pt idx="238">
                  <c:v>19.320534314710184</c:v>
                </c:pt>
                <c:pt idx="239">
                  <c:v>19.337322957725544</c:v>
                </c:pt>
                <c:pt idx="240">
                  <c:v>19.354076514642536</c:v>
                </c:pt>
                <c:pt idx="241">
                  <c:v>19.370795204522285</c:v>
                </c:pt>
                <c:pt idx="242">
                  <c:v>19.38747924415582</c:v>
                </c:pt>
                <c:pt idx="243">
                  <c:v>19.404128848096903</c:v>
                </c:pt>
                <c:pt idx="244">
                  <c:v>19.42074422869419</c:v>
                </c:pt>
                <c:pt idx="245">
                  <c:v>19.437325596122854</c:v>
                </c:pt>
                <c:pt idx="246">
                  <c:v>19.453873158415597</c:v>
                </c:pt>
                <c:pt idx="247">
                  <c:v>19.47038712149309</c:v>
                </c:pt>
                <c:pt idx="248">
                  <c:v>19.486867689193875</c:v>
                </c:pt>
                <c:pt idx="249">
                  <c:v>19.503315063303742</c:v>
                </c:pt>
                <c:pt idx="250">
                  <c:v>19.51972944358452</c:v>
                </c:pt>
                <c:pt idx="251">
                  <c:v>19.536111027802409</c:v>
                </c:pt>
                <c:pt idx="252">
                  <c:v>19.552460011755777</c:v>
                </c:pt>
                <c:pt idx="253">
                  <c:v>19.568776589302448</c:v>
                </c:pt>
                <c:pt idx="254">
                  <c:v>19.585060952386545</c:v>
                </c:pt>
                <c:pt idx="255">
                  <c:v>19.601313291064809</c:v>
                </c:pt>
                <c:pt idx="256">
                  <c:v>19.617533793532505</c:v>
                </c:pt>
                <c:pt idx="257">
                  <c:v>19.633722646148826</c:v>
                </c:pt>
                <c:pt idx="258">
                  <c:v>19.649880033461876</c:v>
                </c:pt>
                <c:pt idx="259">
                  <c:v>19.666006138233243</c:v>
                </c:pt>
                <c:pt idx="260">
                  <c:v>19.682101141462081</c:v>
                </c:pt>
                <c:pt idx="261">
                  <c:v>19.698165222408825</c:v>
                </c:pt>
                <c:pt idx="262">
                  <c:v>19.714198558618495</c:v>
                </c:pt>
                <c:pt idx="263">
                  <c:v>19.730201325943586</c:v>
                </c:pt>
                <c:pt idx="264">
                  <c:v>19.746173698566558</c:v>
                </c:pt>
                <c:pt idx="265">
                  <c:v>19.762115849021981</c:v>
                </c:pt>
                <c:pt idx="266">
                  <c:v>19.778027948218249</c:v>
                </c:pt>
                <c:pt idx="267">
                  <c:v>19.793910165458975</c:v>
                </c:pt>
                <c:pt idx="268">
                  <c:v>19.809762668464021</c:v>
                </c:pt>
                <c:pt idx="269">
                  <c:v>19.825585623390126</c:v>
                </c:pt>
                <c:pt idx="270">
                  <c:v>19.841379194851257</c:v>
                </c:pt>
                <c:pt idx="271">
                  <c:v>19.85714354593858</c:v>
                </c:pt>
                <c:pt idx="272">
                  <c:v>19.872878838240098</c:v>
                </c:pt>
                <c:pt idx="273">
                  <c:v>19.888585231859992</c:v>
                </c:pt>
                <c:pt idx="274">
                  <c:v>19.904262885437621</c:v>
                </c:pt>
                <c:pt idx="275">
                  <c:v>19.919911956166214</c:v>
                </c:pt>
                <c:pt idx="276">
                  <c:v>19.93553259981126</c:v>
                </c:pt>
                <c:pt idx="277">
                  <c:v>19.951124970728593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0D5-4403-B636-751C84E5EA8E}"/>
            </c:ext>
          </c:extLst>
        </c:ser>
        <c:ser>
          <c:idx val="5"/>
          <c:order val="3"/>
          <c:tx>
            <c:v>Turns</c:v>
          </c:tx>
          <c:spPr>
            <a:ln w="76200" cmpd="thickThin"/>
          </c:spPr>
          <c:marker>
            <c:symbol val="none"/>
          </c:marker>
          <c:xVal>
            <c:numRef>
              <c:f>Hand_launch!$F$3:$F$280</c:f>
              <c:numCache>
                <c:formatCode>General</c:formatCode>
                <c:ptCount val="27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  <c:pt idx="262">
                  <c:v>1310</c:v>
                </c:pt>
                <c:pt idx="263">
                  <c:v>1315</c:v>
                </c:pt>
                <c:pt idx="264">
                  <c:v>1320</c:v>
                </c:pt>
                <c:pt idx="265">
                  <c:v>1325</c:v>
                </c:pt>
                <c:pt idx="266">
                  <c:v>1330</c:v>
                </c:pt>
                <c:pt idx="267">
                  <c:v>1335</c:v>
                </c:pt>
                <c:pt idx="268">
                  <c:v>1340</c:v>
                </c:pt>
                <c:pt idx="269">
                  <c:v>1345</c:v>
                </c:pt>
                <c:pt idx="270">
                  <c:v>1350</c:v>
                </c:pt>
                <c:pt idx="271">
                  <c:v>1355</c:v>
                </c:pt>
                <c:pt idx="272">
                  <c:v>1360</c:v>
                </c:pt>
                <c:pt idx="273">
                  <c:v>1365</c:v>
                </c:pt>
                <c:pt idx="274">
                  <c:v>1370</c:v>
                </c:pt>
                <c:pt idx="275">
                  <c:v>1375</c:v>
                </c:pt>
                <c:pt idx="276">
                  <c:v>1380</c:v>
                </c:pt>
                <c:pt idx="277">
                  <c:v>1385</c:v>
                </c:pt>
              </c:numCache>
            </c:numRef>
          </c:xVal>
          <c:yVal>
            <c:numRef>
              <c:f>Turns!$K$3:$K$280</c:f>
              <c:numCache>
                <c:formatCode>General</c:formatCode>
                <c:ptCount val="278"/>
                <c:pt idx="1">
                  <c:v>443.83987785868993</c:v>
                </c:pt>
                <c:pt idx="2">
                  <c:v>222.01937835888927</c:v>
                </c:pt>
                <c:pt idx="3">
                  <c:v>148.12340716097538</c:v>
                </c:pt>
                <c:pt idx="4">
                  <c:v>111.20856803853322</c:v>
                </c:pt>
                <c:pt idx="5">
                  <c:v>89.086181746279706</c:v>
                </c:pt>
                <c:pt idx="6">
                  <c:v>74.360021869120544</c:v>
                </c:pt>
                <c:pt idx="7">
                  <c:v>63.860277086301018</c:v>
                </c:pt>
                <c:pt idx="8">
                  <c:v>56.002041737443754</c:v>
                </c:pt>
                <c:pt idx="9">
                  <c:v>49.904812677894654</c:v>
                </c:pt>
                <c:pt idx="10">
                  <c:v>45.04028802086129</c:v>
                </c:pt>
                <c:pt idx="11">
                  <c:v>41.072275656566624</c:v>
                </c:pt>
                <c:pt idx="12">
                  <c:v>37.776647511825992</c:v>
                </c:pt>
                <c:pt idx="13">
                  <c:v>34.998237997511545</c:v>
                </c:pt>
                <c:pt idx="14">
                  <c:v>32.626214549960515</c:v>
                </c:pt>
                <c:pt idx="15">
                  <c:v>30.579299955820225</c:v>
                </c:pt>
                <c:pt idx="16">
                  <c:v>28.79653630507617</c:v>
                </c:pt>
                <c:pt idx="17">
                  <c:v>27.231308725364293</c:v>
                </c:pt>
                <c:pt idx="18">
                  <c:v>25.84736120484591</c:v>
                </c:pt>
                <c:pt idx="19">
                  <c:v>24.616070576279935</c:v>
                </c:pt>
                <c:pt idx="20">
                  <c:v>23.514538305873511</c:v>
                </c:pt>
                <c:pt idx="21">
                  <c:v>22.524227485318129</c:v>
                </c:pt>
                <c:pt idx="22">
                  <c:v>21.629971553270465</c:v>
                </c:pt>
                <c:pt idx="23">
                  <c:v>20.819241611229518</c:v>
                </c:pt>
                <c:pt idx="24">
                  <c:v>20.081596910444439</c:v>
                </c:pt>
                <c:pt idx="25">
                  <c:v>19.408267221964529</c:v>
                </c:pt>
                <c:pt idx="26">
                  <c:v>18.791831582831502</c:v>
                </c:pt>
                <c:pt idx="27">
                  <c:v>18.225968432006809</c:v>
                </c:pt>
                <c:pt idx="28">
                  <c:v>17.705259288600271</c:v>
                </c:pt>
                <c:pt idx="29">
                  <c:v>17.225033048396224</c:v>
                </c:pt>
                <c:pt idx="30">
                  <c:v>16.781241421074416</c:v>
                </c:pt>
                <c:pt idx="31">
                  <c:v>16.370358476355918</c:v>
                </c:pt>
                <c:pt idx="32">
                  <c:v>15.989299025246675</c:v>
                </c:pt>
                <c:pt idx="33">
                  <c:v>15.635351841054927</c:v>
                </c:pt>
                <c:pt idx="34">
                  <c:v>15.30612466493502</c:v>
                </c:pt>
                <c:pt idx="35">
                  <c:v>14.999498639052225</c:v>
                </c:pt>
                <c:pt idx="36">
                  <c:v>14.713590334220116</c:v>
                </c:pt>
                <c:pt idx="37">
                  <c:v>14.446719935218363</c:v>
                </c:pt>
                <c:pt idx="38">
                  <c:v>14.197384449481417</c:v>
                </c:pt>
                <c:pt idx="39">
                  <c:v>13.964235037527365</c:v>
                </c:pt>
                <c:pt idx="40">
                  <c:v>13.74605774382249</c:v>
                </c:pt>
                <c:pt idx="41">
                  <c:v>13.541757047519297</c:v>
                </c:pt>
                <c:pt idx="42">
                  <c:v>13.350341763089089</c:v>
                </c:pt>
                <c:pt idx="43">
                  <c:v>13.170912908308168</c:v>
                </c:pt>
                <c:pt idx="44">
                  <c:v>13.00265322660954</c:v>
                </c:pt>
                <c:pt idx="45">
                  <c:v>12.84481810645439</c:v>
                </c:pt>
                <c:pt idx="46">
                  <c:v>12.696727685133355</c:v>
                </c:pt>
                <c:pt idx="47">
                  <c:v>12.557759960593192</c:v>
                </c:pt>
                <c:pt idx="48">
                  <c:v>12.427344764285104</c:v>
                </c:pt>
                <c:pt idx="49">
                  <c:v>12.304958472031608</c:v>
                </c:pt>
                <c:pt idx="50">
                  <c:v>12.190119349589432</c:v>
                </c:pt>
                <c:pt idx="51">
                  <c:v>12.08238344579321</c:v>
                </c:pt>
                <c:pt idx="52">
                  <c:v>11.981340959567207</c:v>
                </c:pt>
                <c:pt idx="53">
                  <c:v>11.886613018218769</c:v>
                </c:pt>
                <c:pt idx="54">
                  <c:v>11.797848813699146</c:v>
                </c:pt>
                <c:pt idx="55">
                  <c:v>11.71472305127222</c:v>
                </c:pt>
                <c:pt idx="56">
                  <c:v>11.636933671540167</c:v>
                </c:pt>
                <c:pt idx="57">
                  <c:v>11.564199812255888</c:v>
                </c:pt>
                <c:pt idx="58">
                  <c:v>11.496259980982432</c:v>
                </c:pt>
                <c:pt idx="59">
                  <c:v>11.432870413583649</c:v>
                </c:pt>
                <c:pt idx="60">
                  <c:v>11.373803596865811</c:v>
                </c:pt>
                <c:pt idx="61">
                  <c:v>11.318846936533133</c:v>
                </c:pt>
                <c:pt idx="62">
                  <c:v>11.26780155405085</c:v>
                </c:pt>
                <c:pt idx="63">
                  <c:v>11.220481198092749</c:v>
                </c:pt>
                <c:pt idx="64">
                  <c:v>11.176711258040513</c:v>
                </c:pt>
                <c:pt idx="65">
                  <c:v>11.136327868544637</c:v>
                </c:pt>
                <c:pt idx="66">
                  <c:v>11.099177095488928</c:v>
                </c:pt>
                <c:pt idx="67">
                  <c:v>11.06511419485367</c:v>
                </c:pt>
                <c:pt idx="68">
                  <c:v>11.034002936973261</c:v>
                </c:pt>
                <c:pt idx="69">
                  <c:v>11.00571498955401</c:v>
                </c:pt>
                <c:pt idx="70">
                  <c:v>10.980129353576149</c:v>
                </c:pt>
                <c:pt idx="71">
                  <c:v>10.957131846866107</c:v>
                </c:pt>
                <c:pt idx="72">
                  <c:v>10.936614630704383</c:v>
                </c:pt>
                <c:pt idx="73">
                  <c:v>10.918475775342417</c:v>
                </c:pt>
                <c:pt idx="74">
                  <c:v>10.902618860747792</c:v>
                </c:pt>
                <c:pt idx="75">
                  <c:v>10.888952609289811</c:v>
                </c:pt>
                <c:pt idx="76">
                  <c:v>10.877390547423605</c:v>
                </c:pt>
                <c:pt idx="77">
                  <c:v>10.867850693736512</c:v>
                </c:pt>
                <c:pt idx="78">
                  <c:v>10.860255270990868</c:v>
                </c:pt>
                <c:pt idx="79">
                  <c:v>10.854530440036999</c:v>
                </c:pt>
                <c:pt idx="80">
                  <c:v>10.850606053682714</c:v>
                </c:pt>
                <c:pt idx="81">
                  <c:v>10.8484154287947</c:v>
                </c:pt>
                <c:pt idx="82">
                  <c:v>10.847895135075406</c:v>
                </c:pt>
                <c:pt idx="83">
                  <c:v>10.848984799109093</c:v>
                </c:pt>
                <c:pt idx="84">
                  <c:v>10.85162692240459</c:v>
                </c:pt>
                <c:pt idx="85">
                  <c:v>10.855766712282062</c:v>
                </c:pt>
                <c:pt idx="86">
                  <c:v>10.861351924558418</c:v>
                </c:pt>
                <c:pt idx="87">
                  <c:v>10.868332717081973</c:v>
                </c:pt>
                <c:pt idx="88">
                  <c:v>10.876661513253389</c:v>
                </c:pt>
                <c:pt idx="89">
                  <c:v>10.886292874747461</c:v>
                </c:pt>
                <c:pt idx="90">
                  <c:v>10.897183382720099</c:v>
                </c:pt>
                <c:pt idx="91">
                  <c:v>10.909291526847834</c:v>
                </c:pt>
                <c:pt idx="92">
                  <c:v>10.922577601603871</c:v>
                </c:pt>
                <c:pt idx="93">
                  <c:v>10.937003609226002</c:v>
                </c:pt>
                <c:pt idx="94">
                  <c:v>10.952533168878075</c:v>
                </c:pt>
                <c:pt idx="95">
                  <c:v>10.969131431548623</c:v>
                </c:pt>
                <c:pt idx="96">
                  <c:v>10.986765000268319</c:v>
                </c:pt>
                <c:pt idx="97">
                  <c:v>11.00540185526244</c:v>
                </c:pt>
                <c:pt idx="98">
                  <c:v>11.025011283685856</c:v>
                </c:pt>
                <c:pt idx="99">
                  <c:v>11.045563813616468</c:v>
                </c:pt>
                <c:pt idx="100">
                  <c:v>11.067031152009056</c:v>
                </c:pt>
                <c:pt idx="101">
                  <c:v>11.08938612633505</c:v>
                </c:pt>
                <c:pt idx="102">
                  <c:v>11.112602629655232</c:v>
                </c:pt>
                <c:pt idx="103">
                  <c:v>11.136655568892099</c:v>
                </c:pt>
                <c:pt idx="104">
                  <c:v>11.161520816086517</c:v>
                </c:pt>
                <c:pt idx="105">
                  <c:v>11.187175162439697</c:v>
                </c:pt>
                <c:pt idx="106">
                  <c:v>11.213596274956585</c:v>
                </c:pt>
                <c:pt idx="107">
                  <c:v>11.240762655520438</c:v>
                </c:pt>
                <c:pt idx="108">
                  <c:v>11.268653602241059</c:v>
                </c:pt>
                <c:pt idx="109">
                  <c:v>11.297249172930655</c:v>
                </c:pt>
                <c:pt idx="110">
                  <c:v>11.326530150571884</c:v>
                </c:pt>
                <c:pt idx="111">
                  <c:v>11.356478010652541</c:v>
                </c:pt>
                <c:pt idx="112">
                  <c:v>11.387074890250144</c:v>
                </c:pt>
                <c:pt idx="113">
                  <c:v>11.418303558758046</c:v>
                </c:pt>
                <c:pt idx="114">
                  <c:v>11.450147390152289</c:v>
                </c:pt>
                <c:pt idx="115">
                  <c:v>11.482590336705412</c:v>
                </c:pt>
                <c:pt idx="116">
                  <c:v>11.515616904059849</c:v>
                </c:pt>
                <c:pt idx="117">
                  <c:v>11.549212127579674</c:v>
                </c:pt>
                <c:pt idx="118">
                  <c:v>11.583361549904746</c:v>
                </c:pt>
                <c:pt idx="119">
                  <c:v>11.618051199636616</c:v>
                </c:pt>
                <c:pt idx="120">
                  <c:v>11.653267571090113</c:v>
                </c:pt>
                <c:pt idx="121">
                  <c:v>11.688997605049</c:v>
                </c:pt>
                <c:pt idx="122">
                  <c:v>11.725228670468059</c:v>
                </c:pt>
                <c:pt idx="123">
                  <c:v>11.761948547067778</c:v>
                </c:pt>
                <c:pt idx="124">
                  <c:v>11.799145408771205</c:v>
                </c:pt>
                <c:pt idx="125">
                  <c:v>11.83680780793585</c:v>
                </c:pt>
                <c:pt idx="126">
                  <c:v>11.874924660336443</c:v>
                </c:pt>
                <c:pt idx="127">
                  <c:v>11.913485230857177</c:v>
                </c:pt>
                <c:pt idx="128">
                  <c:v>11.952479119854612</c:v>
                </c:pt>
                <c:pt idx="129">
                  <c:v>11.991896250154866</c:v>
                </c:pt>
                <c:pt idx="130">
                  <c:v>12.031726854650961</c:v>
                </c:pt>
                <c:pt idx="131">
                  <c:v>12.071961464468174</c:v>
                </c:pt>
                <c:pt idx="132">
                  <c:v>12.112590897667392</c:v>
                </c:pt>
                <c:pt idx="133">
                  <c:v>12.153606248458043</c:v>
                </c:pt>
                <c:pt idx="134">
                  <c:v>12.194998876894051</c:v>
                </c:pt>
                <c:pt idx="135">
                  <c:v>12.236760399027741</c:v>
                </c:pt>
                <c:pt idx="136">
                  <c:v>12.278882677498133</c:v>
                </c:pt>
                <c:pt idx="137">
                  <c:v>12.321357812531431</c:v>
                </c:pt>
                <c:pt idx="138">
                  <c:v>12.364178133332793</c:v>
                </c:pt>
                <c:pt idx="139">
                  <c:v>12.407336189849667</c:v>
                </c:pt>
                <c:pt idx="140">
                  <c:v>12.45082474488815</c:v>
                </c:pt>
                <c:pt idx="141">
                  <c:v>12.494636766564804</c:v>
                </c:pt>
                <c:pt idx="142">
                  <c:v>12.538765421077414</c:v>
                </c:pt>
                <c:pt idx="143">
                  <c:v>12.583204065779073</c:v>
                </c:pt>
                <c:pt idx="144">
                  <c:v>12.62794624254084</c:v>
                </c:pt>
                <c:pt idx="145">
                  <c:v>12.672985671389059</c:v>
                </c:pt>
                <c:pt idx="146">
                  <c:v>12.718316244404146</c:v>
                </c:pt>
                <c:pt idx="147">
                  <c:v>12.763932019868408</c:v>
                </c:pt>
                <c:pt idx="148">
                  <c:v>12.809827216651119</c:v>
                </c:pt>
                <c:pt idx="149">
                  <c:v>12.855996208819695</c:v>
                </c:pt>
                <c:pt idx="150">
                  <c:v>12.902433520466415</c:v>
                </c:pt>
                <c:pt idx="151">
                  <c:v>12.949133820740723</c:v>
                </c:pt>
                <c:pt idx="152">
                  <c:v>12.9960919190776</c:v>
                </c:pt>
                <c:pt idx="153">
                  <c:v>13.04330276061307</c:v>
                </c:pt>
                <c:pt idx="154">
                  <c:v>13.090761421778337</c:v>
                </c:pt>
                <c:pt idx="155">
                  <c:v>13.138463106064433</c:v>
                </c:pt>
                <c:pt idx="156">
                  <c:v>13.186403139949805</c:v>
                </c:pt>
                <c:pt idx="157">
                  <c:v>13.234576968983507</c:v>
                </c:pt>
                <c:pt idx="158">
                  <c:v>13.282980154017155</c:v>
                </c:pt>
                <c:pt idx="159">
                  <c:v>13.331608367579056</c:v>
                </c:pt>
                <c:pt idx="160">
                  <c:v>13.380457390384301</c:v>
                </c:pt>
                <c:pt idx="161">
                  <c:v>13.429523107974941</c:v>
                </c:pt>
                <c:pt idx="162">
                  <c:v>13.47880150748458</c:v>
                </c:pt>
                <c:pt idx="163">
                  <c:v>13.528288674522072</c:v>
                </c:pt>
                <c:pt idx="164">
                  <c:v>13.577980790169221</c:v>
                </c:pt>
                <c:pt idx="165">
                  <c:v>13.627874128087671</c:v>
                </c:pt>
                <c:pt idx="166">
                  <c:v>13.677965051730352</c:v>
                </c:pt>
                <c:pt idx="167">
                  <c:v>13.728250011653111</c:v>
                </c:pt>
                <c:pt idx="168">
                  <c:v>13.778725542922386</c:v>
                </c:pt>
                <c:pt idx="169">
                  <c:v>13.829388262614854</c:v>
                </c:pt>
                <c:pt idx="170">
                  <c:v>13.880234867405408</c:v>
                </c:pt>
                <c:pt idx="171">
                  <c:v>13.93126213123969</c:v>
                </c:pt>
                <c:pt idx="172">
                  <c:v>13.982466903087872</c:v>
                </c:pt>
                <c:pt idx="173">
                  <c:v>14.033846104776302</c:v>
                </c:pt>
                <c:pt idx="174">
                  <c:v>14.085396728893937</c:v>
                </c:pt>
                <c:pt idx="175">
                  <c:v>14.137115836770569</c:v>
                </c:pt>
                <c:pt idx="176">
                  <c:v>14.189000556523933</c:v>
                </c:pt>
                <c:pt idx="177">
                  <c:v>14.241048081173076</c:v>
                </c:pt>
                <c:pt idx="178">
                  <c:v>14.293255666815254</c:v>
                </c:pt>
                <c:pt idx="179">
                  <c:v>14.345620630864</c:v>
                </c:pt>
                <c:pt idx="180">
                  <c:v>14.398140350345864</c:v>
                </c:pt>
                <c:pt idx="181">
                  <c:v>14.450812260253663</c:v>
                </c:pt>
                <c:pt idx="182">
                  <c:v>14.503633851954017</c:v>
                </c:pt>
                <c:pt idx="183">
                  <c:v>14.556602671647035</c:v>
                </c:pt>
                <c:pt idx="184">
                  <c:v>14.609716318876321</c:v>
                </c:pt>
                <c:pt idx="185">
                  <c:v>14.662972445087229</c:v>
                </c:pt>
                <c:pt idx="186">
                  <c:v>14.716368752231672</c:v>
                </c:pt>
                <c:pt idx="187">
                  <c:v>14.769902991417666</c:v>
                </c:pt>
                <c:pt idx="188">
                  <c:v>14.823572961601997</c:v>
                </c:pt>
                <c:pt idx="189">
                  <c:v>14.877376508324373</c:v>
                </c:pt>
                <c:pt idx="190">
                  <c:v>14.931311522481558</c:v>
                </c:pt>
                <c:pt idx="191">
                  <c:v>14.985375939140026</c:v>
                </c:pt>
                <c:pt idx="192">
                  <c:v>15.03956773638569</c:v>
                </c:pt>
                <c:pt idx="193">
                  <c:v>15.093884934209429</c:v>
                </c:pt>
                <c:pt idx="194">
                  <c:v>15.148325593427039</c:v>
                </c:pt>
                <c:pt idx="195">
                  <c:v>15.202887814632463</c:v>
                </c:pt>
                <c:pt idx="196">
                  <c:v>15.257569737183031</c:v>
                </c:pt>
                <c:pt idx="197">
                  <c:v>15.312369538215622</c:v>
                </c:pt>
                <c:pt idx="198">
                  <c:v>15.367285431692627</c:v>
                </c:pt>
                <c:pt idx="199">
                  <c:v>15.422315667476687</c:v>
                </c:pt>
                <c:pt idx="200">
                  <c:v>15.477458530433211</c:v>
                </c:pt>
                <c:pt idx="201">
                  <c:v>15.532712339559605</c:v>
                </c:pt>
                <c:pt idx="202">
                  <c:v>15.588075447140492</c:v>
                </c:pt>
                <c:pt idx="203">
                  <c:v>15.643546237927767</c:v>
                </c:pt>
                <c:pt idx="204">
                  <c:v>15.699123128344869</c:v>
                </c:pt>
                <c:pt idx="205">
                  <c:v>15.754804565714288</c:v>
                </c:pt>
                <c:pt idx="206">
                  <c:v>15.810589027507588</c:v>
                </c:pt>
                <c:pt idx="207">
                  <c:v>15.866475020617184</c:v>
                </c:pt>
                <c:pt idx="208">
                  <c:v>15.922461080649082</c:v>
                </c:pt>
                <c:pt idx="209">
                  <c:v>15.978545771235988</c:v>
                </c:pt>
                <c:pt idx="210">
                  <c:v>16.034727683369962</c:v>
                </c:pt>
                <c:pt idx="211">
                  <c:v>16.09100543475413</c:v>
                </c:pt>
                <c:pt idx="212">
                  <c:v>16.147377669172695</c:v>
                </c:pt>
                <c:pt idx="213">
                  <c:v>16.203843055878679</c:v>
                </c:pt>
                <c:pt idx="214">
                  <c:v>16.260400288998905</c:v>
                </c:pt>
                <c:pt idx="215">
                  <c:v>16.317048086955499</c:v>
                </c:pt>
                <c:pt idx="216">
                  <c:v>16.373785191903501</c:v>
                </c:pt>
                <c:pt idx="217">
                  <c:v>16.430610369184059</c:v>
                </c:pt>
                <c:pt idx="218">
                  <c:v>16.487522406792586</c:v>
                </c:pt>
                <c:pt idx="219">
                  <c:v>16.54452011486158</c:v>
                </c:pt>
                <c:pt idx="220">
                  <c:v>16.60160232515749</c:v>
                </c:pt>
                <c:pt idx="221">
                  <c:v>16.658767890591257</c:v>
                </c:pt>
                <c:pt idx="222">
                  <c:v>16.716015684742104</c:v>
                </c:pt>
                <c:pt idx="223">
                  <c:v>16.773344601394108</c:v>
                </c:pt>
                <c:pt idx="224">
                  <c:v>16.830753554085195</c:v>
                </c:pt>
                <c:pt idx="225">
                  <c:v>16.888241475668178</c:v>
                </c:pt>
                <c:pt idx="226">
                  <c:v>16.945807317883432</c:v>
                </c:pt>
                <c:pt idx="227">
                  <c:v>17.003450050942863</c:v>
                </c:pt>
                <c:pt idx="228">
                  <c:v>17.061168663124839</c:v>
                </c:pt>
                <c:pt idx="229">
                  <c:v>17.11896216037972</c:v>
                </c:pt>
                <c:pt idx="230">
                  <c:v>17.176829565945688</c:v>
                </c:pt>
                <c:pt idx="231">
                  <c:v>17.234769919974539</c:v>
                </c:pt>
                <c:pt idx="232">
                  <c:v>17.292782279167191</c:v>
                </c:pt>
                <c:pt idx="233">
                  <c:v>17.350865716418529</c:v>
                </c:pt>
                <c:pt idx="234">
                  <c:v>17.409019320471391</c:v>
                </c:pt>
                <c:pt idx="235">
                  <c:v>17.467242195579374</c:v>
                </c:pt>
                <c:pt idx="236">
                  <c:v>17.525533461178213</c:v>
                </c:pt>
                <c:pt idx="237">
                  <c:v>17.583892251565501</c:v>
                </c:pt>
                <c:pt idx="238">
                  <c:v>17.642317715588437</c:v>
                </c:pt>
                <c:pt idx="239">
                  <c:v>17.700809016339459</c:v>
                </c:pt>
                <c:pt idx="240">
                  <c:v>17.759365330859474</c:v>
                </c:pt>
                <c:pt idx="241">
                  <c:v>17.817985849848441</c:v>
                </c:pt>
                <c:pt idx="242">
                  <c:v>17.876669777383203</c:v>
                </c:pt>
                <c:pt idx="243">
                  <c:v>17.935416330642202</c:v>
                </c:pt>
                <c:pt idx="244">
                  <c:v>17.994224739637016</c:v>
                </c:pt>
                <c:pt idx="245">
                  <c:v>18.053094246950494</c:v>
                </c:pt>
                <c:pt idx="246">
                  <c:v>18.112024107481165</c:v>
                </c:pt>
                <c:pt idx="247">
                  <c:v>18.171013588194018</c:v>
                </c:pt>
                <c:pt idx="248">
                  <c:v>18.230061967877162</c:v>
                </c:pt>
                <c:pt idx="249">
                  <c:v>18.289168536904459</c:v>
                </c:pt>
                <c:pt idx="250">
                  <c:v>18.348332597003775</c:v>
                </c:pt>
                <c:pt idx="251">
                  <c:v>18.407553461030815</c:v>
                </c:pt>
                <c:pt idx="252">
                  <c:v>18.466830452748358</c:v>
                </c:pt>
                <c:pt idx="253">
                  <c:v>18.526162906610654</c:v>
                </c:pt>
                <c:pt idx="254">
                  <c:v>18.585550167553013</c:v>
                </c:pt>
                <c:pt idx="255">
                  <c:v>18.644991590786248</c:v>
                </c:pt>
                <c:pt idx="256">
                  <c:v>18.704486541596019</c:v>
                </c:pt>
                <c:pt idx="257">
                  <c:v>18.764034395146794</c:v>
                </c:pt>
                <c:pt idx="258">
                  <c:v>18.823634536290431</c:v>
                </c:pt>
                <c:pt idx="259">
                  <c:v>18.883286359379134</c:v>
                </c:pt>
                <c:pt idx="260">
                  <c:v>18.942989268082762</c:v>
                </c:pt>
                <c:pt idx="261">
                  <c:v>19.002742675210349</c:v>
                </c:pt>
                <c:pt idx="262">
                  <c:v>19.062546002535658</c:v>
                </c:pt>
                <c:pt idx="263">
                  <c:v>19.122398680626777</c:v>
                </c:pt>
                <c:pt idx="264">
                  <c:v>19.182300148679552</c:v>
                </c:pt>
                <c:pt idx="265">
                  <c:v>19.242249854354792</c:v>
                </c:pt>
                <c:pt idx="266">
                  <c:v>19.302247253619164</c:v>
                </c:pt>
                <c:pt idx="267">
                  <c:v>19.362291810589642</c:v>
                </c:pt>
                <c:pt idx="268">
                  <c:v>19.422382997381458</c:v>
                </c:pt>
                <c:pt idx="269">
                  <c:v>19.482520293959425</c:v>
                </c:pt>
                <c:pt idx="270">
                  <c:v>19.542703187992586</c:v>
                </c:pt>
                <c:pt idx="271">
                  <c:v>19.602931174712065</c:v>
                </c:pt>
                <c:pt idx="272">
                  <c:v>19.66320375677207</c:v>
                </c:pt>
                <c:pt idx="273">
                  <c:v>19.723520444113898</c:v>
                </c:pt>
                <c:pt idx="274">
                  <c:v>19.783880753833007</c:v>
                </c:pt>
                <c:pt idx="275">
                  <c:v>19.844284210048922</c:v>
                </c:pt>
                <c:pt idx="276">
                  <c:v>19.904730343777974</c:v>
                </c:pt>
                <c:pt idx="277">
                  <c:v>19.965218692808833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0D5-4403-B636-751C84E5EA8E}"/>
            </c:ext>
          </c:extLst>
        </c:ser>
        <c:ser>
          <c:idx val="2"/>
          <c:order val="4"/>
          <c:tx>
            <c:v>Vapproach</c:v>
          </c:tx>
          <c:spPr>
            <a:ln w="76200" cmpd="thickThin"/>
          </c:spPr>
          <c:marker>
            <c:symbol val="none"/>
          </c:marker>
          <c:xVal>
            <c:numRef>
              <c:f>airplane!$I$44:$I$45</c:f>
              <c:numCache>
                <c:formatCode>General</c:formatCode>
                <c:ptCount val="2"/>
                <c:pt idx="0">
                  <c:v>1092.8410936468053</c:v>
                </c:pt>
                <c:pt idx="1">
                  <c:v>1092.8410936468053</c:v>
                </c:pt>
              </c:numCache>
            </c:numRef>
          </c:xVal>
          <c:yVal>
            <c:numRef>
              <c:f>airplane!$J$44:$J$45</c:f>
              <c:numCache>
                <c:formatCode>General</c:formatCode>
                <c:ptCount val="2"/>
                <c:pt idx="0">
                  <c:v>0</c:v>
                </c:pt>
                <c:pt idx="1">
                  <c:v>800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0D5-4403-B636-751C84E5EA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996480"/>
        <c:axId val="192997056"/>
      </c:scatterChart>
      <c:scatterChart>
        <c:scatterStyle val="smoothMarker"/>
        <c:varyColors val="0"/>
        <c:ser>
          <c:idx val="6"/>
          <c:order val="5"/>
          <c:tx>
            <c:v>English Units</c:v>
          </c:tx>
          <c:spPr>
            <a:ln>
              <a:noFill/>
            </a:ln>
          </c:spPr>
          <c:marker>
            <c:symbol val="none"/>
          </c:marker>
          <c:xVal>
            <c:numRef>
              <c:f>airplane!$R$35:$R$36</c:f>
              <c:numCache>
                <c:formatCode>0.00</c:formatCode>
                <c:ptCount val="2"/>
                <c:pt idx="0">
                  <c:v>0.83465867013075312</c:v>
                </c:pt>
                <c:pt idx="1">
                  <c:v>2.0866466753268833</c:v>
                </c:pt>
              </c:numCache>
            </c:numRef>
          </c:xVal>
          <c:yVal>
            <c:numRef>
              <c:f>airplane!$R$38:$R$39</c:f>
              <c:numCache>
                <c:formatCode>General</c:formatCode>
                <c:ptCount val="2"/>
                <c:pt idx="0">
                  <c:v>0</c:v>
                </c:pt>
                <c:pt idx="1">
                  <c:v>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0D5-4403-B636-751C84E5EA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998208"/>
        <c:axId val="192997632"/>
      </c:scatterChart>
      <c:valAx>
        <c:axId val="192996480"/>
        <c:scaling>
          <c:orientation val="minMax"/>
          <c:max val="1200"/>
          <c:min val="15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Wing Loading, W/S (N/m</a:t>
                </a:r>
                <a:r>
                  <a:rPr lang="en-US" sz="1400" baseline="30000"/>
                  <a:t>2</a:t>
                </a:r>
                <a:r>
                  <a:rPr lang="en-US" sz="1400"/>
                  <a:t>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192997056"/>
        <c:crosses val="autoZero"/>
        <c:crossBetween val="midCat"/>
      </c:valAx>
      <c:valAx>
        <c:axId val="192997056"/>
        <c:scaling>
          <c:orientation val="minMax"/>
          <c:max val="25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Power Loading, P/W (Watt/N)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192996480"/>
        <c:crosses val="autoZero"/>
        <c:crossBetween val="midCat"/>
      </c:valAx>
      <c:valAx>
        <c:axId val="192997632"/>
        <c:scaling>
          <c:orientation val="minMax"/>
          <c:max val="133"/>
          <c:min val="0"/>
        </c:scaling>
        <c:delete val="1"/>
        <c:axPos val="r"/>
        <c:title>
          <c:tx>
            <c:rich>
              <a:bodyPr rot="-5400000" vert="horz"/>
              <a:lstStyle/>
              <a:p>
                <a:pPr>
                  <a:defRPr sz="1100"/>
                </a:pPr>
                <a:r>
                  <a:rPr lang="en-US" sz="1100"/>
                  <a:t>Power Loading P/W</a:t>
                </a:r>
                <a:r>
                  <a:rPr lang="en-US" sz="1100" baseline="0"/>
                  <a:t> (Watt/lbs)</a:t>
                </a:r>
                <a:endParaRPr lang="en-US" sz="1100"/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crossAx val="192998208"/>
        <c:crosses val="max"/>
        <c:crossBetween val="midCat"/>
      </c:valAx>
      <c:valAx>
        <c:axId val="192998208"/>
        <c:scaling>
          <c:orientation val="minMax"/>
          <c:max val="2.09"/>
          <c:min val="0.83000000000000007"/>
        </c:scaling>
        <c:delete val="1"/>
        <c:axPos val="t"/>
        <c:numFmt formatCode="0.0" sourceLinked="0"/>
        <c:majorTickMark val="out"/>
        <c:minorTickMark val="none"/>
        <c:tickLblPos val="nextTo"/>
        <c:crossAx val="192997632"/>
        <c:crosses val="max"/>
        <c:crossBetween val="midCat"/>
        <c:majorUnit val="0.21000000000000002"/>
      </c:valAx>
      <c:spPr>
        <a:ln>
          <a:solidFill>
            <a:schemeClr val="tx1"/>
          </a:solidFill>
        </a:ln>
      </c:spPr>
    </c:plotArea>
    <c:legend>
      <c:legendPos val="r"/>
      <c:legendEntry>
        <c:idx val="5"/>
        <c:delete val="1"/>
      </c:legendEntry>
      <c:overlay val="0"/>
      <c:spPr>
        <a:ln>
          <a:solidFill>
            <a:schemeClr val="tx1"/>
          </a:solidFill>
        </a:ln>
      </c:spPr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Forward Flight at 3000 m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671091831715036"/>
          <c:y val="7.3527947613735309E-2"/>
          <c:w val="0.70509991333339506"/>
          <c:h val="0.79029646002554421"/>
        </c:manualLayout>
      </c:layout>
      <c:scatterChart>
        <c:scatterStyle val="smoothMarker"/>
        <c:varyColors val="0"/>
        <c:ser>
          <c:idx val="0"/>
          <c:order val="0"/>
          <c:spPr>
            <a:ln>
              <a:solidFill>
                <a:schemeClr val="accent6"/>
              </a:solidFill>
              <a:prstDash val="dash"/>
            </a:ln>
          </c:spPr>
          <c:marker>
            <c:symbol val="none"/>
          </c:marker>
          <c:xVal>
            <c:numRef>
              <c:f>'Forward Flight  at 3000 m'!$C$21:$C$73</c:f>
              <c:numCache>
                <c:formatCode>General</c:formatCode>
                <c:ptCount val="53"/>
                <c:pt idx="0">
                  <c:v>56.285980000000002</c:v>
                </c:pt>
                <c:pt idx="1">
                  <c:v>59.248400000000004</c:v>
                </c:pt>
                <c:pt idx="2">
                  <c:v>62.210819999999998</c:v>
                </c:pt>
                <c:pt idx="3">
                  <c:v>65.173240000000007</c:v>
                </c:pt>
                <c:pt idx="4">
                  <c:v>68.135660000000001</c:v>
                </c:pt>
                <c:pt idx="5">
                  <c:v>71.098079999999996</c:v>
                </c:pt>
                <c:pt idx="6">
                  <c:v>74.060500000000005</c:v>
                </c:pt>
                <c:pt idx="7">
                  <c:v>77.022919999999999</c:v>
                </c:pt>
                <c:pt idx="8">
                  <c:v>79.985340000000008</c:v>
                </c:pt>
                <c:pt idx="9">
                  <c:v>82.947760000000002</c:v>
                </c:pt>
                <c:pt idx="10">
                  <c:v>85.910179999999997</c:v>
                </c:pt>
                <c:pt idx="11">
                  <c:v>88.872600000000006</c:v>
                </c:pt>
                <c:pt idx="12">
                  <c:v>91.83502</c:v>
                </c:pt>
                <c:pt idx="13">
                  <c:v>94.797439999999995</c:v>
                </c:pt>
                <c:pt idx="14">
                  <c:v>97.759860000000003</c:v>
                </c:pt>
                <c:pt idx="15">
                  <c:v>100.72228</c:v>
                </c:pt>
                <c:pt idx="16">
                  <c:v>103.68470000000001</c:v>
                </c:pt>
                <c:pt idx="17">
                  <c:v>106.64712</c:v>
                </c:pt>
                <c:pt idx="18">
                  <c:v>109.60954</c:v>
                </c:pt>
                <c:pt idx="19">
                  <c:v>112.57196</c:v>
                </c:pt>
                <c:pt idx="20">
                  <c:v>115.53438</c:v>
                </c:pt>
                <c:pt idx="21">
                  <c:v>118.49680000000001</c:v>
                </c:pt>
                <c:pt idx="22">
                  <c:v>121.45922</c:v>
                </c:pt>
                <c:pt idx="23">
                  <c:v>124.42164</c:v>
                </c:pt>
                <c:pt idx="24">
                  <c:v>127.38406000000001</c:v>
                </c:pt>
                <c:pt idx="25">
                  <c:v>130.34648000000001</c:v>
                </c:pt>
                <c:pt idx="26">
                  <c:v>133.30889999999999</c:v>
                </c:pt>
                <c:pt idx="27">
                  <c:v>136.27132</c:v>
                </c:pt>
                <c:pt idx="28">
                  <c:v>139.23374000000001</c:v>
                </c:pt>
                <c:pt idx="29">
                  <c:v>142.19615999999999</c:v>
                </c:pt>
                <c:pt idx="30">
                  <c:v>145.15858</c:v>
                </c:pt>
                <c:pt idx="31">
                  <c:v>148.12100000000001</c:v>
                </c:pt>
                <c:pt idx="32">
                  <c:v>151.08341999999999</c:v>
                </c:pt>
                <c:pt idx="33">
                  <c:v>154.04584</c:v>
                </c:pt>
                <c:pt idx="34">
                  <c:v>157.00826000000001</c:v>
                </c:pt>
                <c:pt idx="35">
                  <c:v>159.97068000000002</c:v>
                </c:pt>
                <c:pt idx="36">
                  <c:v>162.9331</c:v>
                </c:pt>
                <c:pt idx="37">
                  <c:v>165.89552</c:v>
                </c:pt>
                <c:pt idx="38">
                  <c:v>168.85794000000001</c:v>
                </c:pt>
                <c:pt idx="39">
                  <c:v>171.82035999999999</c:v>
                </c:pt>
                <c:pt idx="40">
                  <c:v>174.78278</c:v>
                </c:pt>
                <c:pt idx="41">
                  <c:v>177.74520000000001</c:v>
                </c:pt>
                <c:pt idx="42">
                  <c:v>180.70761999999999</c:v>
                </c:pt>
                <c:pt idx="43">
                  <c:v>183.67004</c:v>
                </c:pt>
                <c:pt idx="44">
                  <c:v>186.63246000000001</c:v>
                </c:pt>
                <c:pt idx="45">
                  <c:v>189.59487999999999</c:v>
                </c:pt>
                <c:pt idx="46">
                  <c:v>192.5573</c:v>
                </c:pt>
                <c:pt idx="47">
                  <c:v>195.51972000000001</c:v>
                </c:pt>
                <c:pt idx="48">
                  <c:v>198.48214000000002</c:v>
                </c:pt>
                <c:pt idx="49">
                  <c:v>201.44456</c:v>
                </c:pt>
                <c:pt idx="50">
                  <c:v>204.40698</c:v>
                </c:pt>
                <c:pt idx="51">
                  <c:v>207.36940000000001</c:v>
                </c:pt>
                <c:pt idx="52">
                  <c:v>210.33181999999999</c:v>
                </c:pt>
              </c:numCache>
            </c:numRef>
          </c:xVal>
          <c:yVal>
            <c:numRef>
              <c:f>'Forward Flight  at 3000 m'!$H$21:$H$73</c:f>
              <c:numCache>
                <c:formatCode>General</c:formatCode>
                <c:ptCount val="53"/>
                <c:pt idx="0">
                  <c:v>25.992015349176686</c:v>
                </c:pt>
                <c:pt idx="1">
                  <c:v>28.800017007397994</c:v>
                </c:pt>
                <c:pt idx="2">
                  <c:v>31.752018750656287</c:v>
                </c:pt>
                <c:pt idx="3">
                  <c:v>34.848020578951569</c:v>
                </c:pt>
                <c:pt idx="4">
                  <c:v>38.088022492283848</c:v>
                </c:pt>
                <c:pt idx="5">
                  <c:v>41.472024490653112</c:v>
                </c:pt>
                <c:pt idx="6">
                  <c:v>45.000026574059369</c:v>
                </c:pt>
                <c:pt idx="7">
                  <c:v>48.672028742502611</c:v>
                </c:pt>
                <c:pt idx="8">
                  <c:v>52.488030995982854</c:v>
                </c:pt>
                <c:pt idx="9">
                  <c:v>56.448033334500074</c:v>
                </c:pt>
                <c:pt idx="10">
                  <c:v>60.552035758054281</c:v>
                </c:pt>
                <c:pt idx="11">
                  <c:v>64.800038266645487</c:v>
                </c:pt>
                <c:pt idx="12">
                  <c:v>69.192040860273679</c:v>
                </c:pt>
                <c:pt idx="13">
                  <c:v>73.728043538938863</c:v>
                </c:pt>
                <c:pt idx="14">
                  <c:v>78.40804630264104</c:v>
                </c:pt>
                <c:pt idx="15">
                  <c:v>83.232049151380195</c:v>
                </c:pt>
                <c:pt idx="16">
                  <c:v>88.200052085156358</c:v>
                </c:pt>
                <c:pt idx="17">
                  <c:v>93.312055103969499</c:v>
                </c:pt>
                <c:pt idx="18">
                  <c:v>98.568058207819632</c:v>
                </c:pt>
                <c:pt idx="19">
                  <c:v>103.96806139670674</c:v>
                </c:pt>
                <c:pt idx="20">
                  <c:v>109.51206467063086</c:v>
                </c:pt>
                <c:pt idx="21">
                  <c:v>115.20006802959198</c:v>
                </c:pt>
                <c:pt idx="22">
                  <c:v>121.03207147359007</c:v>
                </c:pt>
                <c:pt idx="23">
                  <c:v>127.00807500262515</c:v>
                </c:pt>
                <c:pt idx="24">
                  <c:v>133.12807861669722</c:v>
                </c:pt>
                <c:pt idx="25">
                  <c:v>139.39208231580628</c:v>
                </c:pt>
                <c:pt idx="26">
                  <c:v>145.80008609995232</c:v>
                </c:pt>
                <c:pt idx="27">
                  <c:v>152.35208996913539</c:v>
                </c:pt>
                <c:pt idx="28">
                  <c:v>159.04809392335542</c:v>
                </c:pt>
                <c:pt idx="29">
                  <c:v>165.88809796261245</c:v>
                </c:pt>
                <c:pt idx="30">
                  <c:v>172.87210208690644</c:v>
                </c:pt>
                <c:pt idx="31">
                  <c:v>180.00010629623748</c:v>
                </c:pt>
                <c:pt idx="32">
                  <c:v>187.27211059060545</c:v>
                </c:pt>
                <c:pt idx="33">
                  <c:v>194.68811497001045</c:v>
                </c:pt>
                <c:pt idx="34">
                  <c:v>202.24811943445243</c:v>
                </c:pt>
                <c:pt idx="35">
                  <c:v>209.95212398393141</c:v>
                </c:pt>
                <c:pt idx="36">
                  <c:v>217.80012861844733</c:v>
                </c:pt>
                <c:pt idx="37">
                  <c:v>225.7921333380003</c:v>
                </c:pt>
                <c:pt idx="38">
                  <c:v>233.92813814259023</c:v>
                </c:pt>
                <c:pt idx="39">
                  <c:v>242.20814303221712</c:v>
                </c:pt>
                <c:pt idx="40">
                  <c:v>250.63214800688107</c:v>
                </c:pt>
                <c:pt idx="41">
                  <c:v>259.20015306658195</c:v>
                </c:pt>
                <c:pt idx="42">
                  <c:v>267.91215821131982</c:v>
                </c:pt>
                <c:pt idx="43">
                  <c:v>276.76816344109471</c:v>
                </c:pt>
                <c:pt idx="44">
                  <c:v>285.76816875590663</c:v>
                </c:pt>
                <c:pt idx="45">
                  <c:v>294.91217415575545</c:v>
                </c:pt>
                <c:pt idx="46">
                  <c:v>304.2001796406413</c:v>
                </c:pt>
                <c:pt idx="47">
                  <c:v>313.63218521056416</c:v>
                </c:pt>
                <c:pt idx="48">
                  <c:v>323.20819086552399</c:v>
                </c:pt>
                <c:pt idx="49">
                  <c:v>332.92819660552078</c:v>
                </c:pt>
                <c:pt idx="50">
                  <c:v>342.7922024305546</c:v>
                </c:pt>
                <c:pt idx="51">
                  <c:v>352.80020834062543</c:v>
                </c:pt>
                <c:pt idx="52">
                  <c:v>362.95221433573323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C36-447E-8A4B-4672983C61A6}"/>
            </c:ext>
          </c:extLst>
        </c:ser>
        <c:ser>
          <c:idx val="2"/>
          <c:order val="1"/>
          <c:spPr>
            <a:ln w="19050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'Forward Flight  at 3000 m'!$C$21:$C$73</c:f>
              <c:numCache>
                <c:formatCode>General</c:formatCode>
                <c:ptCount val="53"/>
                <c:pt idx="0">
                  <c:v>56.285980000000002</c:v>
                </c:pt>
                <c:pt idx="1">
                  <c:v>59.248400000000004</c:v>
                </c:pt>
                <c:pt idx="2">
                  <c:v>62.210819999999998</c:v>
                </c:pt>
                <c:pt idx="3">
                  <c:v>65.173240000000007</c:v>
                </c:pt>
                <c:pt idx="4">
                  <c:v>68.135660000000001</c:v>
                </c:pt>
                <c:pt idx="5">
                  <c:v>71.098079999999996</c:v>
                </c:pt>
                <c:pt idx="6">
                  <c:v>74.060500000000005</c:v>
                </c:pt>
                <c:pt idx="7">
                  <c:v>77.022919999999999</c:v>
                </c:pt>
                <c:pt idx="8">
                  <c:v>79.985340000000008</c:v>
                </c:pt>
                <c:pt idx="9">
                  <c:v>82.947760000000002</c:v>
                </c:pt>
                <c:pt idx="10">
                  <c:v>85.910179999999997</c:v>
                </c:pt>
                <c:pt idx="11">
                  <c:v>88.872600000000006</c:v>
                </c:pt>
                <c:pt idx="12">
                  <c:v>91.83502</c:v>
                </c:pt>
                <c:pt idx="13">
                  <c:v>94.797439999999995</c:v>
                </c:pt>
                <c:pt idx="14">
                  <c:v>97.759860000000003</c:v>
                </c:pt>
                <c:pt idx="15">
                  <c:v>100.72228</c:v>
                </c:pt>
                <c:pt idx="16">
                  <c:v>103.68470000000001</c:v>
                </c:pt>
                <c:pt idx="17">
                  <c:v>106.64712</c:v>
                </c:pt>
                <c:pt idx="18">
                  <c:v>109.60954</c:v>
                </c:pt>
                <c:pt idx="19">
                  <c:v>112.57196</c:v>
                </c:pt>
                <c:pt idx="20">
                  <c:v>115.53438</c:v>
                </c:pt>
                <c:pt idx="21">
                  <c:v>118.49680000000001</c:v>
                </c:pt>
                <c:pt idx="22">
                  <c:v>121.45922</c:v>
                </c:pt>
                <c:pt idx="23">
                  <c:v>124.42164</c:v>
                </c:pt>
                <c:pt idx="24">
                  <c:v>127.38406000000001</c:v>
                </c:pt>
                <c:pt idx="25">
                  <c:v>130.34648000000001</c:v>
                </c:pt>
                <c:pt idx="26">
                  <c:v>133.30889999999999</c:v>
                </c:pt>
                <c:pt idx="27">
                  <c:v>136.27132</c:v>
                </c:pt>
                <c:pt idx="28">
                  <c:v>139.23374000000001</c:v>
                </c:pt>
                <c:pt idx="29">
                  <c:v>142.19615999999999</c:v>
                </c:pt>
                <c:pt idx="30">
                  <c:v>145.15858</c:v>
                </c:pt>
                <c:pt idx="31">
                  <c:v>148.12100000000001</c:v>
                </c:pt>
                <c:pt idx="32">
                  <c:v>151.08341999999999</c:v>
                </c:pt>
                <c:pt idx="33">
                  <c:v>154.04584</c:v>
                </c:pt>
                <c:pt idx="34">
                  <c:v>157.00826000000001</c:v>
                </c:pt>
                <c:pt idx="35">
                  <c:v>159.97068000000002</c:v>
                </c:pt>
                <c:pt idx="36">
                  <c:v>162.9331</c:v>
                </c:pt>
                <c:pt idx="37">
                  <c:v>165.89552</c:v>
                </c:pt>
                <c:pt idx="38">
                  <c:v>168.85794000000001</c:v>
                </c:pt>
                <c:pt idx="39">
                  <c:v>171.82035999999999</c:v>
                </c:pt>
                <c:pt idx="40">
                  <c:v>174.78278</c:v>
                </c:pt>
                <c:pt idx="41">
                  <c:v>177.74520000000001</c:v>
                </c:pt>
                <c:pt idx="42">
                  <c:v>180.70761999999999</c:v>
                </c:pt>
                <c:pt idx="43">
                  <c:v>183.67004</c:v>
                </c:pt>
                <c:pt idx="44">
                  <c:v>186.63246000000001</c:v>
                </c:pt>
                <c:pt idx="45">
                  <c:v>189.59487999999999</c:v>
                </c:pt>
                <c:pt idx="46">
                  <c:v>192.5573</c:v>
                </c:pt>
                <c:pt idx="47">
                  <c:v>195.51972000000001</c:v>
                </c:pt>
                <c:pt idx="48">
                  <c:v>198.48214000000002</c:v>
                </c:pt>
                <c:pt idx="49">
                  <c:v>201.44456</c:v>
                </c:pt>
                <c:pt idx="50">
                  <c:v>204.40698</c:v>
                </c:pt>
                <c:pt idx="51">
                  <c:v>207.36940000000001</c:v>
                </c:pt>
                <c:pt idx="52">
                  <c:v>210.33181999999999</c:v>
                </c:pt>
              </c:numCache>
            </c:numRef>
          </c:xVal>
          <c:yVal>
            <c:numRef>
              <c:f>'Forward Flight  at 3000 m'!$I$21:$I$73</c:f>
              <c:numCache>
                <c:formatCode>General</c:formatCode>
                <c:ptCount val="53"/>
                <c:pt idx="0">
                  <c:v>137.35850673125134</c:v>
                </c:pt>
                <c:pt idx="1">
                  <c:v>123.96605232495429</c:v>
                </c:pt>
                <c:pt idx="2">
                  <c:v>112.44086378680662</c:v>
                </c:pt>
                <c:pt idx="3">
                  <c:v>102.45128291318539</c:v>
                </c:pt>
                <c:pt idx="4">
                  <c:v>93.736145425296286</c:v>
                </c:pt>
                <c:pt idx="5">
                  <c:v>86.087536336773823</c:v>
                </c:pt>
                <c:pt idx="6">
                  <c:v>79.338273487970767</c:v>
                </c:pt>
                <c:pt idx="7">
                  <c:v>73.352693683404922</c:v>
                </c:pt>
                <c:pt idx="8">
                  <c:v>68.019781796957105</c:v>
                </c:pt>
                <c:pt idx="9">
                  <c:v>63.247985880078723</c:v>
                </c:pt>
                <c:pt idx="10">
                  <c:v>58.961261510085286</c:v>
                </c:pt>
                <c:pt idx="11">
                  <c:v>55.09602325553525</c:v>
                </c:pt>
                <c:pt idx="12">
                  <c:v>51.598773080105865</c:v>
                </c:pt>
                <c:pt idx="13">
                  <c:v>48.424239189435283</c:v>
                </c:pt>
                <c:pt idx="14">
                  <c:v>45.533903516971264</c:v>
                </c:pt>
                <c:pt idx="15">
                  <c:v>42.89482779410185</c:v>
                </c:pt>
                <c:pt idx="16">
                  <c:v>40.478710963250386</c:v>
                </c:pt>
                <c:pt idx="17">
                  <c:v>38.261127260788378</c:v>
                </c:pt>
                <c:pt idx="18">
                  <c:v>36.220906449950128</c:v>
                </c:pt>
                <c:pt idx="19">
                  <c:v>34.339626682812835</c:v>
                </c:pt>
                <c:pt idx="20">
                  <c:v>32.601197192624404</c:v>
                </c:pt>
                <c:pt idx="21">
                  <c:v>30.991513081238573</c:v>
                </c:pt>
                <c:pt idx="22">
                  <c:v>29.498168310518579</c:v>
                </c:pt>
                <c:pt idx="23">
                  <c:v>28.110215946701654</c:v>
                </c:pt>
                <c:pt idx="24">
                  <c:v>26.81796697132598</c:v>
                </c:pt>
                <c:pt idx="25">
                  <c:v>25.612820728296349</c:v>
                </c:pt>
                <c:pt idx="26">
                  <c:v>24.487121446904553</c:v>
                </c:pt>
                <c:pt idx="27">
                  <c:v>23.434036356324071</c:v>
                </c:pt>
                <c:pt idx="28">
                  <c:v>22.447451756442607</c:v>
                </c:pt>
                <c:pt idx="29">
                  <c:v>21.521884084193456</c:v>
                </c:pt>
                <c:pt idx="30">
                  <c:v>20.652403552678773</c:v>
                </c:pt>
                <c:pt idx="31">
                  <c:v>19.834568371992692</c:v>
                </c:pt>
                <c:pt idx="32">
                  <c:v>19.064367908489704</c:v>
                </c:pt>
                <c:pt idx="33">
                  <c:v>18.338173420851231</c:v>
                </c:pt>
                <c:pt idx="34">
                  <c:v>17.652695240292534</c:v>
                </c:pt>
                <c:pt idx="35">
                  <c:v>17.004945449239276</c:v>
                </c:pt>
                <c:pt idx="36">
                  <c:v>16.392205266109659</c:v>
                </c:pt>
                <c:pt idx="37">
                  <c:v>15.811996470019681</c:v>
                </c:pt>
                <c:pt idx="38">
                  <c:v>15.262056303472368</c:v>
                </c:pt>
                <c:pt idx="39">
                  <c:v>14.740315377521322</c:v>
                </c:pt>
                <c:pt idx="40">
                  <c:v>14.244878175806296</c:v>
                </c:pt>
                <c:pt idx="41">
                  <c:v>13.774005813883813</c:v>
                </c:pt>
                <c:pt idx="42">
                  <c:v>13.32610076054333</c:v>
                </c:pt>
                <c:pt idx="43">
                  <c:v>12.899693270026466</c:v>
                </c:pt>
                <c:pt idx="44">
                  <c:v>12.493429309645181</c:v>
                </c:pt>
                <c:pt idx="45">
                  <c:v>12.106059797358821</c:v>
                </c:pt>
                <c:pt idx="46">
                  <c:v>11.736430989344786</c:v>
                </c:pt>
                <c:pt idx="47">
                  <c:v>11.383475879242816</c:v>
                </c:pt>
                <c:pt idx="48">
                  <c:v>11.046206489191745</c:v>
                </c:pt>
                <c:pt idx="49">
                  <c:v>10.723706948525463</c:v>
                </c:pt>
                <c:pt idx="50">
                  <c:v>10.415127269477365</c:v>
                </c:pt>
                <c:pt idx="51">
                  <c:v>10.119677740812596</c:v>
                </c:pt>
                <c:pt idx="52">
                  <c:v>9.8366238702602136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C36-447E-8A4B-4672983C61A6}"/>
            </c:ext>
          </c:extLst>
        </c:ser>
        <c:ser>
          <c:idx val="4"/>
          <c:order val="2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'Forward Flight  at 3000 m'!$C$17:$C$73</c:f>
              <c:numCache>
                <c:formatCode>General</c:formatCode>
                <c:ptCount val="57"/>
                <c:pt idx="0">
                  <c:v>44.436300000000003</c:v>
                </c:pt>
                <c:pt idx="1">
                  <c:v>47.398719999999997</c:v>
                </c:pt>
                <c:pt idx="2">
                  <c:v>50.361139999999999</c:v>
                </c:pt>
                <c:pt idx="3">
                  <c:v>53.323560000000001</c:v>
                </c:pt>
                <c:pt idx="4">
                  <c:v>56.285980000000002</c:v>
                </c:pt>
                <c:pt idx="5">
                  <c:v>59.248400000000004</c:v>
                </c:pt>
                <c:pt idx="6">
                  <c:v>62.210819999999998</c:v>
                </c:pt>
                <c:pt idx="7">
                  <c:v>65.173240000000007</c:v>
                </c:pt>
                <c:pt idx="8">
                  <c:v>68.135660000000001</c:v>
                </c:pt>
                <c:pt idx="9">
                  <c:v>71.098079999999996</c:v>
                </c:pt>
                <c:pt idx="10">
                  <c:v>74.060500000000005</c:v>
                </c:pt>
                <c:pt idx="11">
                  <c:v>77.022919999999999</c:v>
                </c:pt>
                <c:pt idx="12">
                  <c:v>79.985340000000008</c:v>
                </c:pt>
                <c:pt idx="13">
                  <c:v>82.947760000000002</c:v>
                </c:pt>
                <c:pt idx="14">
                  <c:v>85.910179999999997</c:v>
                </c:pt>
                <c:pt idx="15">
                  <c:v>88.872600000000006</c:v>
                </c:pt>
                <c:pt idx="16">
                  <c:v>91.83502</c:v>
                </c:pt>
                <c:pt idx="17">
                  <c:v>94.797439999999995</c:v>
                </c:pt>
                <c:pt idx="18">
                  <c:v>97.759860000000003</c:v>
                </c:pt>
                <c:pt idx="19">
                  <c:v>100.72228</c:v>
                </c:pt>
                <c:pt idx="20">
                  <c:v>103.68470000000001</c:v>
                </c:pt>
                <c:pt idx="21">
                  <c:v>106.64712</c:v>
                </c:pt>
                <c:pt idx="22">
                  <c:v>109.60954</c:v>
                </c:pt>
                <c:pt idx="23">
                  <c:v>112.57196</c:v>
                </c:pt>
                <c:pt idx="24">
                  <c:v>115.53438</c:v>
                </c:pt>
                <c:pt idx="25">
                  <c:v>118.49680000000001</c:v>
                </c:pt>
                <c:pt idx="26">
                  <c:v>121.45922</c:v>
                </c:pt>
                <c:pt idx="27">
                  <c:v>124.42164</c:v>
                </c:pt>
                <c:pt idx="28">
                  <c:v>127.38406000000001</c:v>
                </c:pt>
                <c:pt idx="29">
                  <c:v>130.34648000000001</c:v>
                </c:pt>
                <c:pt idx="30">
                  <c:v>133.30889999999999</c:v>
                </c:pt>
                <c:pt idx="31">
                  <c:v>136.27132</c:v>
                </c:pt>
                <c:pt idx="32">
                  <c:v>139.23374000000001</c:v>
                </c:pt>
                <c:pt idx="33">
                  <c:v>142.19615999999999</c:v>
                </c:pt>
                <c:pt idx="34">
                  <c:v>145.15858</c:v>
                </c:pt>
                <c:pt idx="35">
                  <c:v>148.12100000000001</c:v>
                </c:pt>
                <c:pt idx="36">
                  <c:v>151.08341999999999</c:v>
                </c:pt>
                <c:pt idx="37">
                  <c:v>154.04584</c:v>
                </c:pt>
                <c:pt idx="38">
                  <c:v>157.00826000000001</c:v>
                </c:pt>
                <c:pt idx="39">
                  <c:v>159.97068000000002</c:v>
                </c:pt>
                <c:pt idx="40">
                  <c:v>162.9331</c:v>
                </c:pt>
                <c:pt idx="41">
                  <c:v>165.89552</c:v>
                </c:pt>
                <c:pt idx="42">
                  <c:v>168.85794000000001</c:v>
                </c:pt>
                <c:pt idx="43">
                  <c:v>171.82035999999999</c:v>
                </c:pt>
                <c:pt idx="44">
                  <c:v>174.78278</c:v>
                </c:pt>
                <c:pt idx="45">
                  <c:v>177.74520000000001</c:v>
                </c:pt>
                <c:pt idx="46">
                  <c:v>180.70761999999999</c:v>
                </c:pt>
                <c:pt idx="47">
                  <c:v>183.67004</c:v>
                </c:pt>
                <c:pt idx="48">
                  <c:v>186.63246000000001</c:v>
                </c:pt>
                <c:pt idx="49">
                  <c:v>189.59487999999999</c:v>
                </c:pt>
                <c:pt idx="50">
                  <c:v>192.5573</c:v>
                </c:pt>
                <c:pt idx="51">
                  <c:v>195.51972000000001</c:v>
                </c:pt>
                <c:pt idx="52">
                  <c:v>198.48214000000002</c:v>
                </c:pt>
                <c:pt idx="53">
                  <c:v>201.44456</c:v>
                </c:pt>
                <c:pt idx="54">
                  <c:v>204.40698</c:v>
                </c:pt>
                <c:pt idx="55">
                  <c:v>207.36940000000001</c:v>
                </c:pt>
                <c:pt idx="56">
                  <c:v>210.33181999999999</c:v>
                </c:pt>
              </c:numCache>
            </c:numRef>
          </c:xVal>
          <c:yVal>
            <c:numRef>
              <c:f>'Forward Flight  at 3000 m'!$K$17:$K$73</c:f>
              <c:numCache>
                <c:formatCode>General</c:formatCode>
                <c:ptCount val="57"/>
                <c:pt idx="0">
                  <c:v>281.23825897186316</c:v>
                </c:pt>
                <c:pt idx="1">
                  <c:v>281.23825897186316</c:v>
                </c:pt>
                <c:pt idx="2">
                  <c:v>281.23825897186316</c:v>
                </c:pt>
                <c:pt idx="3">
                  <c:v>281.23825897186316</c:v>
                </c:pt>
                <c:pt idx="4">
                  <c:v>281.23825897186316</c:v>
                </c:pt>
                <c:pt idx="5">
                  <c:v>281.23825897186316</c:v>
                </c:pt>
                <c:pt idx="6">
                  <c:v>281.23825897186316</c:v>
                </c:pt>
                <c:pt idx="7">
                  <c:v>281.23825897186316</c:v>
                </c:pt>
                <c:pt idx="8">
                  <c:v>281.23825897186316</c:v>
                </c:pt>
                <c:pt idx="9">
                  <c:v>281.23825897186316</c:v>
                </c:pt>
                <c:pt idx="10">
                  <c:v>281.23825897186316</c:v>
                </c:pt>
                <c:pt idx="11">
                  <c:v>281.23825897186316</c:v>
                </c:pt>
                <c:pt idx="12">
                  <c:v>281.23825897186316</c:v>
                </c:pt>
                <c:pt idx="13">
                  <c:v>281.23825897186316</c:v>
                </c:pt>
                <c:pt idx="14">
                  <c:v>281.23825897186316</c:v>
                </c:pt>
                <c:pt idx="15">
                  <c:v>281.23825897186316</c:v>
                </c:pt>
                <c:pt idx="16">
                  <c:v>281.23825897186316</c:v>
                </c:pt>
                <c:pt idx="17">
                  <c:v>281.23825897186316</c:v>
                </c:pt>
                <c:pt idx="18">
                  <c:v>281.23825897186316</c:v>
                </c:pt>
                <c:pt idx="19">
                  <c:v>281.23825897186316</c:v>
                </c:pt>
                <c:pt idx="20">
                  <c:v>281.23825897186316</c:v>
                </c:pt>
                <c:pt idx="21">
                  <c:v>281.23825897186316</c:v>
                </c:pt>
                <c:pt idx="22">
                  <c:v>281.23825897186316</c:v>
                </c:pt>
                <c:pt idx="23">
                  <c:v>281.23825897186316</c:v>
                </c:pt>
                <c:pt idx="24">
                  <c:v>281.23825897186316</c:v>
                </c:pt>
                <c:pt idx="25">
                  <c:v>281.23825897186316</c:v>
                </c:pt>
                <c:pt idx="26">
                  <c:v>281.23825897186316</c:v>
                </c:pt>
                <c:pt idx="27">
                  <c:v>281.23825897186316</c:v>
                </c:pt>
                <c:pt idx="28">
                  <c:v>281.23825897186316</c:v>
                </c:pt>
                <c:pt idx="29">
                  <c:v>281.23825897186316</c:v>
                </c:pt>
                <c:pt idx="30">
                  <c:v>281.23825897186316</c:v>
                </c:pt>
                <c:pt idx="31">
                  <c:v>281.23825897186316</c:v>
                </c:pt>
                <c:pt idx="32">
                  <c:v>281.23825897186316</c:v>
                </c:pt>
                <c:pt idx="33">
                  <c:v>281.23825897186316</c:v>
                </c:pt>
                <c:pt idx="34">
                  <c:v>281.23825897186316</c:v>
                </c:pt>
                <c:pt idx="35">
                  <c:v>281.23825897186316</c:v>
                </c:pt>
                <c:pt idx="36">
                  <c:v>281.23825897186316</c:v>
                </c:pt>
                <c:pt idx="37">
                  <c:v>281.23825897186316</c:v>
                </c:pt>
                <c:pt idx="38">
                  <c:v>281.23825897186316</c:v>
                </c:pt>
                <c:pt idx="39">
                  <c:v>281.23825897186316</c:v>
                </c:pt>
                <c:pt idx="40">
                  <c:v>281.23825897186316</c:v>
                </c:pt>
                <c:pt idx="41">
                  <c:v>281.23825897186316</c:v>
                </c:pt>
                <c:pt idx="42">
                  <c:v>281.23825897186316</c:v>
                </c:pt>
                <c:pt idx="43">
                  <c:v>281.23825897186316</c:v>
                </c:pt>
                <c:pt idx="44">
                  <c:v>281.23825897186316</c:v>
                </c:pt>
                <c:pt idx="45">
                  <c:v>281.23825897186316</c:v>
                </c:pt>
                <c:pt idx="46">
                  <c:v>281.23825897186316</c:v>
                </c:pt>
                <c:pt idx="47">
                  <c:v>281.23825897186316</c:v>
                </c:pt>
                <c:pt idx="48">
                  <c:v>281.23825897186316</c:v>
                </c:pt>
                <c:pt idx="49">
                  <c:v>281.23825897186316</c:v>
                </c:pt>
                <c:pt idx="50">
                  <c:v>281.23825897186316</c:v>
                </c:pt>
                <c:pt idx="51">
                  <c:v>281.23825897186316</c:v>
                </c:pt>
                <c:pt idx="52">
                  <c:v>281.23825897186316</c:v>
                </c:pt>
                <c:pt idx="53">
                  <c:v>281.23825897186316</c:v>
                </c:pt>
                <c:pt idx="54">
                  <c:v>281.23825897186316</c:v>
                </c:pt>
                <c:pt idx="55">
                  <c:v>281.23825897186316</c:v>
                </c:pt>
                <c:pt idx="56">
                  <c:v>281.23825897186316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2C36-447E-8A4B-4672983C61A6}"/>
            </c:ext>
          </c:extLst>
        </c:ser>
        <c:ser>
          <c:idx val="7"/>
          <c:order val="3"/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'Forward Flight  at 3000 m'!$C$17:$C$73</c:f>
              <c:numCache>
                <c:formatCode>General</c:formatCode>
                <c:ptCount val="57"/>
                <c:pt idx="0">
                  <c:v>44.436300000000003</c:v>
                </c:pt>
                <c:pt idx="1">
                  <c:v>47.398719999999997</c:v>
                </c:pt>
                <c:pt idx="2">
                  <c:v>50.361139999999999</c:v>
                </c:pt>
                <c:pt idx="3">
                  <c:v>53.323560000000001</c:v>
                </c:pt>
                <c:pt idx="4">
                  <c:v>56.285980000000002</c:v>
                </c:pt>
                <c:pt idx="5">
                  <c:v>59.248400000000004</c:v>
                </c:pt>
                <c:pt idx="6">
                  <c:v>62.210819999999998</c:v>
                </c:pt>
                <c:pt idx="7">
                  <c:v>65.173240000000007</c:v>
                </c:pt>
                <c:pt idx="8">
                  <c:v>68.135660000000001</c:v>
                </c:pt>
                <c:pt idx="9">
                  <c:v>71.098079999999996</c:v>
                </c:pt>
                <c:pt idx="10">
                  <c:v>74.060500000000005</c:v>
                </c:pt>
                <c:pt idx="11">
                  <c:v>77.022919999999999</c:v>
                </c:pt>
                <c:pt idx="12">
                  <c:v>79.985340000000008</c:v>
                </c:pt>
                <c:pt idx="13">
                  <c:v>82.947760000000002</c:v>
                </c:pt>
                <c:pt idx="14">
                  <c:v>85.910179999999997</c:v>
                </c:pt>
                <c:pt idx="15">
                  <c:v>88.872600000000006</c:v>
                </c:pt>
                <c:pt idx="16">
                  <c:v>91.83502</c:v>
                </c:pt>
                <c:pt idx="17">
                  <c:v>94.797439999999995</c:v>
                </c:pt>
                <c:pt idx="18">
                  <c:v>97.759860000000003</c:v>
                </c:pt>
                <c:pt idx="19">
                  <c:v>100.72228</c:v>
                </c:pt>
                <c:pt idx="20">
                  <c:v>103.68470000000001</c:v>
                </c:pt>
                <c:pt idx="21">
                  <c:v>106.64712</c:v>
                </c:pt>
                <c:pt idx="22">
                  <c:v>109.60954</c:v>
                </c:pt>
                <c:pt idx="23">
                  <c:v>112.57196</c:v>
                </c:pt>
                <c:pt idx="24">
                  <c:v>115.53438</c:v>
                </c:pt>
                <c:pt idx="25">
                  <c:v>118.49680000000001</c:v>
                </c:pt>
                <c:pt idx="26">
                  <c:v>121.45922</c:v>
                </c:pt>
                <c:pt idx="27">
                  <c:v>124.42164</c:v>
                </c:pt>
                <c:pt idx="28">
                  <c:v>127.38406000000001</c:v>
                </c:pt>
                <c:pt idx="29">
                  <c:v>130.34648000000001</c:v>
                </c:pt>
                <c:pt idx="30">
                  <c:v>133.30889999999999</c:v>
                </c:pt>
                <c:pt idx="31">
                  <c:v>136.27132</c:v>
                </c:pt>
                <c:pt idx="32">
                  <c:v>139.23374000000001</c:v>
                </c:pt>
                <c:pt idx="33">
                  <c:v>142.19615999999999</c:v>
                </c:pt>
                <c:pt idx="34">
                  <c:v>145.15858</c:v>
                </c:pt>
                <c:pt idx="35">
                  <c:v>148.12100000000001</c:v>
                </c:pt>
                <c:pt idx="36">
                  <c:v>151.08341999999999</c:v>
                </c:pt>
                <c:pt idx="37">
                  <c:v>154.04584</c:v>
                </c:pt>
                <c:pt idx="38">
                  <c:v>157.00826000000001</c:v>
                </c:pt>
                <c:pt idx="39">
                  <c:v>159.97068000000002</c:v>
                </c:pt>
                <c:pt idx="40">
                  <c:v>162.9331</c:v>
                </c:pt>
                <c:pt idx="41">
                  <c:v>165.89552</c:v>
                </c:pt>
                <c:pt idx="42">
                  <c:v>168.85794000000001</c:v>
                </c:pt>
                <c:pt idx="43">
                  <c:v>171.82035999999999</c:v>
                </c:pt>
                <c:pt idx="44">
                  <c:v>174.78278</c:v>
                </c:pt>
                <c:pt idx="45">
                  <c:v>177.74520000000001</c:v>
                </c:pt>
                <c:pt idx="46">
                  <c:v>180.70761999999999</c:v>
                </c:pt>
                <c:pt idx="47">
                  <c:v>183.67004</c:v>
                </c:pt>
                <c:pt idx="48">
                  <c:v>186.63246000000001</c:v>
                </c:pt>
                <c:pt idx="49">
                  <c:v>189.59487999999999</c:v>
                </c:pt>
                <c:pt idx="50">
                  <c:v>192.5573</c:v>
                </c:pt>
                <c:pt idx="51">
                  <c:v>195.51972000000001</c:v>
                </c:pt>
                <c:pt idx="52">
                  <c:v>198.48214000000002</c:v>
                </c:pt>
                <c:pt idx="53">
                  <c:v>201.44456</c:v>
                </c:pt>
                <c:pt idx="54">
                  <c:v>204.40698</c:v>
                </c:pt>
                <c:pt idx="55">
                  <c:v>207.36940000000001</c:v>
                </c:pt>
                <c:pt idx="56">
                  <c:v>210.33181999999999</c:v>
                </c:pt>
              </c:numCache>
            </c:numRef>
          </c:xVal>
          <c:yVal>
            <c:numRef>
              <c:f>'Forward Flight  at 3000 m'!$J$17:$J$73</c:f>
              <c:numCache>
                <c:formatCode>General</c:formatCode>
                <c:ptCount val="57"/>
                <c:pt idx="0">
                  <c:v>236.58410258880238</c:v>
                </c:pt>
                <c:pt idx="1">
                  <c:v>212.12896764247586</c:v>
                </c:pt>
                <c:pt idx="2">
                  <c:v>192.38732346425246</c:v>
                </c:pt>
                <c:pt idx="3">
                  <c:v>176.3725228191459</c:v>
                </c:pt>
                <c:pt idx="4">
                  <c:v>163.35052208042802</c:v>
                </c:pt>
                <c:pt idx="5">
                  <c:v>152.76606933235229</c:v>
                </c:pt>
                <c:pt idx="6">
                  <c:v>144.19288253746291</c:v>
                </c:pt>
                <c:pt idx="7">
                  <c:v>137.29930349213697</c:v>
                </c:pt>
                <c:pt idx="8">
                  <c:v>131.82416791758013</c:v>
                </c:pt>
                <c:pt idx="9">
                  <c:v>127.55956082742694</c:v>
                </c:pt>
                <c:pt idx="10">
                  <c:v>124.33830006203013</c:v>
                </c:pt>
                <c:pt idx="11">
                  <c:v>122.02472242590753</c:v>
                </c:pt>
                <c:pt idx="12">
                  <c:v>120.50781279293996</c:v>
                </c:pt>
                <c:pt idx="13">
                  <c:v>119.6960192145788</c:v>
                </c:pt>
                <c:pt idx="14">
                  <c:v>119.51329726813957</c:v>
                </c:pt>
                <c:pt idx="15">
                  <c:v>119.89606152218073</c:v>
                </c:pt>
                <c:pt idx="16">
                  <c:v>120.79081394037954</c:v>
                </c:pt>
                <c:pt idx="17">
                  <c:v>122.15228272837415</c:v>
                </c:pt>
                <c:pt idx="18">
                  <c:v>123.9419498196123</c:v>
                </c:pt>
                <c:pt idx="19">
                  <c:v>126.12687694548205</c:v>
                </c:pt>
                <c:pt idx="20">
                  <c:v>128.67876304840675</c:v>
                </c:pt>
                <c:pt idx="21">
                  <c:v>131.57318236475788</c:v>
                </c:pt>
                <c:pt idx="22">
                  <c:v>134.78896465776975</c:v>
                </c:pt>
                <c:pt idx="23">
                  <c:v>138.30768807951958</c:v>
                </c:pt>
                <c:pt idx="24">
                  <c:v>142.11326186325527</c:v>
                </c:pt>
                <c:pt idx="25">
                  <c:v>146.19158111083055</c:v>
                </c:pt>
                <c:pt idx="26">
                  <c:v>150.53023978410863</c:v>
                </c:pt>
                <c:pt idx="27">
                  <c:v>155.11829094932679</c:v>
                </c:pt>
                <c:pt idx="28">
                  <c:v>159.9460455880232</c:v>
                </c:pt>
                <c:pt idx="29">
                  <c:v>165.00490304410263</c:v>
                </c:pt>
                <c:pt idx="30">
                  <c:v>170.28720754685688</c:v>
                </c:pt>
                <c:pt idx="31">
                  <c:v>175.78612632545946</c:v>
                </c:pt>
                <c:pt idx="32">
                  <c:v>181.49554567979803</c:v>
                </c:pt>
                <c:pt idx="33">
                  <c:v>187.40998204680591</c:v>
                </c:pt>
                <c:pt idx="34">
                  <c:v>193.52450563958521</c:v>
                </c:pt>
                <c:pt idx="35">
                  <c:v>199.83467466823018</c:v>
                </c:pt>
                <c:pt idx="36">
                  <c:v>206.33647849909516</c:v>
                </c:pt>
                <c:pt idx="37">
                  <c:v>213.02628839086168</c:v>
                </c:pt>
                <c:pt idx="38">
                  <c:v>219.90081467474496</c:v>
                </c:pt>
                <c:pt idx="39">
                  <c:v>226.95706943317069</c:v>
                </c:pt>
                <c:pt idx="40">
                  <c:v>234.192333884557</c:v>
                </c:pt>
                <c:pt idx="41">
                  <c:v>241.60412980801999</c:v>
                </c:pt>
                <c:pt idx="42">
                  <c:v>249.19019444606261</c:v>
                </c:pt>
                <c:pt idx="43">
                  <c:v>256.94845840973846</c:v>
                </c:pt>
                <c:pt idx="44">
                  <c:v>264.87702618268736</c:v>
                </c:pt>
                <c:pt idx="45">
                  <c:v>272.97415888046578</c:v>
                </c:pt>
                <c:pt idx="46">
                  <c:v>281.23825897186316</c:v>
                </c:pt>
                <c:pt idx="47">
                  <c:v>289.6678567111212</c:v>
                </c:pt>
                <c:pt idx="48">
                  <c:v>298.26159806555182</c:v>
                </c:pt>
                <c:pt idx="49">
                  <c:v>307.01823395311425</c:v>
                </c:pt>
                <c:pt idx="50">
                  <c:v>315.93661062998609</c:v>
                </c:pt>
                <c:pt idx="51">
                  <c:v>325.015661089807</c:v>
                </c:pt>
                <c:pt idx="52">
                  <c:v>334.25439735471571</c:v>
                </c:pt>
                <c:pt idx="53">
                  <c:v>343.65190355404627</c:v>
                </c:pt>
                <c:pt idx="54">
                  <c:v>353.20732970003195</c:v>
                </c:pt>
                <c:pt idx="55">
                  <c:v>362.91988608143805</c:v>
                </c:pt>
                <c:pt idx="56">
                  <c:v>372.78883820599344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C36-447E-8A4B-4672983C61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749576"/>
        <c:axId val="34746832"/>
      </c:scatterChart>
      <c:valAx>
        <c:axId val="34749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Flight</a:t>
                </a:r>
                <a:r>
                  <a:rPr lang="en-US" baseline="0"/>
                  <a:t> Speed  (knots)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34746832"/>
        <c:crosses val="autoZero"/>
        <c:crossBetween val="midCat"/>
      </c:valAx>
      <c:valAx>
        <c:axId val="3474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Power (HP)</a:t>
                </a:r>
              </a:p>
            </c:rich>
          </c:tx>
          <c:layout>
            <c:manualLayout>
              <c:xMode val="edge"/>
              <c:yMode val="edge"/>
              <c:x val="6.3919396973145692E-2"/>
              <c:y val="0.3543601811046828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347495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6292303590806518"/>
          <c:y val="0.33983373092030922"/>
          <c:w val="0.12992388826933113"/>
          <c:h val="0.32033253815938156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Power Available at 3000m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475838657186048"/>
          <c:y val="3.2546832469551465E-2"/>
          <c:w val="0.81860058925018298"/>
          <c:h val="0.82745492498085638"/>
        </c:manualLayout>
      </c:layout>
      <c:scatterChart>
        <c:scatterStyle val="smoothMarker"/>
        <c:varyColors val="0"/>
        <c:ser>
          <c:idx val="5"/>
          <c:order val="0"/>
          <c:tx>
            <c:v>Forward Flight Total Power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'Forward Flight  at 3000 m'!$C$17:$C$73</c:f>
              <c:numCache>
                <c:formatCode>General</c:formatCode>
                <c:ptCount val="57"/>
                <c:pt idx="0">
                  <c:v>44.436300000000003</c:v>
                </c:pt>
                <c:pt idx="1">
                  <c:v>47.398719999999997</c:v>
                </c:pt>
                <c:pt idx="2">
                  <c:v>50.361139999999999</c:v>
                </c:pt>
                <c:pt idx="3">
                  <c:v>53.323560000000001</c:v>
                </c:pt>
                <c:pt idx="4">
                  <c:v>56.285980000000002</c:v>
                </c:pt>
                <c:pt idx="5">
                  <c:v>59.248400000000004</c:v>
                </c:pt>
                <c:pt idx="6">
                  <c:v>62.210819999999998</c:v>
                </c:pt>
                <c:pt idx="7">
                  <c:v>65.173240000000007</c:v>
                </c:pt>
                <c:pt idx="8">
                  <c:v>68.135660000000001</c:v>
                </c:pt>
                <c:pt idx="9">
                  <c:v>71.098079999999996</c:v>
                </c:pt>
                <c:pt idx="10">
                  <c:v>74.060500000000005</c:v>
                </c:pt>
                <c:pt idx="11">
                  <c:v>77.022919999999999</c:v>
                </c:pt>
                <c:pt idx="12">
                  <c:v>79.985340000000008</c:v>
                </c:pt>
                <c:pt idx="13">
                  <c:v>82.947760000000002</c:v>
                </c:pt>
                <c:pt idx="14">
                  <c:v>85.910179999999997</c:v>
                </c:pt>
                <c:pt idx="15">
                  <c:v>88.872600000000006</c:v>
                </c:pt>
                <c:pt idx="16">
                  <c:v>91.83502</c:v>
                </c:pt>
                <c:pt idx="17">
                  <c:v>94.797439999999995</c:v>
                </c:pt>
                <c:pt idx="18">
                  <c:v>97.759860000000003</c:v>
                </c:pt>
                <c:pt idx="19">
                  <c:v>100.72228</c:v>
                </c:pt>
                <c:pt idx="20">
                  <c:v>103.68470000000001</c:v>
                </c:pt>
                <c:pt idx="21">
                  <c:v>106.64712</c:v>
                </c:pt>
                <c:pt idx="22">
                  <c:v>109.60954</c:v>
                </c:pt>
                <c:pt idx="23">
                  <c:v>112.57196</c:v>
                </c:pt>
                <c:pt idx="24">
                  <c:v>115.53438</c:v>
                </c:pt>
                <c:pt idx="25">
                  <c:v>118.49680000000001</c:v>
                </c:pt>
                <c:pt idx="26">
                  <c:v>121.45922</c:v>
                </c:pt>
                <c:pt idx="27">
                  <c:v>124.42164</c:v>
                </c:pt>
                <c:pt idx="28">
                  <c:v>127.38406000000001</c:v>
                </c:pt>
                <c:pt idx="29">
                  <c:v>130.34648000000001</c:v>
                </c:pt>
                <c:pt idx="30">
                  <c:v>133.30889999999999</c:v>
                </c:pt>
                <c:pt idx="31">
                  <c:v>136.27132</c:v>
                </c:pt>
                <c:pt idx="32">
                  <c:v>139.23374000000001</c:v>
                </c:pt>
                <c:pt idx="33">
                  <c:v>142.19615999999999</c:v>
                </c:pt>
                <c:pt idx="34">
                  <c:v>145.15858</c:v>
                </c:pt>
                <c:pt idx="35">
                  <c:v>148.12100000000001</c:v>
                </c:pt>
                <c:pt idx="36">
                  <c:v>151.08341999999999</c:v>
                </c:pt>
                <c:pt idx="37">
                  <c:v>154.04584</c:v>
                </c:pt>
                <c:pt idx="38">
                  <c:v>157.00826000000001</c:v>
                </c:pt>
                <c:pt idx="39">
                  <c:v>159.97068000000002</c:v>
                </c:pt>
                <c:pt idx="40">
                  <c:v>162.9331</c:v>
                </c:pt>
                <c:pt idx="41">
                  <c:v>165.89552</c:v>
                </c:pt>
                <c:pt idx="42">
                  <c:v>168.85794000000001</c:v>
                </c:pt>
                <c:pt idx="43">
                  <c:v>171.82035999999999</c:v>
                </c:pt>
                <c:pt idx="44">
                  <c:v>174.78278</c:v>
                </c:pt>
                <c:pt idx="45">
                  <c:v>177.74520000000001</c:v>
                </c:pt>
                <c:pt idx="46">
                  <c:v>180.70761999999999</c:v>
                </c:pt>
                <c:pt idx="47">
                  <c:v>183.67004</c:v>
                </c:pt>
                <c:pt idx="48">
                  <c:v>186.63246000000001</c:v>
                </c:pt>
                <c:pt idx="49">
                  <c:v>189.59487999999999</c:v>
                </c:pt>
                <c:pt idx="50">
                  <c:v>192.5573</c:v>
                </c:pt>
                <c:pt idx="51">
                  <c:v>195.51972000000001</c:v>
                </c:pt>
                <c:pt idx="52">
                  <c:v>198.48214000000002</c:v>
                </c:pt>
                <c:pt idx="53">
                  <c:v>201.44456</c:v>
                </c:pt>
                <c:pt idx="54">
                  <c:v>204.40698</c:v>
                </c:pt>
                <c:pt idx="55">
                  <c:v>207.36940000000001</c:v>
                </c:pt>
                <c:pt idx="56">
                  <c:v>210.33181999999999</c:v>
                </c:pt>
              </c:numCache>
            </c:numRef>
          </c:xVal>
          <c:yVal>
            <c:numRef>
              <c:f>'Forward Flight  at 3000 m'!$J$17:$J$73</c:f>
              <c:numCache>
                <c:formatCode>General</c:formatCode>
                <c:ptCount val="57"/>
                <c:pt idx="0">
                  <c:v>236.58410258880238</c:v>
                </c:pt>
                <c:pt idx="1">
                  <c:v>212.12896764247586</c:v>
                </c:pt>
                <c:pt idx="2">
                  <c:v>192.38732346425246</c:v>
                </c:pt>
                <c:pt idx="3">
                  <c:v>176.3725228191459</c:v>
                </c:pt>
                <c:pt idx="4">
                  <c:v>163.35052208042802</c:v>
                </c:pt>
                <c:pt idx="5">
                  <c:v>152.76606933235229</c:v>
                </c:pt>
                <c:pt idx="6">
                  <c:v>144.19288253746291</c:v>
                </c:pt>
                <c:pt idx="7">
                  <c:v>137.29930349213697</c:v>
                </c:pt>
                <c:pt idx="8">
                  <c:v>131.82416791758013</c:v>
                </c:pt>
                <c:pt idx="9">
                  <c:v>127.55956082742694</c:v>
                </c:pt>
                <c:pt idx="10">
                  <c:v>124.33830006203013</c:v>
                </c:pt>
                <c:pt idx="11">
                  <c:v>122.02472242590753</c:v>
                </c:pt>
                <c:pt idx="12">
                  <c:v>120.50781279293996</c:v>
                </c:pt>
                <c:pt idx="13">
                  <c:v>119.6960192145788</c:v>
                </c:pt>
                <c:pt idx="14">
                  <c:v>119.51329726813957</c:v>
                </c:pt>
                <c:pt idx="15">
                  <c:v>119.89606152218073</c:v>
                </c:pt>
                <c:pt idx="16">
                  <c:v>120.79081394037954</c:v>
                </c:pt>
                <c:pt idx="17">
                  <c:v>122.15228272837415</c:v>
                </c:pt>
                <c:pt idx="18">
                  <c:v>123.9419498196123</c:v>
                </c:pt>
                <c:pt idx="19">
                  <c:v>126.12687694548205</c:v>
                </c:pt>
                <c:pt idx="20">
                  <c:v>128.67876304840675</c:v>
                </c:pt>
                <c:pt idx="21">
                  <c:v>131.57318236475788</c:v>
                </c:pt>
                <c:pt idx="22">
                  <c:v>134.78896465776975</c:v>
                </c:pt>
                <c:pt idx="23">
                  <c:v>138.30768807951958</c:v>
                </c:pt>
                <c:pt idx="24">
                  <c:v>142.11326186325527</c:v>
                </c:pt>
                <c:pt idx="25">
                  <c:v>146.19158111083055</c:v>
                </c:pt>
                <c:pt idx="26">
                  <c:v>150.53023978410863</c:v>
                </c:pt>
                <c:pt idx="27">
                  <c:v>155.11829094932679</c:v>
                </c:pt>
                <c:pt idx="28">
                  <c:v>159.9460455880232</c:v>
                </c:pt>
                <c:pt idx="29">
                  <c:v>165.00490304410263</c:v>
                </c:pt>
                <c:pt idx="30">
                  <c:v>170.28720754685688</c:v>
                </c:pt>
                <c:pt idx="31">
                  <c:v>175.78612632545946</c:v>
                </c:pt>
                <c:pt idx="32">
                  <c:v>181.49554567979803</c:v>
                </c:pt>
                <c:pt idx="33">
                  <c:v>187.40998204680591</c:v>
                </c:pt>
                <c:pt idx="34">
                  <c:v>193.52450563958521</c:v>
                </c:pt>
                <c:pt idx="35">
                  <c:v>199.83467466823018</c:v>
                </c:pt>
                <c:pt idx="36">
                  <c:v>206.33647849909516</c:v>
                </c:pt>
                <c:pt idx="37">
                  <c:v>213.02628839086168</c:v>
                </c:pt>
                <c:pt idx="38">
                  <c:v>219.90081467474496</c:v>
                </c:pt>
                <c:pt idx="39">
                  <c:v>226.95706943317069</c:v>
                </c:pt>
                <c:pt idx="40">
                  <c:v>234.192333884557</c:v>
                </c:pt>
                <c:pt idx="41">
                  <c:v>241.60412980801999</c:v>
                </c:pt>
                <c:pt idx="42">
                  <c:v>249.19019444606261</c:v>
                </c:pt>
                <c:pt idx="43">
                  <c:v>256.94845840973846</c:v>
                </c:pt>
                <c:pt idx="44">
                  <c:v>264.87702618268736</c:v>
                </c:pt>
                <c:pt idx="45">
                  <c:v>272.97415888046578</c:v>
                </c:pt>
                <c:pt idx="46">
                  <c:v>281.23825897186316</c:v>
                </c:pt>
                <c:pt idx="47">
                  <c:v>289.6678567111212</c:v>
                </c:pt>
                <c:pt idx="48">
                  <c:v>298.26159806555182</c:v>
                </c:pt>
                <c:pt idx="49">
                  <c:v>307.01823395311425</c:v>
                </c:pt>
                <c:pt idx="50">
                  <c:v>315.93661062998609</c:v>
                </c:pt>
                <c:pt idx="51">
                  <c:v>325.015661089807</c:v>
                </c:pt>
                <c:pt idx="52">
                  <c:v>334.25439735471571</c:v>
                </c:pt>
                <c:pt idx="53">
                  <c:v>343.65190355404627</c:v>
                </c:pt>
                <c:pt idx="54">
                  <c:v>353.20732970003195</c:v>
                </c:pt>
                <c:pt idx="55">
                  <c:v>362.91988608143805</c:v>
                </c:pt>
                <c:pt idx="56">
                  <c:v>372.78883820599344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5FAF-4231-BC54-94CA5565D718}"/>
            </c:ext>
          </c:extLst>
        </c:ser>
        <c:ser>
          <c:idx val="1"/>
          <c:order val="2"/>
          <c:tx>
            <c:v>Helicopter Total Power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'Power Curve at 3000 m'!$B$16:$B$38</c:f>
              <c:numCache>
                <c:formatCode>General</c:formatCode>
                <c:ptCount val="23"/>
                <c:pt idx="0">
                  <c:v>0</c:v>
                </c:pt>
                <c:pt idx="1">
                  <c:v>7.4404761904761907</c:v>
                </c:pt>
                <c:pt idx="2">
                  <c:v>14.880952380952381</c:v>
                </c:pt>
                <c:pt idx="3">
                  <c:v>22.321428571428573</c:v>
                </c:pt>
                <c:pt idx="4">
                  <c:v>29.761904761904763</c:v>
                </c:pt>
                <c:pt idx="5">
                  <c:v>37.202380952380956</c:v>
                </c:pt>
                <c:pt idx="6">
                  <c:v>44.642857142857146</c:v>
                </c:pt>
                <c:pt idx="7">
                  <c:v>52.083333333333336</c:v>
                </c:pt>
                <c:pt idx="8">
                  <c:v>59.523809523809526</c:v>
                </c:pt>
                <c:pt idx="9">
                  <c:v>66.964285714285722</c:v>
                </c:pt>
                <c:pt idx="10">
                  <c:v>74.404761904761912</c:v>
                </c:pt>
                <c:pt idx="11">
                  <c:v>81.845238095238102</c:v>
                </c:pt>
                <c:pt idx="12">
                  <c:v>89.285714285714292</c:v>
                </c:pt>
                <c:pt idx="13">
                  <c:v>96.726190476190482</c:v>
                </c:pt>
                <c:pt idx="14">
                  <c:v>104.16666666666667</c:v>
                </c:pt>
                <c:pt idx="15">
                  <c:v>111.60714285714286</c:v>
                </c:pt>
                <c:pt idx="16">
                  <c:v>119.04761904761905</c:v>
                </c:pt>
                <c:pt idx="17">
                  <c:v>126.48809523809524</c:v>
                </c:pt>
                <c:pt idx="18">
                  <c:v>133.92857142857144</c:v>
                </c:pt>
                <c:pt idx="19">
                  <c:v>141.36904761904762</c:v>
                </c:pt>
                <c:pt idx="20">
                  <c:v>148.80952380952382</c:v>
                </c:pt>
                <c:pt idx="21">
                  <c:v>156.25</c:v>
                </c:pt>
                <c:pt idx="22">
                  <c:v>163.6904761904762</c:v>
                </c:pt>
              </c:numCache>
            </c:numRef>
          </c:xVal>
          <c:yVal>
            <c:numRef>
              <c:f>'Power Curve at 3000 m'!$J$16:$J$38</c:f>
              <c:numCache>
                <c:formatCode>General</c:formatCode>
                <c:ptCount val="23"/>
                <c:pt idx="0">
                  <c:v>230.10565424416396</c:v>
                </c:pt>
                <c:pt idx="1">
                  <c:v>227.78166608243612</c:v>
                </c:pt>
                <c:pt idx="2">
                  <c:v>221.11686826355751</c:v>
                </c:pt>
                <c:pt idx="3">
                  <c:v>210.89169566004102</c:v>
                </c:pt>
                <c:pt idx="4">
                  <c:v>198.37250856594233</c:v>
                </c:pt>
                <c:pt idx="5">
                  <c:v>185.23259964972218</c:v>
                </c:pt>
                <c:pt idx="6">
                  <c:v>173.18598797958703</c:v>
                </c:pt>
                <c:pt idx="7">
                  <c:v>163.5327868943458</c:v>
                </c:pt>
                <c:pt idx="8">
                  <c:v>156.98012768452719</c:v>
                </c:pt>
                <c:pt idx="9">
                  <c:v>153.77953984538084</c:v>
                </c:pt>
                <c:pt idx="10">
                  <c:v>153.95190657483371</c:v>
                </c:pt>
                <c:pt idx="11">
                  <c:v>157.44600086338278</c:v>
                </c:pt>
                <c:pt idx="12">
                  <c:v>164.21532345851497</c:v>
                </c:pt>
                <c:pt idx="13">
                  <c:v>174.24528198980522</c:v>
                </c:pt>
                <c:pt idx="14">
                  <c:v>187.55776073830211</c:v>
                </c:pt>
                <c:pt idx="15">
                  <c:v>204.20741622970255</c:v>
                </c:pt>
                <c:pt idx="16">
                  <c:v>224.27589842156578</c:v>
                </c:pt>
                <c:pt idx="17">
                  <c:v>247.86629896872162</c:v>
                </c:pt>
                <c:pt idx="18">
                  <c:v>275.09849994445324</c:v>
                </c:pt>
                <c:pt idx="19">
                  <c:v>306.10548588798315</c:v>
                </c:pt>
                <c:pt idx="20">
                  <c:v>341.03048763910652</c:v>
                </c:pt>
                <c:pt idx="21">
                  <c:v>380.02478955211973</c:v>
                </c:pt>
                <c:pt idx="22">
                  <c:v>423.2460478283457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FAF-4231-BC54-94CA5565D7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45101520"/>
        <c:axId val="-545111856"/>
        <c:extLst>
          <c:ext xmlns:c15="http://schemas.microsoft.com/office/drawing/2012/chart" uri="{02D57815-91ED-43cb-92C2-25804820EDAC}">
            <c15:filteredScatterSeries>
              <c15:ser>
                <c:idx val="6"/>
                <c:order val="1"/>
                <c:tx>
                  <c:v>Total Power</c:v>
                </c:tx>
                <c:spPr>
                  <a:ln w="19050" cap="rnd">
                    <a:solidFill>
                      <a:srgbClr val="00B050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'Forward Flight  at 3000 m'!$D$17:$D$73</c15:sqref>
                        </c15:formulaRef>
                      </c:ext>
                    </c:extLst>
                    <c:numCache>
                      <c:formatCode>General</c:formatCode>
                      <c:ptCount val="57"/>
                      <c:pt idx="0">
                        <c:v>75</c:v>
                      </c:pt>
                      <c:pt idx="1">
                        <c:v>80</c:v>
                      </c:pt>
                      <c:pt idx="2">
                        <c:v>85</c:v>
                      </c:pt>
                      <c:pt idx="3">
                        <c:v>90</c:v>
                      </c:pt>
                      <c:pt idx="4">
                        <c:v>95</c:v>
                      </c:pt>
                      <c:pt idx="5">
                        <c:v>100</c:v>
                      </c:pt>
                      <c:pt idx="6">
                        <c:v>105</c:v>
                      </c:pt>
                      <c:pt idx="7">
                        <c:v>110</c:v>
                      </c:pt>
                      <c:pt idx="8">
                        <c:v>115</c:v>
                      </c:pt>
                      <c:pt idx="9">
                        <c:v>120</c:v>
                      </c:pt>
                      <c:pt idx="10">
                        <c:v>125</c:v>
                      </c:pt>
                      <c:pt idx="11">
                        <c:v>130</c:v>
                      </c:pt>
                      <c:pt idx="12">
                        <c:v>135</c:v>
                      </c:pt>
                      <c:pt idx="13">
                        <c:v>140</c:v>
                      </c:pt>
                      <c:pt idx="14">
                        <c:v>145</c:v>
                      </c:pt>
                      <c:pt idx="15">
                        <c:v>150</c:v>
                      </c:pt>
                      <c:pt idx="16">
                        <c:v>155</c:v>
                      </c:pt>
                      <c:pt idx="17">
                        <c:v>160</c:v>
                      </c:pt>
                      <c:pt idx="18">
                        <c:v>165</c:v>
                      </c:pt>
                      <c:pt idx="19">
                        <c:v>170</c:v>
                      </c:pt>
                      <c:pt idx="20">
                        <c:v>175</c:v>
                      </c:pt>
                      <c:pt idx="21">
                        <c:v>180</c:v>
                      </c:pt>
                      <c:pt idx="22">
                        <c:v>185</c:v>
                      </c:pt>
                      <c:pt idx="23">
                        <c:v>190</c:v>
                      </c:pt>
                      <c:pt idx="24">
                        <c:v>195</c:v>
                      </c:pt>
                      <c:pt idx="25">
                        <c:v>200</c:v>
                      </c:pt>
                      <c:pt idx="26">
                        <c:v>205</c:v>
                      </c:pt>
                      <c:pt idx="27">
                        <c:v>210</c:v>
                      </c:pt>
                      <c:pt idx="28">
                        <c:v>215</c:v>
                      </c:pt>
                      <c:pt idx="29">
                        <c:v>220</c:v>
                      </c:pt>
                      <c:pt idx="30">
                        <c:v>225</c:v>
                      </c:pt>
                      <c:pt idx="31">
                        <c:v>230</c:v>
                      </c:pt>
                      <c:pt idx="32">
                        <c:v>235</c:v>
                      </c:pt>
                      <c:pt idx="33">
                        <c:v>240</c:v>
                      </c:pt>
                      <c:pt idx="34">
                        <c:v>245</c:v>
                      </c:pt>
                      <c:pt idx="35">
                        <c:v>250</c:v>
                      </c:pt>
                      <c:pt idx="36">
                        <c:v>255</c:v>
                      </c:pt>
                      <c:pt idx="37">
                        <c:v>260</c:v>
                      </c:pt>
                      <c:pt idx="38">
                        <c:v>265</c:v>
                      </c:pt>
                      <c:pt idx="39">
                        <c:v>270</c:v>
                      </c:pt>
                      <c:pt idx="40">
                        <c:v>275</c:v>
                      </c:pt>
                      <c:pt idx="41">
                        <c:v>280</c:v>
                      </c:pt>
                      <c:pt idx="42">
                        <c:v>285</c:v>
                      </c:pt>
                      <c:pt idx="43">
                        <c:v>290</c:v>
                      </c:pt>
                      <c:pt idx="44">
                        <c:v>295</c:v>
                      </c:pt>
                      <c:pt idx="45">
                        <c:v>300</c:v>
                      </c:pt>
                      <c:pt idx="46">
                        <c:v>305</c:v>
                      </c:pt>
                      <c:pt idx="47">
                        <c:v>310</c:v>
                      </c:pt>
                      <c:pt idx="48">
                        <c:v>315</c:v>
                      </c:pt>
                      <c:pt idx="49">
                        <c:v>320</c:v>
                      </c:pt>
                      <c:pt idx="50">
                        <c:v>325</c:v>
                      </c:pt>
                      <c:pt idx="51">
                        <c:v>330</c:v>
                      </c:pt>
                      <c:pt idx="52">
                        <c:v>335</c:v>
                      </c:pt>
                      <c:pt idx="53">
                        <c:v>340</c:v>
                      </c:pt>
                      <c:pt idx="54">
                        <c:v>345</c:v>
                      </c:pt>
                      <c:pt idx="55">
                        <c:v>350</c:v>
                      </c:pt>
                      <c:pt idx="56">
                        <c:v>355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'Forward Flight  at 3000 m'!$J$17:$J$73</c15:sqref>
                        </c15:formulaRef>
                      </c:ext>
                    </c:extLst>
                    <c:numCache>
                      <c:formatCode>General</c:formatCode>
                      <c:ptCount val="57"/>
                      <c:pt idx="0">
                        <c:v>236.58410258880238</c:v>
                      </c:pt>
                      <c:pt idx="1">
                        <c:v>212.12896764247586</c:v>
                      </c:pt>
                      <c:pt idx="2">
                        <c:v>192.38732346425246</c:v>
                      </c:pt>
                      <c:pt idx="3">
                        <c:v>176.3725228191459</c:v>
                      </c:pt>
                      <c:pt idx="4">
                        <c:v>163.35052208042802</c:v>
                      </c:pt>
                      <c:pt idx="5">
                        <c:v>152.76606933235229</c:v>
                      </c:pt>
                      <c:pt idx="6">
                        <c:v>144.19288253746291</c:v>
                      </c:pt>
                      <c:pt idx="7">
                        <c:v>137.29930349213697</c:v>
                      </c:pt>
                      <c:pt idx="8">
                        <c:v>131.82416791758013</c:v>
                      </c:pt>
                      <c:pt idx="9">
                        <c:v>127.55956082742694</c:v>
                      </c:pt>
                      <c:pt idx="10">
                        <c:v>124.33830006203013</c:v>
                      </c:pt>
                      <c:pt idx="11">
                        <c:v>122.02472242590753</c:v>
                      </c:pt>
                      <c:pt idx="12">
                        <c:v>120.50781279293996</c:v>
                      </c:pt>
                      <c:pt idx="13">
                        <c:v>119.6960192145788</c:v>
                      </c:pt>
                      <c:pt idx="14">
                        <c:v>119.51329726813957</c:v>
                      </c:pt>
                      <c:pt idx="15">
                        <c:v>119.89606152218073</c:v>
                      </c:pt>
                      <c:pt idx="16">
                        <c:v>120.79081394037954</c:v>
                      </c:pt>
                      <c:pt idx="17">
                        <c:v>122.15228272837415</c:v>
                      </c:pt>
                      <c:pt idx="18">
                        <c:v>123.9419498196123</c:v>
                      </c:pt>
                      <c:pt idx="19">
                        <c:v>126.12687694548205</c:v>
                      </c:pt>
                      <c:pt idx="20">
                        <c:v>128.67876304840675</c:v>
                      </c:pt>
                      <c:pt idx="21">
                        <c:v>131.57318236475788</c:v>
                      </c:pt>
                      <c:pt idx="22">
                        <c:v>134.78896465776975</c:v>
                      </c:pt>
                      <c:pt idx="23">
                        <c:v>138.30768807951958</c:v>
                      </c:pt>
                      <c:pt idx="24">
                        <c:v>142.11326186325527</c:v>
                      </c:pt>
                      <c:pt idx="25">
                        <c:v>146.19158111083055</c:v>
                      </c:pt>
                      <c:pt idx="26">
                        <c:v>150.53023978410863</c:v>
                      </c:pt>
                      <c:pt idx="27">
                        <c:v>155.11829094932679</c:v>
                      </c:pt>
                      <c:pt idx="28">
                        <c:v>159.9460455880232</c:v>
                      </c:pt>
                      <c:pt idx="29">
                        <c:v>165.00490304410263</c:v>
                      </c:pt>
                      <c:pt idx="30">
                        <c:v>170.28720754685688</c:v>
                      </c:pt>
                      <c:pt idx="31">
                        <c:v>175.78612632545946</c:v>
                      </c:pt>
                      <c:pt idx="32">
                        <c:v>181.49554567979803</c:v>
                      </c:pt>
                      <c:pt idx="33">
                        <c:v>187.40998204680591</c:v>
                      </c:pt>
                      <c:pt idx="34">
                        <c:v>193.52450563958521</c:v>
                      </c:pt>
                      <c:pt idx="35">
                        <c:v>199.83467466823018</c:v>
                      </c:pt>
                      <c:pt idx="36">
                        <c:v>206.33647849909516</c:v>
                      </c:pt>
                      <c:pt idx="37">
                        <c:v>213.02628839086168</c:v>
                      </c:pt>
                      <c:pt idx="38">
                        <c:v>219.90081467474496</c:v>
                      </c:pt>
                      <c:pt idx="39">
                        <c:v>226.95706943317069</c:v>
                      </c:pt>
                      <c:pt idx="40">
                        <c:v>234.192333884557</c:v>
                      </c:pt>
                      <c:pt idx="41">
                        <c:v>241.60412980801999</c:v>
                      </c:pt>
                      <c:pt idx="42">
                        <c:v>249.19019444606261</c:v>
                      </c:pt>
                      <c:pt idx="43">
                        <c:v>256.94845840973846</c:v>
                      </c:pt>
                      <c:pt idx="44">
                        <c:v>264.87702618268736</c:v>
                      </c:pt>
                      <c:pt idx="45">
                        <c:v>272.97415888046578</c:v>
                      </c:pt>
                      <c:pt idx="46">
                        <c:v>281.23825897186316</c:v>
                      </c:pt>
                      <c:pt idx="47">
                        <c:v>289.6678567111212</c:v>
                      </c:pt>
                      <c:pt idx="48">
                        <c:v>298.26159806555182</c:v>
                      </c:pt>
                      <c:pt idx="49">
                        <c:v>307.01823395311425</c:v>
                      </c:pt>
                      <c:pt idx="50">
                        <c:v>315.93661062998609</c:v>
                      </c:pt>
                      <c:pt idx="51">
                        <c:v>325.015661089807</c:v>
                      </c:pt>
                      <c:pt idx="52">
                        <c:v>334.25439735471571</c:v>
                      </c:pt>
                      <c:pt idx="53">
                        <c:v>343.65190355404627</c:v>
                      </c:pt>
                      <c:pt idx="54">
                        <c:v>353.20732970003195</c:v>
                      </c:pt>
                      <c:pt idx="55">
                        <c:v>362.91988608143805</c:v>
                      </c:pt>
                      <c:pt idx="56">
                        <c:v>372.78883820599344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B-5FAF-4231-BC54-94CA5565D718}"/>
                  </c:ext>
                </c:extLst>
              </c15:ser>
            </c15:filteredScatterSeries>
          </c:ext>
        </c:extLst>
      </c:scatterChart>
      <c:valAx>
        <c:axId val="-545101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Flight Speed (knots)</a:t>
                </a:r>
              </a:p>
            </c:rich>
          </c:tx>
          <c:layout>
            <c:manualLayout>
              <c:xMode val="edge"/>
              <c:yMode val="edge"/>
              <c:x val="0.44307361109826021"/>
              <c:y val="0.9030031723488144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-545111856"/>
        <c:crosses val="autoZero"/>
        <c:crossBetween val="midCat"/>
      </c:valAx>
      <c:valAx>
        <c:axId val="-54511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Power (HP)</a:t>
                </a:r>
              </a:p>
            </c:rich>
          </c:tx>
          <c:layout>
            <c:manualLayout>
              <c:xMode val="edge"/>
              <c:yMode val="edge"/>
              <c:x val="2.6085789821879805E-2"/>
              <c:y val="0.3543601219834345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-54510152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4704549210509763"/>
          <c:y val="0.33983373092030922"/>
          <c:w val="0.24580146176843573"/>
          <c:h val="0.32033253815938156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Forward</a:t>
            </a:r>
            <a:r>
              <a:rPr lang="en-US" baseline="0"/>
              <a:t> Flight at Sea Level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671091831715036"/>
          <c:y val="7.3527947613735309E-2"/>
          <c:w val="0.70509991333339506"/>
          <c:h val="0.79029646002554421"/>
        </c:manualLayout>
      </c:layout>
      <c:scatterChart>
        <c:scatterStyle val="smoothMarker"/>
        <c:varyColors val="0"/>
        <c:ser>
          <c:idx val="0"/>
          <c:order val="0"/>
          <c:spPr>
            <a:ln>
              <a:solidFill>
                <a:schemeClr val="accent6"/>
              </a:solidFill>
              <a:prstDash val="dash"/>
            </a:ln>
          </c:spPr>
          <c:marker>
            <c:symbol val="none"/>
          </c:marker>
          <c:xVal>
            <c:numRef>
              <c:f>'Forward Flight At Sea Level'!$C$21:$C$73</c:f>
              <c:numCache>
                <c:formatCode>General</c:formatCode>
                <c:ptCount val="53"/>
                <c:pt idx="0">
                  <c:v>56.285980000000002</c:v>
                </c:pt>
                <c:pt idx="1">
                  <c:v>59.248400000000004</c:v>
                </c:pt>
                <c:pt idx="2">
                  <c:v>62.210819999999998</c:v>
                </c:pt>
                <c:pt idx="3">
                  <c:v>65.173240000000007</c:v>
                </c:pt>
                <c:pt idx="4">
                  <c:v>68.135660000000001</c:v>
                </c:pt>
                <c:pt idx="5">
                  <c:v>71.098079999999996</c:v>
                </c:pt>
                <c:pt idx="6">
                  <c:v>74.060500000000005</c:v>
                </c:pt>
                <c:pt idx="7">
                  <c:v>77.022919999999999</c:v>
                </c:pt>
                <c:pt idx="8">
                  <c:v>79.985340000000008</c:v>
                </c:pt>
                <c:pt idx="9">
                  <c:v>82.947760000000002</c:v>
                </c:pt>
                <c:pt idx="10">
                  <c:v>85.910179999999997</c:v>
                </c:pt>
                <c:pt idx="11">
                  <c:v>88.872600000000006</c:v>
                </c:pt>
                <c:pt idx="12">
                  <c:v>91.83502</c:v>
                </c:pt>
                <c:pt idx="13">
                  <c:v>94.797439999999995</c:v>
                </c:pt>
                <c:pt idx="14">
                  <c:v>97.759860000000003</c:v>
                </c:pt>
                <c:pt idx="15">
                  <c:v>100.72228</c:v>
                </c:pt>
                <c:pt idx="16">
                  <c:v>103.68470000000001</c:v>
                </c:pt>
                <c:pt idx="17">
                  <c:v>106.64712</c:v>
                </c:pt>
                <c:pt idx="18">
                  <c:v>109.60954</c:v>
                </c:pt>
                <c:pt idx="19">
                  <c:v>112.57196</c:v>
                </c:pt>
                <c:pt idx="20">
                  <c:v>115.53438</c:v>
                </c:pt>
                <c:pt idx="21">
                  <c:v>118.49680000000001</c:v>
                </c:pt>
                <c:pt idx="22">
                  <c:v>121.45922</c:v>
                </c:pt>
                <c:pt idx="23">
                  <c:v>124.42164</c:v>
                </c:pt>
                <c:pt idx="24">
                  <c:v>127.38406000000001</c:v>
                </c:pt>
                <c:pt idx="25">
                  <c:v>130.34648000000001</c:v>
                </c:pt>
                <c:pt idx="26">
                  <c:v>133.30889999999999</c:v>
                </c:pt>
                <c:pt idx="27">
                  <c:v>136.27132</c:v>
                </c:pt>
                <c:pt idx="28">
                  <c:v>139.23374000000001</c:v>
                </c:pt>
                <c:pt idx="29">
                  <c:v>142.19615999999999</c:v>
                </c:pt>
                <c:pt idx="30">
                  <c:v>145.15858</c:v>
                </c:pt>
                <c:pt idx="31">
                  <c:v>148.12100000000001</c:v>
                </c:pt>
                <c:pt idx="32">
                  <c:v>151.08341999999999</c:v>
                </c:pt>
                <c:pt idx="33">
                  <c:v>154.04584</c:v>
                </c:pt>
                <c:pt idx="34">
                  <c:v>157.00826000000001</c:v>
                </c:pt>
                <c:pt idx="35">
                  <c:v>159.97068000000002</c:v>
                </c:pt>
                <c:pt idx="36">
                  <c:v>162.9331</c:v>
                </c:pt>
                <c:pt idx="37">
                  <c:v>165.89552</c:v>
                </c:pt>
                <c:pt idx="38">
                  <c:v>168.85794000000001</c:v>
                </c:pt>
                <c:pt idx="39">
                  <c:v>171.82035999999999</c:v>
                </c:pt>
                <c:pt idx="40">
                  <c:v>174.78278</c:v>
                </c:pt>
                <c:pt idx="41">
                  <c:v>177.74520000000001</c:v>
                </c:pt>
                <c:pt idx="42">
                  <c:v>180.70761999999999</c:v>
                </c:pt>
                <c:pt idx="43">
                  <c:v>183.67004</c:v>
                </c:pt>
                <c:pt idx="44">
                  <c:v>186.63246000000001</c:v>
                </c:pt>
                <c:pt idx="45">
                  <c:v>189.59487999999999</c:v>
                </c:pt>
                <c:pt idx="46">
                  <c:v>192.5573</c:v>
                </c:pt>
                <c:pt idx="47">
                  <c:v>195.51972000000001</c:v>
                </c:pt>
                <c:pt idx="48">
                  <c:v>198.48214000000002</c:v>
                </c:pt>
                <c:pt idx="49">
                  <c:v>201.44456</c:v>
                </c:pt>
                <c:pt idx="50">
                  <c:v>204.40698</c:v>
                </c:pt>
                <c:pt idx="51">
                  <c:v>207.36940000000001</c:v>
                </c:pt>
                <c:pt idx="52">
                  <c:v>210.33181999999999</c:v>
                </c:pt>
              </c:numCache>
            </c:numRef>
          </c:xVal>
          <c:yVal>
            <c:numRef>
              <c:f>'Forward Flight At Sea Level'!$H$21:$H$73</c:f>
              <c:numCache>
                <c:formatCode>General</c:formatCode>
                <c:ptCount val="53"/>
                <c:pt idx="0">
                  <c:v>37.706238078891552</c:v>
                </c:pt>
                <c:pt idx="1">
                  <c:v>41.779765184367371</c:v>
                </c:pt>
                <c:pt idx="2">
                  <c:v>46.062191115765025</c:v>
                </c:pt>
                <c:pt idx="3">
                  <c:v>50.553515873084521</c:v>
                </c:pt>
                <c:pt idx="4">
                  <c:v>55.253739456325853</c:v>
                </c:pt>
                <c:pt idx="5">
                  <c:v>60.162861865489013</c:v>
                </c:pt>
                <c:pt idx="6">
                  <c:v>65.280883100574016</c:v>
                </c:pt>
                <c:pt idx="7">
                  <c:v>70.607803161580861</c:v>
                </c:pt>
                <c:pt idx="8">
                  <c:v>76.143622048509528</c:v>
                </c:pt>
                <c:pt idx="9">
                  <c:v>81.888339761360044</c:v>
                </c:pt>
                <c:pt idx="10">
                  <c:v>87.841956300132395</c:v>
                </c:pt>
                <c:pt idx="11">
                  <c:v>94.004471664826582</c:v>
                </c:pt>
                <c:pt idx="12">
                  <c:v>100.37588585544262</c:v>
                </c:pt>
                <c:pt idx="13">
                  <c:v>106.95619887198048</c:v>
                </c:pt>
                <c:pt idx="14">
                  <c:v>113.74541071444017</c:v>
                </c:pt>
                <c:pt idx="15">
                  <c:v>120.74352138282171</c:v>
                </c:pt>
                <c:pt idx="16">
                  <c:v>127.95053087712508</c:v>
                </c:pt>
                <c:pt idx="17">
                  <c:v>135.36643919735027</c:v>
                </c:pt>
                <c:pt idx="18">
                  <c:v>142.99124634349732</c:v>
                </c:pt>
                <c:pt idx="19">
                  <c:v>150.82495231556621</c:v>
                </c:pt>
                <c:pt idx="20">
                  <c:v>158.86755711355693</c:v>
                </c:pt>
                <c:pt idx="21">
                  <c:v>167.11906073746948</c:v>
                </c:pt>
                <c:pt idx="22">
                  <c:v>175.5794631873039</c:v>
                </c:pt>
                <c:pt idx="23">
                  <c:v>184.2487644630601</c:v>
                </c:pt>
                <c:pt idx="24">
                  <c:v>193.12696456473819</c:v>
                </c:pt>
                <c:pt idx="25">
                  <c:v>202.21406349233808</c:v>
                </c:pt>
                <c:pt idx="26">
                  <c:v>211.51006124585984</c:v>
                </c:pt>
                <c:pt idx="27">
                  <c:v>221.01495782530341</c:v>
                </c:pt>
                <c:pt idx="28">
                  <c:v>230.72875323066879</c:v>
                </c:pt>
                <c:pt idx="29">
                  <c:v>240.65144746195605</c:v>
                </c:pt>
                <c:pt idx="30">
                  <c:v>250.78304051916513</c:v>
                </c:pt>
                <c:pt idx="31">
                  <c:v>261.12353240229606</c:v>
                </c:pt>
                <c:pt idx="32">
                  <c:v>271.67292311134884</c:v>
                </c:pt>
                <c:pt idx="33">
                  <c:v>282.43121264632344</c:v>
                </c:pt>
                <c:pt idx="34">
                  <c:v>293.39840100721989</c:v>
                </c:pt>
                <c:pt idx="35">
                  <c:v>304.57448819403811</c:v>
                </c:pt>
                <c:pt idx="36">
                  <c:v>315.95947420677828</c:v>
                </c:pt>
                <c:pt idx="37">
                  <c:v>327.55335904544017</c:v>
                </c:pt>
                <c:pt idx="38">
                  <c:v>339.35614271002396</c:v>
                </c:pt>
                <c:pt idx="39">
                  <c:v>351.36782520052958</c:v>
                </c:pt>
                <c:pt idx="40">
                  <c:v>363.58840651695704</c:v>
                </c:pt>
                <c:pt idx="41">
                  <c:v>376.01788665930633</c:v>
                </c:pt>
                <c:pt idx="42">
                  <c:v>388.65626562757751</c:v>
                </c:pt>
                <c:pt idx="43">
                  <c:v>401.50354342177047</c:v>
                </c:pt>
                <c:pt idx="44">
                  <c:v>414.55972004188527</c:v>
                </c:pt>
                <c:pt idx="45">
                  <c:v>427.8247954879219</c:v>
                </c:pt>
                <c:pt idx="46">
                  <c:v>441.29876975988037</c:v>
                </c:pt>
                <c:pt idx="47">
                  <c:v>454.98164285776068</c:v>
                </c:pt>
                <c:pt idx="48">
                  <c:v>468.87341478156281</c:v>
                </c:pt>
                <c:pt idx="49">
                  <c:v>482.97408553128685</c:v>
                </c:pt>
                <c:pt idx="50">
                  <c:v>497.28365510693271</c:v>
                </c:pt>
                <c:pt idx="51">
                  <c:v>511.8021235085003</c:v>
                </c:pt>
                <c:pt idx="52">
                  <c:v>526.52949073598984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548-4B47-9D89-5566AC85FE0B}"/>
            </c:ext>
          </c:extLst>
        </c:ser>
        <c:ser>
          <c:idx val="2"/>
          <c:order val="1"/>
          <c:spPr>
            <a:ln w="19050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'Forward Flight At Sea Level'!$C$21:$C$73</c:f>
              <c:numCache>
                <c:formatCode>General</c:formatCode>
                <c:ptCount val="53"/>
                <c:pt idx="0">
                  <c:v>56.285980000000002</c:v>
                </c:pt>
                <c:pt idx="1">
                  <c:v>59.248400000000004</c:v>
                </c:pt>
                <c:pt idx="2">
                  <c:v>62.210819999999998</c:v>
                </c:pt>
                <c:pt idx="3">
                  <c:v>65.173240000000007</c:v>
                </c:pt>
                <c:pt idx="4">
                  <c:v>68.135660000000001</c:v>
                </c:pt>
                <c:pt idx="5">
                  <c:v>71.098079999999996</c:v>
                </c:pt>
                <c:pt idx="6">
                  <c:v>74.060500000000005</c:v>
                </c:pt>
                <c:pt idx="7">
                  <c:v>77.022919999999999</c:v>
                </c:pt>
                <c:pt idx="8">
                  <c:v>79.985340000000008</c:v>
                </c:pt>
                <c:pt idx="9">
                  <c:v>82.947760000000002</c:v>
                </c:pt>
                <c:pt idx="10">
                  <c:v>85.910179999999997</c:v>
                </c:pt>
                <c:pt idx="11">
                  <c:v>88.872600000000006</c:v>
                </c:pt>
                <c:pt idx="12">
                  <c:v>91.83502</c:v>
                </c:pt>
                <c:pt idx="13">
                  <c:v>94.797439999999995</c:v>
                </c:pt>
                <c:pt idx="14">
                  <c:v>97.759860000000003</c:v>
                </c:pt>
                <c:pt idx="15">
                  <c:v>100.72228</c:v>
                </c:pt>
                <c:pt idx="16">
                  <c:v>103.68470000000001</c:v>
                </c:pt>
                <c:pt idx="17">
                  <c:v>106.64712</c:v>
                </c:pt>
                <c:pt idx="18">
                  <c:v>109.60954</c:v>
                </c:pt>
                <c:pt idx="19">
                  <c:v>112.57196</c:v>
                </c:pt>
                <c:pt idx="20">
                  <c:v>115.53438</c:v>
                </c:pt>
                <c:pt idx="21">
                  <c:v>118.49680000000001</c:v>
                </c:pt>
                <c:pt idx="22">
                  <c:v>121.45922</c:v>
                </c:pt>
                <c:pt idx="23">
                  <c:v>124.42164</c:v>
                </c:pt>
                <c:pt idx="24">
                  <c:v>127.38406000000001</c:v>
                </c:pt>
                <c:pt idx="25">
                  <c:v>130.34648000000001</c:v>
                </c:pt>
                <c:pt idx="26">
                  <c:v>133.30889999999999</c:v>
                </c:pt>
                <c:pt idx="27">
                  <c:v>136.27132</c:v>
                </c:pt>
                <c:pt idx="28">
                  <c:v>139.23374000000001</c:v>
                </c:pt>
                <c:pt idx="29">
                  <c:v>142.19615999999999</c:v>
                </c:pt>
                <c:pt idx="30">
                  <c:v>145.15858</c:v>
                </c:pt>
                <c:pt idx="31">
                  <c:v>148.12100000000001</c:v>
                </c:pt>
                <c:pt idx="32">
                  <c:v>151.08341999999999</c:v>
                </c:pt>
                <c:pt idx="33">
                  <c:v>154.04584</c:v>
                </c:pt>
                <c:pt idx="34">
                  <c:v>157.00826000000001</c:v>
                </c:pt>
                <c:pt idx="35">
                  <c:v>159.97068000000002</c:v>
                </c:pt>
                <c:pt idx="36">
                  <c:v>162.9331</c:v>
                </c:pt>
                <c:pt idx="37">
                  <c:v>165.89552</c:v>
                </c:pt>
                <c:pt idx="38">
                  <c:v>168.85794000000001</c:v>
                </c:pt>
                <c:pt idx="39">
                  <c:v>171.82035999999999</c:v>
                </c:pt>
                <c:pt idx="40">
                  <c:v>174.78278</c:v>
                </c:pt>
                <c:pt idx="41">
                  <c:v>177.74520000000001</c:v>
                </c:pt>
                <c:pt idx="42">
                  <c:v>180.70761999999999</c:v>
                </c:pt>
                <c:pt idx="43">
                  <c:v>183.67004</c:v>
                </c:pt>
                <c:pt idx="44">
                  <c:v>186.63246000000001</c:v>
                </c:pt>
                <c:pt idx="45">
                  <c:v>189.59487999999999</c:v>
                </c:pt>
                <c:pt idx="46">
                  <c:v>192.5573</c:v>
                </c:pt>
                <c:pt idx="47">
                  <c:v>195.51972000000001</c:v>
                </c:pt>
                <c:pt idx="48">
                  <c:v>198.48214000000002</c:v>
                </c:pt>
                <c:pt idx="49">
                  <c:v>201.44456</c:v>
                </c:pt>
                <c:pt idx="50">
                  <c:v>204.40698</c:v>
                </c:pt>
                <c:pt idx="51">
                  <c:v>207.36940000000001</c:v>
                </c:pt>
                <c:pt idx="52">
                  <c:v>210.33181999999999</c:v>
                </c:pt>
              </c:numCache>
            </c:numRef>
          </c:xVal>
          <c:yVal>
            <c:numRef>
              <c:f>'Forward Flight At Sea Level'!$I$21:$I$73</c:f>
              <c:numCache>
                <c:formatCode>General</c:formatCode>
                <c:ptCount val="53"/>
                <c:pt idx="0">
                  <c:v>94.685245656933688</c:v>
                </c:pt>
                <c:pt idx="1">
                  <c:v>85.453434205382649</c:v>
                </c:pt>
                <c:pt idx="2">
                  <c:v>77.508783859757514</c:v>
                </c:pt>
                <c:pt idx="3">
                  <c:v>70.622672897010446</c:v>
                </c:pt>
                <c:pt idx="4">
                  <c:v>64.615073123162674</c:v>
                </c:pt>
                <c:pt idx="5">
                  <c:v>59.342662642626848</c:v>
                </c:pt>
                <c:pt idx="6">
                  <c:v>54.690197891444889</c:v>
                </c:pt>
                <c:pt idx="7">
                  <c:v>50.564162251705724</c:v>
                </c:pt>
                <c:pt idx="8">
                  <c:v>46.888029742322445</c:v>
                </c:pt>
                <c:pt idx="9">
                  <c:v>43.598690921113594</c:v>
                </c:pt>
                <c:pt idx="10">
                  <c:v>40.643726138113038</c:v>
                </c:pt>
                <c:pt idx="11">
                  <c:v>37.979304091281179</c:v>
                </c:pt>
                <c:pt idx="12">
                  <c:v>35.568547015768004</c:v>
                </c:pt>
                <c:pt idx="13">
                  <c:v>33.3802477364776</c:v>
                </c:pt>
                <c:pt idx="14">
                  <c:v>31.387854620893538</c:v>
                </c:pt>
                <c:pt idx="15">
                  <c:v>29.568662354803688</c:v>
                </c:pt>
                <c:pt idx="16">
                  <c:v>27.90316218951271</c:v>
                </c:pt>
                <c:pt idx="17">
                  <c:v>26.374516730056374</c:v>
                </c:pt>
                <c:pt idx="18">
                  <c:v>24.968132711580026</c:v>
                </c:pt>
                <c:pt idx="19">
                  <c:v>23.671311414233422</c:v>
                </c:pt>
                <c:pt idx="20">
                  <c:v>22.47296100075809</c:v>
                </c:pt>
                <c:pt idx="21">
                  <c:v>21.363358551345662</c:v>
                </c:pt>
                <c:pt idx="22">
                  <c:v>20.333952220198132</c:v>
                </c:pt>
                <c:pt idx="23">
                  <c:v>19.377195964939379</c:v>
                </c:pt>
                <c:pt idx="24">
                  <c:v>18.486410861088732</c:v>
                </c:pt>
                <c:pt idx="25">
                  <c:v>17.655668224252612</c:v>
                </c:pt>
                <c:pt idx="26">
                  <c:v>16.879690707236076</c:v>
                </c:pt>
                <c:pt idx="27">
                  <c:v>16.153768280790668</c:v>
                </c:pt>
                <c:pt idx="28">
                  <c:v>15.473686592192422</c:v>
                </c:pt>
                <c:pt idx="29">
                  <c:v>14.835665660656712</c:v>
                </c:pt>
                <c:pt idx="30">
                  <c:v>14.236307239547296</c:v>
                </c:pt>
                <c:pt idx="31">
                  <c:v>13.672549472861222</c:v>
                </c:pt>
                <c:pt idx="32">
                  <c:v>13.141627713246081</c:v>
                </c:pt>
                <c:pt idx="33">
                  <c:v>12.641040562926431</c:v>
                </c:pt>
                <c:pt idx="34">
                  <c:v>12.168520356765066</c:v>
                </c:pt>
                <c:pt idx="35">
                  <c:v>11.722007435580611</c:v>
                </c:pt>
                <c:pt idx="36">
                  <c:v>11.299627663521671</c:v>
                </c:pt>
                <c:pt idx="37">
                  <c:v>10.899672730278398</c:v>
                </c:pt>
                <c:pt idx="38">
                  <c:v>10.520582850770412</c:v>
                </c:pt>
                <c:pt idx="39">
                  <c:v>10.16093153452826</c:v>
                </c:pt>
                <c:pt idx="40">
                  <c:v>9.819412146553594</c:v>
                </c:pt>
                <c:pt idx="41">
                  <c:v>9.4948260228202948</c:v>
                </c:pt>
                <c:pt idx="42">
                  <c:v>9.1860719382297926</c:v>
                </c:pt>
                <c:pt idx="43">
                  <c:v>8.8921367539420011</c:v>
                </c:pt>
                <c:pt idx="44">
                  <c:v>8.6120870955286133</c:v>
                </c:pt>
                <c:pt idx="45">
                  <c:v>8.3450619341193999</c:v>
                </c:pt>
                <c:pt idx="46">
                  <c:v>8.0902659602729141</c:v>
                </c:pt>
                <c:pt idx="47">
                  <c:v>7.8469636552233846</c:v>
                </c:pt>
                <c:pt idx="48">
                  <c:v>7.6144739768663543</c:v>
                </c:pt>
                <c:pt idx="49">
                  <c:v>7.3921655887009221</c:v>
                </c:pt>
                <c:pt idx="50">
                  <c:v>7.1794525692402971</c:v>
                </c:pt>
                <c:pt idx="51">
                  <c:v>6.9757905473781774</c:v>
                </c:pt>
                <c:pt idx="52">
                  <c:v>6.78067321605893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548-4B47-9D89-5566AC85FE0B}"/>
            </c:ext>
          </c:extLst>
        </c:ser>
        <c:ser>
          <c:idx val="4"/>
          <c:order val="2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'Forward Flight At Sea Level'!$C$17:$C$73</c:f>
              <c:numCache>
                <c:formatCode>General</c:formatCode>
                <c:ptCount val="57"/>
                <c:pt idx="0">
                  <c:v>44.436300000000003</c:v>
                </c:pt>
                <c:pt idx="1">
                  <c:v>47.398719999999997</c:v>
                </c:pt>
                <c:pt idx="2">
                  <c:v>50.361139999999999</c:v>
                </c:pt>
                <c:pt idx="3">
                  <c:v>53.323560000000001</c:v>
                </c:pt>
                <c:pt idx="4">
                  <c:v>56.285980000000002</c:v>
                </c:pt>
                <c:pt idx="5">
                  <c:v>59.248400000000004</c:v>
                </c:pt>
                <c:pt idx="6">
                  <c:v>62.210819999999998</c:v>
                </c:pt>
                <c:pt idx="7">
                  <c:v>65.173240000000007</c:v>
                </c:pt>
                <c:pt idx="8">
                  <c:v>68.135660000000001</c:v>
                </c:pt>
                <c:pt idx="9">
                  <c:v>71.098079999999996</c:v>
                </c:pt>
                <c:pt idx="10">
                  <c:v>74.060500000000005</c:v>
                </c:pt>
                <c:pt idx="11">
                  <c:v>77.022919999999999</c:v>
                </c:pt>
                <c:pt idx="12">
                  <c:v>79.985340000000008</c:v>
                </c:pt>
                <c:pt idx="13">
                  <c:v>82.947760000000002</c:v>
                </c:pt>
                <c:pt idx="14">
                  <c:v>85.910179999999997</c:v>
                </c:pt>
                <c:pt idx="15">
                  <c:v>88.872600000000006</c:v>
                </c:pt>
                <c:pt idx="16">
                  <c:v>91.83502</c:v>
                </c:pt>
                <c:pt idx="17">
                  <c:v>94.797439999999995</c:v>
                </c:pt>
                <c:pt idx="18">
                  <c:v>97.759860000000003</c:v>
                </c:pt>
                <c:pt idx="19">
                  <c:v>100.72228</c:v>
                </c:pt>
                <c:pt idx="20">
                  <c:v>103.68470000000001</c:v>
                </c:pt>
                <c:pt idx="21">
                  <c:v>106.64712</c:v>
                </c:pt>
                <c:pt idx="22">
                  <c:v>109.60954</c:v>
                </c:pt>
                <c:pt idx="23">
                  <c:v>112.57196</c:v>
                </c:pt>
                <c:pt idx="24">
                  <c:v>115.53438</c:v>
                </c:pt>
                <c:pt idx="25">
                  <c:v>118.49680000000001</c:v>
                </c:pt>
                <c:pt idx="26">
                  <c:v>121.45922</c:v>
                </c:pt>
                <c:pt idx="27">
                  <c:v>124.42164</c:v>
                </c:pt>
                <c:pt idx="28">
                  <c:v>127.38406000000001</c:v>
                </c:pt>
                <c:pt idx="29">
                  <c:v>130.34648000000001</c:v>
                </c:pt>
                <c:pt idx="30">
                  <c:v>133.30889999999999</c:v>
                </c:pt>
                <c:pt idx="31">
                  <c:v>136.27132</c:v>
                </c:pt>
                <c:pt idx="32">
                  <c:v>139.23374000000001</c:v>
                </c:pt>
                <c:pt idx="33">
                  <c:v>142.19615999999999</c:v>
                </c:pt>
                <c:pt idx="34">
                  <c:v>145.15858</c:v>
                </c:pt>
                <c:pt idx="35">
                  <c:v>148.12100000000001</c:v>
                </c:pt>
                <c:pt idx="36">
                  <c:v>151.08341999999999</c:v>
                </c:pt>
                <c:pt idx="37">
                  <c:v>154.04584</c:v>
                </c:pt>
                <c:pt idx="38">
                  <c:v>157.00826000000001</c:v>
                </c:pt>
                <c:pt idx="39">
                  <c:v>159.97068000000002</c:v>
                </c:pt>
                <c:pt idx="40">
                  <c:v>162.9331</c:v>
                </c:pt>
                <c:pt idx="41">
                  <c:v>165.89552</c:v>
                </c:pt>
                <c:pt idx="42">
                  <c:v>168.85794000000001</c:v>
                </c:pt>
                <c:pt idx="43">
                  <c:v>171.82035999999999</c:v>
                </c:pt>
                <c:pt idx="44">
                  <c:v>174.78278</c:v>
                </c:pt>
                <c:pt idx="45">
                  <c:v>177.74520000000001</c:v>
                </c:pt>
                <c:pt idx="46">
                  <c:v>180.70761999999999</c:v>
                </c:pt>
                <c:pt idx="47">
                  <c:v>183.67004</c:v>
                </c:pt>
                <c:pt idx="48">
                  <c:v>186.63246000000001</c:v>
                </c:pt>
                <c:pt idx="49">
                  <c:v>189.59487999999999</c:v>
                </c:pt>
                <c:pt idx="50">
                  <c:v>192.5573</c:v>
                </c:pt>
                <c:pt idx="51">
                  <c:v>195.51972000000001</c:v>
                </c:pt>
                <c:pt idx="52">
                  <c:v>198.48214000000002</c:v>
                </c:pt>
                <c:pt idx="53">
                  <c:v>201.44456</c:v>
                </c:pt>
                <c:pt idx="54">
                  <c:v>204.40698</c:v>
                </c:pt>
                <c:pt idx="55">
                  <c:v>207.36940000000001</c:v>
                </c:pt>
                <c:pt idx="56">
                  <c:v>210.33181999999999</c:v>
                </c:pt>
              </c:numCache>
            </c:numRef>
          </c:xVal>
          <c:yVal>
            <c:numRef>
              <c:f>'Forward Flight At Sea Level'!$K$17:$K$73</c:f>
              <c:numCache>
                <c:formatCode>General</c:formatCode>
                <c:ptCount val="57"/>
                <c:pt idx="0">
                  <c:v>397.84233756580733</c:v>
                </c:pt>
                <c:pt idx="1">
                  <c:v>397.84233756580733</c:v>
                </c:pt>
                <c:pt idx="2">
                  <c:v>397.84233756580733</c:v>
                </c:pt>
                <c:pt idx="3">
                  <c:v>397.84233756580733</c:v>
                </c:pt>
                <c:pt idx="4">
                  <c:v>397.84233756580733</c:v>
                </c:pt>
                <c:pt idx="5">
                  <c:v>397.84233756580733</c:v>
                </c:pt>
                <c:pt idx="6">
                  <c:v>397.84233756580733</c:v>
                </c:pt>
                <c:pt idx="7">
                  <c:v>397.84233756580733</c:v>
                </c:pt>
                <c:pt idx="8">
                  <c:v>397.84233756580733</c:v>
                </c:pt>
                <c:pt idx="9">
                  <c:v>397.84233756580733</c:v>
                </c:pt>
                <c:pt idx="10">
                  <c:v>397.84233756580733</c:v>
                </c:pt>
                <c:pt idx="11">
                  <c:v>397.84233756580733</c:v>
                </c:pt>
                <c:pt idx="12">
                  <c:v>397.84233756580733</c:v>
                </c:pt>
                <c:pt idx="13">
                  <c:v>397.84233756580733</c:v>
                </c:pt>
                <c:pt idx="14">
                  <c:v>397.84233756580733</c:v>
                </c:pt>
                <c:pt idx="15">
                  <c:v>397.84233756580733</c:v>
                </c:pt>
                <c:pt idx="16">
                  <c:v>397.84233756580733</c:v>
                </c:pt>
                <c:pt idx="17">
                  <c:v>397.84233756580733</c:v>
                </c:pt>
                <c:pt idx="18">
                  <c:v>397.84233756580733</c:v>
                </c:pt>
                <c:pt idx="19">
                  <c:v>397.84233756580733</c:v>
                </c:pt>
                <c:pt idx="20">
                  <c:v>397.84233756580733</c:v>
                </c:pt>
                <c:pt idx="21">
                  <c:v>397.84233756580733</c:v>
                </c:pt>
                <c:pt idx="22">
                  <c:v>397.84233756580733</c:v>
                </c:pt>
                <c:pt idx="23">
                  <c:v>397.84233756580733</c:v>
                </c:pt>
                <c:pt idx="24">
                  <c:v>397.84233756580733</c:v>
                </c:pt>
                <c:pt idx="25">
                  <c:v>397.84233756580733</c:v>
                </c:pt>
                <c:pt idx="26">
                  <c:v>397.84233756580733</c:v>
                </c:pt>
                <c:pt idx="27">
                  <c:v>397.84233756580733</c:v>
                </c:pt>
                <c:pt idx="28">
                  <c:v>397.84233756580733</c:v>
                </c:pt>
                <c:pt idx="29">
                  <c:v>397.84233756580733</c:v>
                </c:pt>
                <c:pt idx="30">
                  <c:v>397.84233756580733</c:v>
                </c:pt>
                <c:pt idx="31">
                  <c:v>397.84233756580733</c:v>
                </c:pt>
                <c:pt idx="32">
                  <c:v>397.84233756580733</c:v>
                </c:pt>
                <c:pt idx="33">
                  <c:v>397.84233756580733</c:v>
                </c:pt>
                <c:pt idx="34">
                  <c:v>397.84233756580733</c:v>
                </c:pt>
                <c:pt idx="35">
                  <c:v>397.84233756580733</c:v>
                </c:pt>
                <c:pt idx="36">
                  <c:v>397.84233756580733</c:v>
                </c:pt>
                <c:pt idx="37">
                  <c:v>397.84233756580733</c:v>
                </c:pt>
                <c:pt idx="38">
                  <c:v>397.84233756580733</c:v>
                </c:pt>
                <c:pt idx="39">
                  <c:v>397.84233756580733</c:v>
                </c:pt>
                <c:pt idx="40">
                  <c:v>397.84233756580733</c:v>
                </c:pt>
                <c:pt idx="41">
                  <c:v>397.84233756580733</c:v>
                </c:pt>
                <c:pt idx="42">
                  <c:v>397.84233756580733</c:v>
                </c:pt>
                <c:pt idx="43">
                  <c:v>397.84233756580733</c:v>
                </c:pt>
                <c:pt idx="44">
                  <c:v>397.84233756580733</c:v>
                </c:pt>
                <c:pt idx="45">
                  <c:v>397.84233756580733</c:v>
                </c:pt>
                <c:pt idx="46">
                  <c:v>397.84233756580733</c:v>
                </c:pt>
                <c:pt idx="47">
                  <c:v>397.84233756580733</c:v>
                </c:pt>
                <c:pt idx="48">
                  <c:v>397.84233756580733</c:v>
                </c:pt>
                <c:pt idx="49">
                  <c:v>397.84233756580733</c:v>
                </c:pt>
                <c:pt idx="50">
                  <c:v>397.84233756580733</c:v>
                </c:pt>
                <c:pt idx="51">
                  <c:v>397.84233756580733</c:v>
                </c:pt>
                <c:pt idx="52">
                  <c:v>397.84233756580733</c:v>
                </c:pt>
                <c:pt idx="53">
                  <c:v>397.84233756580733</c:v>
                </c:pt>
                <c:pt idx="54">
                  <c:v>397.84233756580733</c:v>
                </c:pt>
                <c:pt idx="55">
                  <c:v>397.84233756580733</c:v>
                </c:pt>
                <c:pt idx="56">
                  <c:v>397.84233756580733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548-4B47-9D89-5566AC85FE0B}"/>
            </c:ext>
          </c:extLst>
        </c:ser>
        <c:ser>
          <c:idx val="7"/>
          <c:order val="3"/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'Forward Flight At Sea Level'!$C$17:$C$73</c:f>
              <c:numCache>
                <c:formatCode>General</c:formatCode>
                <c:ptCount val="57"/>
                <c:pt idx="0">
                  <c:v>44.436300000000003</c:v>
                </c:pt>
                <c:pt idx="1">
                  <c:v>47.398719999999997</c:v>
                </c:pt>
                <c:pt idx="2">
                  <c:v>50.361139999999999</c:v>
                </c:pt>
                <c:pt idx="3">
                  <c:v>53.323560000000001</c:v>
                </c:pt>
                <c:pt idx="4">
                  <c:v>56.285980000000002</c:v>
                </c:pt>
                <c:pt idx="5">
                  <c:v>59.248400000000004</c:v>
                </c:pt>
                <c:pt idx="6">
                  <c:v>62.210819999999998</c:v>
                </c:pt>
                <c:pt idx="7">
                  <c:v>65.173240000000007</c:v>
                </c:pt>
                <c:pt idx="8">
                  <c:v>68.135660000000001</c:v>
                </c:pt>
                <c:pt idx="9">
                  <c:v>71.098079999999996</c:v>
                </c:pt>
                <c:pt idx="10">
                  <c:v>74.060500000000005</c:v>
                </c:pt>
                <c:pt idx="11">
                  <c:v>77.022919999999999</c:v>
                </c:pt>
                <c:pt idx="12">
                  <c:v>79.985340000000008</c:v>
                </c:pt>
                <c:pt idx="13">
                  <c:v>82.947760000000002</c:v>
                </c:pt>
                <c:pt idx="14">
                  <c:v>85.910179999999997</c:v>
                </c:pt>
                <c:pt idx="15">
                  <c:v>88.872600000000006</c:v>
                </c:pt>
                <c:pt idx="16">
                  <c:v>91.83502</c:v>
                </c:pt>
                <c:pt idx="17">
                  <c:v>94.797439999999995</c:v>
                </c:pt>
                <c:pt idx="18">
                  <c:v>97.759860000000003</c:v>
                </c:pt>
                <c:pt idx="19">
                  <c:v>100.72228</c:v>
                </c:pt>
                <c:pt idx="20">
                  <c:v>103.68470000000001</c:v>
                </c:pt>
                <c:pt idx="21">
                  <c:v>106.64712</c:v>
                </c:pt>
                <c:pt idx="22">
                  <c:v>109.60954</c:v>
                </c:pt>
                <c:pt idx="23">
                  <c:v>112.57196</c:v>
                </c:pt>
                <c:pt idx="24">
                  <c:v>115.53438</c:v>
                </c:pt>
                <c:pt idx="25">
                  <c:v>118.49680000000001</c:v>
                </c:pt>
                <c:pt idx="26">
                  <c:v>121.45922</c:v>
                </c:pt>
                <c:pt idx="27">
                  <c:v>124.42164</c:v>
                </c:pt>
                <c:pt idx="28">
                  <c:v>127.38406000000001</c:v>
                </c:pt>
                <c:pt idx="29">
                  <c:v>130.34648000000001</c:v>
                </c:pt>
                <c:pt idx="30">
                  <c:v>133.30889999999999</c:v>
                </c:pt>
                <c:pt idx="31">
                  <c:v>136.27132</c:v>
                </c:pt>
                <c:pt idx="32">
                  <c:v>139.23374000000001</c:v>
                </c:pt>
                <c:pt idx="33">
                  <c:v>142.19615999999999</c:v>
                </c:pt>
                <c:pt idx="34">
                  <c:v>145.15858</c:v>
                </c:pt>
                <c:pt idx="35">
                  <c:v>148.12100000000001</c:v>
                </c:pt>
                <c:pt idx="36">
                  <c:v>151.08341999999999</c:v>
                </c:pt>
                <c:pt idx="37">
                  <c:v>154.04584</c:v>
                </c:pt>
                <c:pt idx="38">
                  <c:v>157.00826000000001</c:v>
                </c:pt>
                <c:pt idx="39">
                  <c:v>159.97068000000002</c:v>
                </c:pt>
                <c:pt idx="40">
                  <c:v>162.9331</c:v>
                </c:pt>
                <c:pt idx="41">
                  <c:v>165.89552</c:v>
                </c:pt>
                <c:pt idx="42">
                  <c:v>168.85794000000001</c:v>
                </c:pt>
                <c:pt idx="43">
                  <c:v>171.82035999999999</c:v>
                </c:pt>
                <c:pt idx="44">
                  <c:v>174.78278</c:v>
                </c:pt>
                <c:pt idx="45">
                  <c:v>177.74520000000001</c:v>
                </c:pt>
                <c:pt idx="46">
                  <c:v>180.70761999999999</c:v>
                </c:pt>
                <c:pt idx="47">
                  <c:v>183.67004</c:v>
                </c:pt>
                <c:pt idx="48">
                  <c:v>186.63246000000001</c:v>
                </c:pt>
                <c:pt idx="49">
                  <c:v>189.59487999999999</c:v>
                </c:pt>
                <c:pt idx="50">
                  <c:v>192.5573</c:v>
                </c:pt>
                <c:pt idx="51">
                  <c:v>195.51972000000001</c:v>
                </c:pt>
                <c:pt idx="52">
                  <c:v>198.48214000000002</c:v>
                </c:pt>
                <c:pt idx="53">
                  <c:v>201.44456</c:v>
                </c:pt>
                <c:pt idx="54">
                  <c:v>204.40698</c:v>
                </c:pt>
                <c:pt idx="55">
                  <c:v>207.36940000000001</c:v>
                </c:pt>
                <c:pt idx="56">
                  <c:v>210.33181999999999</c:v>
                </c:pt>
              </c:numCache>
            </c:numRef>
          </c:xVal>
          <c:yVal>
            <c:numRef>
              <c:f>'Forward Flight At Sea Level'!$J$17:$J$73</c:f>
              <c:numCache>
                <c:formatCode>General</c:formatCode>
                <c:ptCount val="57"/>
                <c:pt idx="0">
                  <c:v>175.41833428133137</c:v>
                </c:pt>
                <c:pt idx="1">
                  <c:v>160.26004066390553</c:v>
                </c:pt>
                <c:pt idx="2">
                  <c:v>148.46052976492018</c:v>
                </c:pt>
                <c:pt idx="3">
                  <c:v>139.33967671956307</c:v>
                </c:pt>
                <c:pt idx="4">
                  <c:v>132.39148373582523</c:v>
                </c:pt>
                <c:pt idx="5">
                  <c:v>127.23319938975001</c:v>
                </c:pt>
                <c:pt idx="6">
                  <c:v>123.57097497552255</c:v>
                </c:pt>
                <c:pt idx="7">
                  <c:v>121.17618877009497</c:v>
                </c:pt>
                <c:pt idx="8">
                  <c:v>119.86881257948852</c:v>
                </c:pt>
                <c:pt idx="9">
                  <c:v>119.50552450811585</c:v>
                </c:pt>
                <c:pt idx="10">
                  <c:v>119.9710809920189</c:v>
                </c:pt>
                <c:pt idx="11">
                  <c:v>121.17196541328659</c:v>
                </c:pt>
                <c:pt idx="12">
                  <c:v>123.03165179083197</c:v>
                </c:pt>
                <c:pt idx="13">
                  <c:v>125.48703068247363</c:v>
                </c:pt>
                <c:pt idx="14">
                  <c:v>128.48568243824542</c:v>
                </c:pt>
                <c:pt idx="15">
                  <c:v>131.98377575610778</c:v>
                </c:pt>
                <c:pt idx="16">
                  <c:v>135.94443287121061</c:v>
                </c:pt>
                <c:pt idx="17">
                  <c:v>140.33644660845806</c:v>
                </c:pt>
                <c:pt idx="18">
                  <c:v>145.1332653353337</c:v>
                </c:pt>
                <c:pt idx="19">
                  <c:v>150.31218373762539</c:v>
                </c:pt>
                <c:pt idx="20">
                  <c:v>155.85369306663779</c:v>
                </c:pt>
                <c:pt idx="21">
                  <c:v>161.74095592740665</c:v>
                </c:pt>
                <c:pt idx="22">
                  <c:v>167.95937905507736</c:v>
                </c:pt>
                <c:pt idx="23">
                  <c:v>174.49626372979964</c:v>
                </c:pt>
                <c:pt idx="24">
                  <c:v>181.34051811431502</c:v>
                </c:pt>
                <c:pt idx="25">
                  <c:v>188.48241928881515</c:v>
                </c:pt>
                <c:pt idx="26">
                  <c:v>195.91341540750204</c:v>
                </c:pt>
                <c:pt idx="27">
                  <c:v>203.62596042799947</c:v>
                </c:pt>
                <c:pt idx="28">
                  <c:v>211.61337542582692</c:v>
                </c:pt>
                <c:pt idx="29">
                  <c:v>219.86973171659071</c:v>
                </c:pt>
                <c:pt idx="30">
                  <c:v>228.38975195309592</c:v>
                </c:pt>
                <c:pt idx="31">
                  <c:v>237.16872610609408</c:v>
                </c:pt>
                <c:pt idx="32">
                  <c:v>246.20243982286121</c:v>
                </c:pt>
                <c:pt idx="33">
                  <c:v>255.48711312261275</c:v>
                </c:pt>
                <c:pt idx="34">
                  <c:v>265.0193477587124</c:v>
                </c:pt>
                <c:pt idx="35">
                  <c:v>274.79608187515731</c:v>
                </c:pt>
                <c:pt idx="36">
                  <c:v>284.8145508245949</c:v>
                </c:pt>
                <c:pt idx="37">
                  <c:v>295.07225320924988</c:v>
                </c:pt>
                <c:pt idx="38">
                  <c:v>305.56692136398493</c:v>
                </c:pt>
                <c:pt idx="39">
                  <c:v>316.29649562961873</c:v>
                </c:pt>
                <c:pt idx="40">
                  <c:v>327.25910187029996</c:v>
                </c:pt>
                <c:pt idx="41">
                  <c:v>338.45303177571856</c:v>
                </c:pt>
                <c:pt idx="42">
                  <c:v>349.8767255607944</c:v>
                </c:pt>
                <c:pt idx="43">
                  <c:v>361.52875673505787</c:v>
                </c:pt>
                <c:pt idx="44">
                  <c:v>373.40781866351062</c:v>
                </c:pt>
                <c:pt idx="45">
                  <c:v>385.51271268212662</c:v>
                </c:pt>
                <c:pt idx="46">
                  <c:v>397.84233756580733</c:v>
                </c:pt>
                <c:pt idx="47">
                  <c:v>410.39568017571247</c:v>
                </c:pt>
                <c:pt idx="48">
                  <c:v>423.17180713741391</c:v>
                </c:pt>
                <c:pt idx="49">
                  <c:v>436.16985742204133</c:v>
                </c:pt>
                <c:pt idx="50">
                  <c:v>449.38903572015329</c:v>
                </c:pt>
                <c:pt idx="51">
                  <c:v>462.82860651298404</c:v>
                </c:pt>
                <c:pt idx="52">
                  <c:v>476.48788875842916</c:v>
                </c:pt>
                <c:pt idx="53">
                  <c:v>490.36625111998779</c:v>
                </c:pt>
                <c:pt idx="54">
                  <c:v>504.46310767617302</c:v>
                </c:pt>
                <c:pt idx="55">
                  <c:v>518.77791405587845</c:v>
                </c:pt>
                <c:pt idx="56">
                  <c:v>533.31016395204881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548-4B47-9D89-5566AC85F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749576"/>
        <c:axId val="34746832"/>
      </c:scatterChart>
      <c:valAx>
        <c:axId val="34749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Velocity (ft/s)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46832"/>
        <c:crosses val="autoZero"/>
        <c:crossBetween val="midCat"/>
      </c:valAx>
      <c:valAx>
        <c:axId val="3474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Power</a:t>
                </a:r>
                <a:r>
                  <a:rPr lang="en-US" sz="1600" b="1" baseline="0"/>
                  <a:t> (HP)</a:t>
                </a:r>
                <a:endParaRPr lang="en-US" sz="1600" b="1"/>
              </a:p>
            </c:rich>
          </c:tx>
          <c:layout>
            <c:manualLayout>
              <c:xMode val="edge"/>
              <c:yMode val="edge"/>
              <c:x val="6.3919396973145692E-2"/>
              <c:y val="0.3543601811046828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495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6292303590806518"/>
          <c:y val="0.33983373092030922"/>
          <c:w val="0.12992388826933113"/>
          <c:h val="0.320332538159381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Power Available at Sea Level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613228051549736"/>
          <c:y val="3.2546832469551465E-2"/>
          <c:w val="0.75436145289934142"/>
          <c:h val="0.85755414802675289"/>
        </c:manualLayout>
      </c:layout>
      <c:scatterChart>
        <c:scatterStyle val="smoothMarker"/>
        <c:varyColors val="0"/>
        <c:ser>
          <c:idx val="5"/>
          <c:order val="0"/>
          <c:tx>
            <c:v>Forward Flight Power Available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'Forward Flight At Sea Level'!$C$13:$C$73</c:f>
              <c:numCache>
                <c:formatCode>General</c:formatCode>
                <c:ptCount val="61"/>
                <c:pt idx="0">
                  <c:v>32.586620000000003</c:v>
                </c:pt>
                <c:pt idx="1">
                  <c:v>35.549039999999998</c:v>
                </c:pt>
                <c:pt idx="2">
                  <c:v>38.51146</c:v>
                </c:pt>
                <c:pt idx="3">
                  <c:v>41.473880000000001</c:v>
                </c:pt>
                <c:pt idx="4">
                  <c:v>44.436300000000003</c:v>
                </c:pt>
                <c:pt idx="5">
                  <c:v>47.398719999999997</c:v>
                </c:pt>
                <c:pt idx="6">
                  <c:v>50.361139999999999</c:v>
                </c:pt>
                <c:pt idx="7">
                  <c:v>53.323560000000001</c:v>
                </c:pt>
                <c:pt idx="8">
                  <c:v>56.285980000000002</c:v>
                </c:pt>
                <c:pt idx="9">
                  <c:v>59.248400000000004</c:v>
                </c:pt>
                <c:pt idx="10">
                  <c:v>62.210819999999998</c:v>
                </c:pt>
                <c:pt idx="11">
                  <c:v>65.173240000000007</c:v>
                </c:pt>
                <c:pt idx="12">
                  <c:v>68.135660000000001</c:v>
                </c:pt>
                <c:pt idx="13">
                  <c:v>71.098079999999996</c:v>
                </c:pt>
                <c:pt idx="14">
                  <c:v>74.060500000000005</c:v>
                </c:pt>
                <c:pt idx="15">
                  <c:v>77.022919999999999</c:v>
                </c:pt>
                <c:pt idx="16">
                  <c:v>79.985340000000008</c:v>
                </c:pt>
                <c:pt idx="17">
                  <c:v>82.947760000000002</c:v>
                </c:pt>
                <c:pt idx="18">
                  <c:v>85.910179999999997</c:v>
                </c:pt>
                <c:pt idx="19">
                  <c:v>88.872600000000006</c:v>
                </c:pt>
                <c:pt idx="20">
                  <c:v>91.83502</c:v>
                </c:pt>
                <c:pt idx="21">
                  <c:v>94.797439999999995</c:v>
                </c:pt>
                <c:pt idx="22">
                  <c:v>97.759860000000003</c:v>
                </c:pt>
                <c:pt idx="23">
                  <c:v>100.72228</c:v>
                </c:pt>
                <c:pt idx="24">
                  <c:v>103.68470000000001</c:v>
                </c:pt>
                <c:pt idx="25">
                  <c:v>106.64712</c:v>
                </c:pt>
                <c:pt idx="26">
                  <c:v>109.60954</c:v>
                </c:pt>
                <c:pt idx="27">
                  <c:v>112.57196</c:v>
                </c:pt>
                <c:pt idx="28">
                  <c:v>115.53438</c:v>
                </c:pt>
                <c:pt idx="29">
                  <c:v>118.49680000000001</c:v>
                </c:pt>
                <c:pt idx="30">
                  <c:v>121.45922</c:v>
                </c:pt>
                <c:pt idx="31">
                  <c:v>124.42164</c:v>
                </c:pt>
                <c:pt idx="32">
                  <c:v>127.38406000000001</c:v>
                </c:pt>
                <c:pt idx="33">
                  <c:v>130.34648000000001</c:v>
                </c:pt>
                <c:pt idx="34">
                  <c:v>133.30889999999999</c:v>
                </c:pt>
                <c:pt idx="35">
                  <c:v>136.27132</c:v>
                </c:pt>
                <c:pt idx="36">
                  <c:v>139.23374000000001</c:v>
                </c:pt>
                <c:pt idx="37">
                  <c:v>142.19615999999999</c:v>
                </c:pt>
                <c:pt idx="38">
                  <c:v>145.15858</c:v>
                </c:pt>
                <c:pt idx="39">
                  <c:v>148.12100000000001</c:v>
                </c:pt>
                <c:pt idx="40">
                  <c:v>151.08341999999999</c:v>
                </c:pt>
                <c:pt idx="41">
                  <c:v>154.04584</c:v>
                </c:pt>
                <c:pt idx="42">
                  <c:v>157.00826000000001</c:v>
                </c:pt>
                <c:pt idx="43">
                  <c:v>159.97068000000002</c:v>
                </c:pt>
                <c:pt idx="44">
                  <c:v>162.9331</c:v>
                </c:pt>
                <c:pt idx="45">
                  <c:v>165.89552</c:v>
                </c:pt>
                <c:pt idx="46">
                  <c:v>168.85794000000001</c:v>
                </c:pt>
                <c:pt idx="47">
                  <c:v>171.82035999999999</c:v>
                </c:pt>
                <c:pt idx="48">
                  <c:v>174.78278</c:v>
                </c:pt>
                <c:pt idx="49">
                  <c:v>177.74520000000001</c:v>
                </c:pt>
                <c:pt idx="50">
                  <c:v>180.70761999999999</c:v>
                </c:pt>
                <c:pt idx="51">
                  <c:v>183.67004</c:v>
                </c:pt>
                <c:pt idx="52">
                  <c:v>186.63246000000001</c:v>
                </c:pt>
                <c:pt idx="53">
                  <c:v>189.59487999999999</c:v>
                </c:pt>
                <c:pt idx="54">
                  <c:v>192.5573</c:v>
                </c:pt>
                <c:pt idx="55">
                  <c:v>195.51972000000001</c:v>
                </c:pt>
                <c:pt idx="56">
                  <c:v>198.48214000000002</c:v>
                </c:pt>
                <c:pt idx="57">
                  <c:v>201.44456</c:v>
                </c:pt>
                <c:pt idx="58">
                  <c:v>204.40698</c:v>
                </c:pt>
                <c:pt idx="59">
                  <c:v>207.36940000000001</c:v>
                </c:pt>
                <c:pt idx="60">
                  <c:v>210.33181999999999</c:v>
                </c:pt>
              </c:numCache>
            </c:numRef>
          </c:xVal>
          <c:yVal>
            <c:numRef>
              <c:f>'Forward Flight At Sea Level'!$J$13:$J$73</c:f>
              <c:numCache>
                <c:formatCode>General</c:formatCode>
                <c:ptCount val="61"/>
                <c:pt idx="0">
                  <c:v>295.12907055631291</c:v>
                </c:pt>
                <c:pt idx="1">
                  <c:v>252.41136603687966</c:v>
                </c:pt>
                <c:pt idx="2">
                  <c:v>219.9085997972181</c:v>
                </c:pt>
                <c:pt idx="3">
                  <c:v>194.86684862479439</c:v>
                </c:pt>
                <c:pt idx="4">
                  <c:v>175.41833428133137</c:v>
                </c:pt>
                <c:pt idx="5">
                  <c:v>160.26004066390553</c:v>
                </c:pt>
                <c:pt idx="6">
                  <c:v>148.46052976492018</c:v>
                </c:pt>
                <c:pt idx="7">
                  <c:v>139.33967671956307</c:v>
                </c:pt>
                <c:pt idx="8">
                  <c:v>132.39148373582523</c:v>
                </c:pt>
                <c:pt idx="9">
                  <c:v>127.23319938975001</c:v>
                </c:pt>
                <c:pt idx="10">
                  <c:v>123.57097497552255</c:v>
                </c:pt>
                <c:pt idx="11">
                  <c:v>121.17618877009497</c:v>
                </c:pt>
                <c:pt idx="12">
                  <c:v>119.86881257948852</c:v>
                </c:pt>
                <c:pt idx="13">
                  <c:v>119.50552450811585</c:v>
                </c:pt>
                <c:pt idx="14">
                  <c:v>119.9710809920189</c:v>
                </c:pt>
                <c:pt idx="15">
                  <c:v>121.17196541328659</c:v>
                </c:pt>
                <c:pt idx="16">
                  <c:v>123.03165179083197</c:v>
                </c:pt>
                <c:pt idx="17">
                  <c:v>125.48703068247363</c:v>
                </c:pt>
                <c:pt idx="18">
                  <c:v>128.48568243824542</c:v>
                </c:pt>
                <c:pt idx="19">
                  <c:v>131.98377575610778</c:v>
                </c:pt>
                <c:pt idx="20">
                  <c:v>135.94443287121061</c:v>
                </c:pt>
                <c:pt idx="21">
                  <c:v>140.33644660845806</c:v>
                </c:pt>
                <c:pt idx="22">
                  <c:v>145.1332653353337</c:v>
                </c:pt>
                <c:pt idx="23">
                  <c:v>150.31218373762539</c:v>
                </c:pt>
                <c:pt idx="24">
                  <c:v>155.85369306663779</c:v>
                </c:pt>
                <c:pt idx="25">
                  <c:v>161.74095592740665</c:v>
                </c:pt>
                <c:pt idx="26">
                  <c:v>167.95937905507736</c:v>
                </c:pt>
                <c:pt idx="27">
                  <c:v>174.49626372979964</c:v>
                </c:pt>
                <c:pt idx="28">
                  <c:v>181.34051811431502</c:v>
                </c:pt>
                <c:pt idx="29">
                  <c:v>188.48241928881515</c:v>
                </c:pt>
                <c:pt idx="30">
                  <c:v>195.91341540750204</c:v>
                </c:pt>
                <c:pt idx="31">
                  <c:v>203.62596042799947</c:v>
                </c:pt>
                <c:pt idx="32">
                  <c:v>211.61337542582692</c:v>
                </c:pt>
                <c:pt idx="33">
                  <c:v>219.86973171659071</c:v>
                </c:pt>
                <c:pt idx="34">
                  <c:v>228.38975195309592</c:v>
                </c:pt>
                <c:pt idx="35">
                  <c:v>237.16872610609408</c:v>
                </c:pt>
                <c:pt idx="36">
                  <c:v>246.20243982286121</c:v>
                </c:pt>
                <c:pt idx="37">
                  <c:v>255.48711312261275</c:v>
                </c:pt>
                <c:pt idx="38">
                  <c:v>265.0193477587124</c:v>
                </c:pt>
                <c:pt idx="39">
                  <c:v>274.79608187515731</c:v>
                </c:pt>
                <c:pt idx="40">
                  <c:v>284.8145508245949</c:v>
                </c:pt>
                <c:pt idx="41">
                  <c:v>295.07225320924988</c:v>
                </c:pt>
                <c:pt idx="42">
                  <c:v>305.56692136398493</c:v>
                </c:pt>
                <c:pt idx="43">
                  <c:v>316.29649562961873</c:v>
                </c:pt>
                <c:pt idx="44">
                  <c:v>327.25910187029996</c:v>
                </c:pt>
                <c:pt idx="45">
                  <c:v>338.45303177571856</c:v>
                </c:pt>
                <c:pt idx="46">
                  <c:v>349.8767255607944</c:v>
                </c:pt>
                <c:pt idx="47">
                  <c:v>361.52875673505787</c:v>
                </c:pt>
                <c:pt idx="48">
                  <c:v>373.40781866351062</c:v>
                </c:pt>
                <c:pt idx="49">
                  <c:v>385.51271268212662</c:v>
                </c:pt>
                <c:pt idx="50">
                  <c:v>397.84233756580733</c:v>
                </c:pt>
                <c:pt idx="51">
                  <c:v>410.39568017571247</c:v>
                </c:pt>
                <c:pt idx="52">
                  <c:v>423.17180713741391</c:v>
                </c:pt>
                <c:pt idx="53">
                  <c:v>436.16985742204133</c:v>
                </c:pt>
                <c:pt idx="54">
                  <c:v>449.38903572015329</c:v>
                </c:pt>
                <c:pt idx="55">
                  <c:v>462.82860651298404</c:v>
                </c:pt>
                <c:pt idx="56">
                  <c:v>476.48788875842916</c:v>
                </c:pt>
                <c:pt idx="57">
                  <c:v>490.36625111998779</c:v>
                </c:pt>
                <c:pt idx="58">
                  <c:v>504.46310767617302</c:v>
                </c:pt>
                <c:pt idx="59">
                  <c:v>518.77791405587845</c:v>
                </c:pt>
                <c:pt idx="60">
                  <c:v>533.31016395204881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22F0-456E-BD7F-6488F2FA96A8}"/>
            </c:ext>
          </c:extLst>
        </c:ser>
        <c:ser>
          <c:idx val="1"/>
          <c:order val="2"/>
          <c:tx>
            <c:v>Helicopter Power Available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'Power Curve at sea Level'!$B$16:$B$38</c:f>
              <c:numCache>
                <c:formatCode>General</c:formatCode>
                <c:ptCount val="23"/>
                <c:pt idx="0">
                  <c:v>0</c:v>
                </c:pt>
                <c:pt idx="1">
                  <c:v>7.4404761904761907</c:v>
                </c:pt>
                <c:pt idx="2">
                  <c:v>14.880952380952381</c:v>
                </c:pt>
                <c:pt idx="3">
                  <c:v>22.321428571428573</c:v>
                </c:pt>
                <c:pt idx="4">
                  <c:v>29.761904761904763</c:v>
                </c:pt>
                <c:pt idx="5">
                  <c:v>37.202380952380956</c:v>
                </c:pt>
                <c:pt idx="6">
                  <c:v>44.642857142857146</c:v>
                </c:pt>
                <c:pt idx="7">
                  <c:v>52.083333333333336</c:v>
                </c:pt>
                <c:pt idx="8">
                  <c:v>59.523809523809526</c:v>
                </c:pt>
                <c:pt idx="9">
                  <c:v>66.964285714285722</c:v>
                </c:pt>
                <c:pt idx="10">
                  <c:v>74.404761904761912</c:v>
                </c:pt>
                <c:pt idx="11">
                  <c:v>81.845238095238102</c:v>
                </c:pt>
                <c:pt idx="12">
                  <c:v>89.285714285714292</c:v>
                </c:pt>
                <c:pt idx="13">
                  <c:v>96.726190476190482</c:v>
                </c:pt>
                <c:pt idx="14">
                  <c:v>104.16666666666667</c:v>
                </c:pt>
                <c:pt idx="15">
                  <c:v>111.60714285714286</c:v>
                </c:pt>
                <c:pt idx="16">
                  <c:v>119.04761904761905</c:v>
                </c:pt>
                <c:pt idx="17">
                  <c:v>126.48809523809524</c:v>
                </c:pt>
                <c:pt idx="18">
                  <c:v>133.92857142857144</c:v>
                </c:pt>
                <c:pt idx="19">
                  <c:v>141.36904761904762</c:v>
                </c:pt>
                <c:pt idx="20">
                  <c:v>148.80952380952382</c:v>
                </c:pt>
                <c:pt idx="21">
                  <c:v>156.25</c:v>
                </c:pt>
                <c:pt idx="22">
                  <c:v>163.6904761904762</c:v>
                </c:pt>
              </c:numCache>
            </c:numRef>
          </c:xVal>
          <c:yVal>
            <c:numRef>
              <c:f>'Power Curve at sea Level'!$J$16:$J$38</c:f>
              <c:numCache>
                <c:formatCode>General</c:formatCode>
                <c:ptCount val="23"/>
                <c:pt idx="0">
                  <c:v>211.68940481466174</c:v>
                </c:pt>
                <c:pt idx="1">
                  <c:v>209.0114776123981</c:v>
                </c:pt>
                <c:pt idx="2">
                  <c:v>201.43551301713779</c:v>
                </c:pt>
                <c:pt idx="3">
                  <c:v>190.16870177239798</c:v>
                </c:pt>
                <c:pt idx="4">
                  <c:v>177.16022524622463</c:v>
                </c:pt>
                <c:pt idx="5">
                  <c:v>164.74655196813433</c:v>
                </c:pt>
                <c:pt idx="6">
                  <c:v>154.86266543439717</c:v>
                </c:pt>
                <c:pt idx="7">
                  <c:v>148.55817108372682</c:v>
                </c:pt>
                <c:pt idx="8">
                  <c:v>146.16578064180086</c:v>
                </c:pt>
                <c:pt idx="9">
                  <c:v>147.68850570705513</c:v>
                </c:pt>
                <c:pt idx="10">
                  <c:v>153.05521455100316</c:v>
                </c:pt>
                <c:pt idx="11">
                  <c:v>162.22453794319597</c:v>
                </c:pt>
                <c:pt idx="12">
                  <c:v>175.21066640957076</c:v>
                </c:pt>
                <c:pt idx="13">
                  <c:v>192.08064350851069</c:v>
                </c:pt>
                <c:pt idx="14">
                  <c:v>212.94440355642033</c:v>
                </c:pt>
                <c:pt idx="15">
                  <c:v>237.94478656056029</c:v>
                </c:pt>
                <c:pt idx="16">
                  <c:v>267.24939863149461</c:v>
                </c:pt>
                <c:pt idx="17">
                  <c:v>301.04442858039084</c:v>
                </c:pt>
                <c:pt idx="18">
                  <c:v>339.53007057193588</c:v>
                </c:pt>
                <c:pt idx="19">
                  <c:v>382.91715912236435</c:v>
                </c:pt>
                <c:pt idx="20">
                  <c:v>431.42469033335522</c:v>
                </c:pt>
                <c:pt idx="21">
                  <c:v>485.27798415575427</c:v>
                </c:pt>
                <c:pt idx="22">
                  <c:v>544.70731016349805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2F0-456E-BD7F-6488F2FA96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45101520"/>
        <c:axId val="-545111856"/>
        <c:extLst>
          <c:ext xmlns:c15="http://schemas.microsoft.com/office/drawing/2012/chart" uri="{02D57815-91ED-43cb-92C2-25804820EDAC}">
            <c15:filteredScatterSeries>
              <c15:ser>
                <c:idx val="6"/>
                <c:order val="1"/>
                <c:tx>
                  <c:v>Total Power</c:v>
                </c:tx>
                <c:spPr>
                  <a:ln w="19050" cap="rnd">
                    <a:solidFill>
                      <a:srgbClr val="00B050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'Forward Flight At Sea Level'!$D$17:$D$73</c15:sqref>
                        </c15:formulaRef>
                      </c:ext>
                    </c:extLst>
                    <c:numCache>
                      <c:formatCode>General</c:formatCode>
                      <c:ptCount val="57"/>
                      <c:pt idx="0">
                        <c:v>75</c:v>
                      </c:pt>
                      <c:pt idx="1">
                        <c:v>80</c:v>
                      </c:pt>
                      <c:pt idx="2">
                        <c:v>85</c:v>
                      </c:pt>
                      <c:pt idx="3">
                        <c:v>90</c:v>
                      </c:pt>
                      <c:pt idx="4">
                        <c:v>95</c:v>
                      </c:pt>
                      <c:pt idx="5">
                        <c:v>100</c:v>
                      </c:pt>
                      <c:pt idx="6">
                        <c:v>105</c:v>
                      </c:pt>
                      <c:pt idx="7">
                        <c:v>110</c:v>
                      </c:pt>
                      <c:pt idx="8">
                        <c:v>115</c:v>
                      </c:pt>
                      <c:pt idx="9">
                        <c:v>120</c:v>
                      </c:pt>
                      <c:pt idx="10">
                        <c:v>125</c:v>
                      </c:pt>
                      <c:pt idx="11">
                        <c:v>130</c:v>
                      </c:pt>
                      <c:pt idx="12">
                        <c:v>135</c:v>
                      </c:pt>
                      <c:pt idx="13">
                        <c:v>140</c:v>
                      </c:pt>
                      <c:pt idx="14">
                        <c:v>145</c:v>
                      </c:pt>
                      <c:pt idx="15">
                        <c:v>150</c:v>
                      </c:pt>
                      <c:pt idx="16">
                        <c:v>155</c:v>
                      </c:pt>
                      <c:pt idx="17">
                        <c:v>160</c:v>
                      </c:pt>
                      <c:pt idx="18">
                        <c:v>165</c:v>
                      </c:pt>
                      <c:pt idx="19">
                        <c:v>170</c:v>
                      </c:pt>
                      <c:pt idx="20">
                        <c:v>175</c:v>
                      </c:pt>
                      <c:pt idx="21">
                        <c:v>180</c:v>
                      </c:pt>
                      <c:pt idx="22">
                        <c:v>185</c:v>
                      </c:pt>
                      <c:pt idx="23">
                        <c:v>190</c:v>
                      </c:pt>
                      <c:pt idx="24">
                        <c:v>195</c:v>
                      </c:pt>
                      <c:pt idx="25">
                        <c:v>200</c:v>
                      </c:pt>
                      <c:pt idx="26">
                        <c:v>205</c:v>
                      </c:pt>
                      <c:pt idx="27">
                        <c:v>210</c:v>
                      </c:pt>
                      <c:pt idx="28">
                        <c:v>215</c:v>
                      </c:pt>
                      <c:pt idx="29">
                        <c:v>220</c:v>
                      </c:pt>
                      <c:pt idx="30">
                        <c:v>225</c:v>
                      </c:pt>
                      <c:pt idx="31">
                        <c:v>230</c:v>
                      </c:pt>
                      <c:pt idx="32">
                        <c:v>235</c:v>
                      </c:pt>
                      <c:pt idx="33">
                        <c:v>240</c:v>
                      </c:pt>
                      <c:pt idx="34">
                        <c:v>245</c:v>
                      </c:pt>
                      <c:pt idx="35">
                        <c:v>250</c:v>
                      </c:pt>
                      <c:pt idx="36">
                        <c:v>255</c:v>
                      </c:pt>
                      <c:pt idx="37">
                        <c:v>260</c:v>
                      </c:pt>
                      <c:pt idx="38">
                        <c:v>265</c:v>
                      </c:pt>
                      <c:pt idx="39">
                        <c:v>270</c:v>
                      </c:pt>
                      <c:pt idx="40">
                        <c:v>275</c:v>
                      </c:pt>
                      <c:pt idx="41">
                        <c:v>280</c:v>
                      </c:pt>
                      <c:pt idx="42">
                        <c:v>285</c:v>
                      </c:pt>
                      <c:pt idx="43">
                        <c:v>290</c:v>
                      </c:pt>
                      <c:pt idx="44">
                        <c:v>295</c:v>
                      </c:pt>
                      <c:pt idx="45">
                        <c:v>300</c:v>
                      </c:pt>
                      <c:pt idx="46">
                        <c:v>305</c:v>
                      </c:pt>
                      <c:pt idx="47">
                        <c:v>310</c:v>
                      </c:pt>
                      <c:pt idx="48">
                        <c:v>315</c:v>
                      </c:pt>
                      <c:pt idx="49">
                        <c:v>320</c:v>
                      </c:pt>
                      <c:pt idx="50">
                        <c:v>325</c:v>
                      </c:pt>
                      <c:pt idx="51">
                        <c:v>330</c:v>
                      </c:pt>
                      <c:pt idx="52">
                        <c:v>335</c:v>
                      </c:pt>
                      <c:pt idx="53">
                        <c:v>340</c:v>
                      </c:pt>
                      <c:pt idx="54">
                        <c:v>345</c:v>
                      </c:pt>
                      <c:pt idx="55">
                        <c:v>350</c:v>
                      </c:pt>
                      <c:pt idx="56">
                        <c:v>355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'Forward Flight At Sea Level'!$J$17:$J$73</c15:sqref>
                        </c15:formulaRef>
                      </c:ext>
                    </c:extLst>
                    <c:numCache>
                      <c:formatCode>General</c:formatCode>
                      <c:ptCount val="57"/>
                      <c:pt idx="0">
                        <c:v>175.41833428133137</c:v>
                      </c:pt>
                      <c:pt idx="1">
                        <c:v>160.26004066390553</c:v>
                      </c:pt>
                      <c:pt idx="2">
                        <c:v>148.46052976492018</c:v>
                      </c:pt>
                      <c:pt idx="3">
                        <c:v>139.33967671956307</c:v>
                      </c:pt>
                      <c:pt idx="4">
                        <c:v>132.39148373582523</c:v>
                      </c:pt>
                      <c:pt idx="5">
                        <c:v>127.23319938975001</c:v>
                      </c:pt>
                      <c:pt idx="6">
                        <c:v>123.57097497552255</c:v>
                      </c:pt>
                      <c:pt idx="7">
                        <c:v>121.17618877009497</c:v>
                      </c:pt>
                      <c:pt idx="8">
                        <c:v>119.86881257948852</c:v>
                      </c:pt>
                      <c:pt idx="9">
                        <c:v>119.50552450811585</c:v>
                      </c:pt>
                      <c:pt idx="10">
                        <c:v>119.9710809920189</c:v>
                      </c:pt>
                      <c:pt idx="11">
                        <c:v>121.17196541328659</c:v>
                      </c:pt>
                      <c:pt idx="12">
                        <c:v>123.03165179083197</c:v>
                      </c:pt>
                      <c:pt idx="13">
                        <c:v>125.48703068247363</c:v>
                      </c:pt>
                      <c:pt idx="14">
                        <c:v>128.48568243824542</c:v>
                      </c:pt>
                      <c:pt idx="15">
                        <c:v>131.98377575610778</c:v>
                      </c:pt>
                      <c:pt idx="16">
                        <c:v>135.94443287121061</c:v>
                      </c:pt>
                      <c:pt idx="17">
                        <c:v>140.33644660845806</c:v>
                      </c:pt>
                      <c:pt idx="18">
                        <c:v>145.1332653353337</c:v>
                      </c:pt>
                      <c:pt idx="19">
                        <c:v>150.31218373762539</c:v>
                      </c:pt>
                      <c:pt idx="20">
                        <c:v>155.85369306663779</c:v>
                      </c:pt>
                      <c:pt idx="21">
                        <c:v>161.74095592740665</c:v>
                      </c:pt>
                      <c:pt idx="22">
                        <c:v>167.95937905507736</c:v>
                      </c:pt>
                      <c:pt idx="23">
                        <c:v>174.49626372979964</c:v>
                      </c:pt>
                      <c:pt idx="24">
                        <c:v>181.34051811431502</c:v>
                      </c:pt>
                      <c:pt idx="25">
                        <c:v>188.48241928881515</c:v>
                      </c:pt>
                      <c:pt idx="26">
                        <c:v>195.91341540750204</c:v>
                      </c:pt>
                      <c:pt idx="27">
                        <c:v>203.62596042799947</c:v>
                      </c:pt>
                      <c:pt idx="28">
                        <c:v>211.61337542582692</c:v>
                      </c:pt>
                      <c:pt idx="29">
                        <c:v>219.86973171659071</c:v>
                      </c:pt>
                      <c:pt idx="30">
                        <c:v>228.38975195309592</c:v>
                      </c:pt>
                      <c:pt idx="31">
                        <c:v>237.16872610609408</c:v>
                      </c:pt>
                      <c:pt idx="32">
                        <c:v>246.20243982286121</c:v>
                      </c:pt>
                      <c:pt idx="33">
                        <c:v>255.48711312261275</c:v>
                      </c:pt>
                      <c:pt idx="34">
                        <c:v>265.0193477587124</c:v>
                      </c:pt>
                      <c:pt idx="35">
                        <c:v>274.79608187515731</c:v>
                      </c:pt>
                      <c:pt idx="36">
                        <c:v>284.8145508245949</c:v>
                      </c:pt>
                      <c:pt idx="37">
                        <c:v>295.07225320924988</c:v>
                      </c:pt>
                      <c:pt idx="38">
                        <c:v>305.56692136398493</c:v>
                      </c:pt>
                      <c:pt idx="39">
                        <c:v>316.29649562961873</c:v>
                      </c:pt>
                      <c:pt idx="40">
                        <c:v>327.25910187029996</c:v>
                      </c:pt>
                      <c:pt idx="41">
                        <c:v>338.45303177571856</c:v>
                      </c:pt>
                      <c:pt idx="42">
                        <c:v>349.8767255607944</c:v>
                      </c:pt>
                      <c:pt idx="43">
                        <c:v>361.52875673505787</c:v>
                      </c:pt>
                      <c:pt idx="44">
                        <c:v>373.40781866351062</c:v>
                      </c:pt>
                      <c:pt idx="45">
                        <c:v>385.51271268212662</c:v>
                      </c:pt>
                      <c:pt idx="46">
                        <c:v>397.84233756580733</c:v>
                      </c:pt>
                      <c:pt idx="47">
                        <c:v>410.39568017571247</c:v>
                      </c:pt>
                      <c:pt idx="48">
                        <c:v>423.17180713741391</c:v>
                      </c:pt>
                      <c:pt idx="49">
                        <c:v>436.16985742204133</c:v>
                      </c:pt>
                      <c:pt idx="50">
                        <c:v>449.38903572015329</c:v>
                      </c:pt>
                      <c:pt idx="51">
                        <c:v>462.82860651298404</c:v>
                      </c:pt>
                      <c:pt idx="52">
                        <c:v>476.48788875842916</c:v>
                      </c:pt>
                      <c:pt idx="53">
                        <c:v>490.36625111998779</c:v>
                      </c:pt>
                      <c:pt idx="54">
                        <c:v>504.46310767617302</c:v>
                      </c:pt>
                      <c:pt idx="55">
                        <c:v>518.77791405587845</c:v>
                      </c:pt>
                      <c:pt idx="56">
                        <c:v>533.31016395204881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B-22F0-456E-BD7F-6488F2FA96A8}"/>
                  </c:ext>
                </c:extLst>
              </c15:ser>
            </c15:filteredScatterSeries>
          </c:ext>
        </c:extLst>
      </c:scatterChart>
      <c:valAx>
        <c:axId val="-545101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 sz="1400"/>
                </a:pPr>
                <a:r>
                  <a:rPr lang="en-US" sz="1400"/>
                  <a:t>Flight Speed (knots)</a:t>
                </a:r>
              </a:p>
            </c:rich>
          </c:tx>
          <c:layout>
            <c:manualLayout>
              <c:xMode val="edge"/>
              <c:yMode val="edge"/>
              <c:x val="0.4397149034361012"/>
              <c:y val="0.9294985983555151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-545111856"/>
        <c:crosses val="autoZero"/>
        <c:crossBetween val="midCat"/>
      </c:valAx>
      <c:valAx>
        <c:axId val="-54511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Power (HP)</a:t>
                </a:r>
              </a:p>
            </c:rich>
          </c:tx>
          <c:layout>
            <c:manualLayout>
              <c:xMode val="edge"/>
              <c:yMode val="edge"/>
              <c:x val="6.3919396973145692E-2"/>
              <c:y val="0.3543601811046828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-54510152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4648656392082713"/>
          <c:y val="0.33983373092030922"/>
          <c:w val="0.24636036858031343"/>
          <c:h val="0.32033253815938156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Cpp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'Power Curve at 3000 m'!$A$16:$A$35</c:f>
              <c:numCache>
                <c:formatCode>General</c:formatCode>
                <c:ptCount val="20"/>
                <c:pt idx="0">
                  <c:v>0</c:v>
                </c:pt>
                <c:pt idx="1">
                  <c:v>12.5</c:v>
                </c:pt>
                <c:pt idx="2">
                  <c:v>25</c:v>
                </c:pt>
                <c:pt idx="3">
                  <c:v>37.5</c:v>
                </c:pt>
                <c:pt idx="4">
                  <c:v>50</c:v>
                </c:pt>
                <c:pt idx="5">
                  <c:v>62.5</c:v>
                </c:pt>
                <c:pt idx="6">
                  <c:v>75</c:v>
                </c:pt>
                <c:pt idx="7">
                  <c:v>87.5</c:v>
                </c:pt>
                <c:pt idx="8">
                  <c:v>100</c:v>
                </c:pt>
                <c:pt idx="9">
                  <c:v>112.5</c:v>
                </c:pt>
                <c:pt idx="10">
                  <c:v>125</c:v>
                </c:pt>
                <c:pt idx="11">
                  <c:v>137.5</c:v>
                </c:pt>
                <c:pt idx="12">
                  <c:v>150</c:v>
                </c:pt>
                <c:pt idx="13">
                  <c:v>162.5</c:v>
                </c:pt>
                <c:pt idx="14">
                  <c:v>175</c:v>
                </c:pt>
                <c:pt idx="15">
                  <c:v>187.5</c:v>
                </c:pt>
                <c:pt idx="16">
                  <c:v>200</c:v>
                </c:pt>
                <c:pt idx="17">
                  <c:v>212.5</c:v>
                </c:pt>
                <c:pt idx="18">
                  <c:v>225</c:v>
                </c:pt>
                <c:pt idx="19">
                  <c:v>237.5</c:v>
                </c:pt>
              </c:numCache>
            </c:numRef>
          </c:xVal>
          <c:yVal>
            <c:numRef>
              <c:f>'Power Curve at 3000 m'!$C$16:$C$35</c:f>
              <c:numCache>
                <c:formatCode>General</c:formatCode>
                <c:ptCount val="20"/>
                <c:pt idx="0">
                  <c:v>0</c:v>
                </c:pt>
                <c:pt idx="1">
                  <c:v>2.4909649614476822E-7</c:v>
                </c:pt>
                <c:pt idx="2">
                  <c:v>1.9927719691581458E-6</c:v>
                </c:pt>
                <c:pt idx="3">
                  <c:v>6.7256053959087425E-6</c:v>
                </c:pt>
                <c:pt idx="4">
                  <c:v>1.5942175753265166E-5</c:v>
                </c:pt>
                <c:pt idx="5">
                  <c:v>3.1137062018096039E-5</c:v>
                </c:pt>
                <c:pt idx="6">
                  <c:v>5.380484316726994E-5</c:v>
                </c:pt>
                <c:pt idx="7">
                  <c:v>8.5440098177655508E-5</c:v>
                </c:pt>
                <c:pt idx="8">
                  <c:v>1.2753740602612133E-4</c:v>
                </c:pt>
                <c:pt idx="9">
                  <c:v>1.8159134568953612E-4</c:v>
                </c:pt>
                <c:pt idx="10">
                  <c:v>2.4909649614476831E-4</c:v>
                </c:pt>
                <c:pt idx="11">
                  <c:v>3.3154743636868648E-4</c:v>
                </c:pt>
                <c:pt idx="12">
                  <c:v>4.3043874533815952E-4</c:v>
                </c:pt>
                <c:pt idx="13">
                  <c:v>5.4726500203005582E-4</c:v>
                </c:pt>
                <c:pt idx="14">
                  <c:v>6.8352078542124406E-4</c:v>
                </c:pt>
                <c:pt idx="15">
                  <c:v>8.407006744885928E-4</c:v>
                </c:pt>
                <c:pt idx="16">
                  <c:v>1.0202992482089706E-3</c:v>
                </c:pt>
                <c:pt idx="17">
                  <c:v>1.2238110855592463E-3</c:v>
                </c:pt>
                <c:pt idx="18">
                  <c:v>1.452730765516289E-3</c:v>
                </c:pt>
                <c:pt idx="19">
                  <c:v>1.7085528670569658E-3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5FD-4DE0-BE44-8C1637E3D791}"/>
            </c:ext>
          </c:extLst>
        </c:ser>
        <c:ser>
          <c:idx val="1"/>
          <c:order val="1"/>
          <c:tx>
            <c:v>Cp0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'Power Curve at 3000 m'!$A$16:$A$35</c:f>
              <c:numCache>
                <c:formatCode>General</c:formatCode>
                <c:ptCount val="20"/>
                <c:pt idx="0">
                  <c:v>0</c:v>
                </c:pt>
                <c:pt idx="1">
                  <c:v>12.5</c:v>
                </c:pt>
                <c:pt idx="2">
                  <c:v>25</c:v>
                </c:pt>
                <c:pt idx="3">
                  <c:v>37.5</c:v>
                </c:pt>
                <c:pt idx="4">
                  <c:v>50</c:v>
                </c:pt>
                <c:pt idx="5">
                  <c:v>62.5</c:v>
                </c:pt>
                <c:pt idx="6">
                  <c:v>75</c:v>
                </c:pt>
                <c:pt idx="7">
                  <c:v>87.5</c:v>
                </c:pt>
                <c:pt idx="8">
                  <c:v>100</c:v>
                </c:pt>
                <c:pt idx="9">
                  <c:v>112.5</c:v>
                </c:pt>
                <c:pt idx="10">
                  <c:v>125</c:v>
                </c:pt>
                <c:pt idx="11">
                  <c:v>137.5</c:v>
                </c:pt>
                <c:pt idx="12">
                  <c:v>150</c:v>
                </c:pt>
                <c:pt idx="13">
                  <c:v>162.5</c:v>
                </c:pt>
                <c:pt idx="14">
                  <c:v>175</c:v>
                </c:pt>
                <c:pt idx="15">
                  <c:v>187.5</c:v>
                </c:pt>
                <c:pt idx="16">
                  <c:v>200</c:v>
                </c:pt>
                <c:pt idx="17">
                  <c:v>212.5</c:v>
                </c:pt>
                <c:pt idx="18">
                  <c:v>225</c:v>
                </c:pt>
                <c:pt idx="19">
                  <c:v>237.5</c:v>
                </c:pt>
              </c:numCache>
            </c:numRef>
          </c:xVal>
          <c:yVal>
            <c:numRef>
              <c:f>'Power Curve at 3000 m'!$D$16:$D$35</c:f>
              <c:numCache>
                <c:formatCode>General</c:formatCode>
                <c:ptCount val="20"/>
                <c:pt idx="0">
                  <c:v>2.2000000000000001E-4</c:v>
                </c:pt>
                <c:pt idx="1">
                  <c:v>2.2032621173469387E-4</c:v>
                </c:pt>
                <c:pt idx="2">
                  <c:v>2.2130484693877551E-4</c:v>
                </c:pt>
                <c:pt idx="3">
                  <c:v>2.2293590561224492E-4</c:v>
                </c:pt>
                <c:pt idx="4">
                  <c:v>2.2521938775510203E-4</c:v>
                </c:pt>
                <c:pt idx="5">
                  <c:v>2.2815529336734695E-4</c:v>
                </c:pt>
                <c:pt idx="6">
                  <c:v>2.3174362244897959E-4</c:v>
                </c:pt>
                <c:pt idx="7">
                  <c:v>2.3598437500000003E-4</c:v>
                </c:pt>
                <c:pt idx="8">
                  <c:v>2.4087755102040817E-4</c:v>
                </c:pt>
                <c:pt idx="9">
                  <c:v>2.4642315051020408E-4</c:v>
                </c:pt>
                <c:pt idx="10">
                  <c:v>2.5262117346938775E-4</c:v>
                </c:pt>
                <c:pt idx="11">
                  <c:v>2.5947161989795919E-4</c:v>
                </c:pt>
                <c:pt idx="12">
                  <c:v>2.6697448979591841E-4</c:v>
                </c:pt>
                <c:pt idx="13">
                  <c:v>2.7512978316326535E-4</c:v>
                </c:pt>
                <c:pt idx="14">
                  <c:v>2.8393750000000001E-4</c:v>
                </c:pt>
                <c:pt idx="15">
                  <c:v>2.9339764030612245E-4</c:v>
                </c:pt>
                <c:pt idx="16">
                  <c:v>3.0351020408163267E-4</c:v>
                </c:pt>
                <c:pt idx="17">
                  <c:v>3.1427519132653061E-4</c:v>
                </c:pt>
                <c:pt idx="18">
                  <c:v>3.2569260204081638E-4</c:v>
                </c:pt>
                <c:pt idx="19">
                  <c:v>3.3776243622448988E-4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5FD-4DE0-BE44-8C1637E3D791}"/>
            </c:ext>
          </c:extLst>
        </c:ser>
        <c:ser>
          <c:idx val="2"/>
          <c:order val="2"/>
          <c:tx>
            <c:v>Cpi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'Power Curve at 3000 m'!$A$16:$A$35</c:f>
              <c:numCache>
                <c:formatCode>General</c:formatCode>
                <c:ptCount val="20"/>
                <c:pt idx="0">
                  <c:v>0</c:v>
                </c:pt>
                <c:pt idx="1">
                  <c:v>12.5</c:v>
                </c:pt>
                <c:pt idx="2">
                  <c:v>25</c:v>
                </c:pt>
                <c:pt idx="3">
                  <c:v>37.5</c:v>
                </c:pt>
                <c:pt idx="4">
                  <c:v>50</c:v>
                </c:pt>
                <c:pt idx="5">
                  <c:v>62.5</c:v>
                </c:pt>
                <c:pt idx="6">
                  <c:v>75</c:v>
                </c:pt>
                <c:pt idx="7">
                  <c:v>87.5</c:v>
                </c:pt>
                <c:pt idx="8">
                  <c:v>100</c:v>
                </c:pt>
                <c:pt idx="9">
                  <c:v>112.5</c:v>
                </c:pt>
                <c:pt idx="10">
                  <c:v>125</c:v>
                </c:pt>
                <c:pt idx="11">
                  <c:v>137.5</c:v>
                </c:pt>
                <c:pt idx="12">
                  <c:v>150</c:v>
                </c:pt>
                <c:pt idx="13">
                  <c:v>162.5</c:v>
                </c:pt>
                <c:pt idx="14">
                  <c:v>175</c:v>
                </c:pt>
                <c:pt idx="15">
                  <c:v>187.5</c:v>
                </c:pt>
                <c:pt idx="16">
                  <c:v>200</c:v>
                </c:pt>
                <c:pt idx="17">
                  <c:v>212.5</c:v>
                </c:pt>
                <c:pt idx="18">
                  <c:v>225</c:v>
                </c:pt>
                <c:pt idx="19">
                  <c:v>237.5</c:v>
                </c:pt>
              </c:numCache>
            </c:numRef>
          </c:xVal>
          <c:yVal>
            <c:numRef>
              <c:f>'Power Curve at 3000 m'!$E$16:$E$35</c:f>
              <c:numCache>
                <c:formatCode>General</c:formatCode>
                <c:ptCount val="20"/>
                <c:pt idx="0">
                  <c:v>1.609527021742072E-3</c:v>
                </c:pt>
                <c:pt idx="1">
                  <c:v>1.5904741182776185E-3</c:v>
                </c:pt>
                <c:pt idx="2">
                  <c:v>1.5347612466161005E-3</c:v>
                </c:pt>
                <c:pt idx="3">
                  <c:v>1.4470989194923759E-3</c:v>
                </c:pt>
                <c:pt idx="4">
                  <c:v>1.3360611517885428E-3</c:v>
                </c:pt>
                <c:pt idx="5">
                  <c:v>1.2134574015896958E-3</c:v>
                </c:pt>
                <c:pt idx="6">
                  <c:v>1.0914209349685176E-3</c:v>
                </c:pt>
                <c:pt idx="7">
                  <c:v>9.7879413095332745E-4</c:v>
                </c:pt>
                <c:pt idx="8">
                  <c:v>8.7970467920811654E-4</c:v>
                </c:pt>
                <c:pt idx="9">
                  <c:v>7.9465786473083212E-4</c:v>
                </c:pt>
                <c:pt idx="10">
                  <c:v>7.223251469456758E-4</c:v>
                </c:pt>
                <c:pt idx="11">
                  <c:v>6.608046505038722E-4</c:v>
                </c:pt>
                <c:pt idx="12">
                  <c:v>6.0823208956827131E-4</c:v>
                </c:pt>
                <c:pt idx="13">
                  <c:v>5.6299686395387086E-4</c:v>
                </c:pt>
                <c:pt idx="14">
                  <c:v>5.2377839250954572E-4</c:v>
                </c:pt>
                <c:pt idx="15">
                  <c:v>4.8951666007219141E-4</c:v>
                </c:pt>
                <c:pt idx="16">
                  <c:v>4.5936627120703622E-4</c:v>
                </c:pt>
                <c:pt idx="17">
                  <c:v>4.3265230940420604E-4</c:v>
                </c:pt>
                <c:pt idx="18">
                  <c:v>4.0883335563074772E-4</c:v>
                </c:pt>
                <c:pt idx="19">
                  <c:v>3.8747216610992457E-4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5FD-4DE0-BE44-8C1637E3D791}"/>
            </c:ext>
          </c:extLst>
        </c:ser>
        <c:ser>
          <c:idx val="3"/>
          <c:order val="3"/>
          <c:tx>
            <c:v>Cp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'Power Curve at 3000 m'!$A$16:$A$35</c:f>
              <c:numCache>
                <c:formatCode>General</c:formatCode>
                <c:ptCount val="20"/>
                <c:pt idx="0">
                  <c:v>0</c:v>
                </c:pt>
                <c:pt idx="1">
                  <c:v>12.5</c:v>
                </c:pt>
                <c:pt idx="2">
                  <c:v>25</c:v>
                </c:pt>
                <c:pt idx="3">
                  <c:v>37.5</c:v>
                </c:pt>
                <c:pt idx="4">
                  <c:v>50</c:v>
                </c:pt>
                <c:pt idx="5">
                  <c:v>62.5</c:v>
                </c:pt>
                <c:pt idx="6">
                  <c:v>75</c:v>
                </c:pt>
                <c:pt idx="7">
                  <c:v>87.5</c:v>
                </c:pt>
                <c:pt idx="8">
                  <c:v>100</c:v>
                </c:pt>
                <c:pt idx="9">
                  <c:v>112.5</c:v>
                </c:pt>
                <c:pt idx="10">
                  <c:v>125</c:v>
                </c:pt>
                <c:pt idx="11">
                  <c:v>137.5</c:v>
                </c:pt>
                <c:pt idx="12">
                  <c:v>150</c:v>
                </c:pt>
                <c:pt idx="13">
                  <c:v>162.5</c:v>
                </c:pt>
                <c:pt idx="14">
                  <c:v>175</c:v>
                </c:pt>
                <c:pt idx="15">
                  <c:v>187.5</c:v>
                </c:pt>
                <c:pt idx="16">
                  <c:v>200</c:v>
                </c:pt>
                <c:pt idx="17">
                  <c:v>212.5</c:v>
                </c:pt>
                <c:pt idx="18">
                  <c:v>225</c:v>
                </c:pt>
                <c:pt idx="19">
                  <c:v>237.5</c:v>
                </c:pt>
              </c:numCache>
            </c:numRef>
          </c:xVal>
          <c:yVal>
            <c:numRef>
              <c:f>'Power Curve at 3000 m'!$H$16:$H$35</c:f>
              <c:numCache>
                <c:formatCode>General</c:formatCode>
                <c:ptCount val="20"/>
                <c:pt idx="0">
                  <c:v>1.829527021742072E-3</c:v>
                </c:pt>
                <c:pt idx="1">
                  <c:v>1.8110494265084571E-3</c:v>
                </c:pt>
                <c:pt idx="2">
                  <c:v>1.7580588655240342E-3</c:v>
                </c:pt>
                <c:pt idx="3">
                  <c:v>1.6767604305005296E-3</c:v>
                </c:pt>
                <c:pt idx="4">
                  <c:v>1.5772227152969101E-3</c:v>
                </c:pt>
                <c:pt idx="5">
                  <c:v>1.4727497569751388E-3</c:v>
                </c:pt>
                <c:pt idx="6">
                  <c:v>1.3769694005847672E-3</c:v>
                </c:pt>
                <c:pt idx="7">
                  <c:v>1.300218604130983E-3</c:v>
                </c:pt>
                <c:pt idx="8">
                  <c:v>1.248119636254646E-3</c:v>
                </c:pt>
                <c:pt idx="9">
                  <c:v>1.2226723609305723E-3</c:v>
                </c:pt>
                <c:pt idx="10">
                  <c:v>1.2240428165598317E-3</c:v>
                </c:pt>
                <c:pt idx="11">
                  <c:v>1.251823706770518E-3</c:v>
                </c:pt>
                <c:pt idx="12">
                  <c:v>1.3056453247023492E-3</c:v>
                </c:pt>
                <c:pt idx="13">
                  <c:v>1.3853916491471919E-3</c:v>
                </c:pt>
                <c:pt idx="14">
                  <c:v>1.4912366779307898E-3</c:v>
                </c:pt>
                <c:pt idx="15">
                  <c:v>1.6236149748669066E-3</c:v>
                </c:pt>
                <c:pt idx="16">
                  <c:v>1.7831757234976395E-3</c:v>
                </c:pt>
                <c:pt idx="17">
                  <c:v>1.9707385862899832E-3</c:v>
                </c:pt>
                <c:pt idx="18">
                  <c:v>2.1872567231878532E-3</c:v>
                </c:pt>
                <c:pt idx="19">
                  <c:v>2.4337874693913806E-3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5FD-4DE0-BE44-8C1637E3D7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68846336"/>
        <c:axId val="-668844160"/>
      </c:scatterChart>
      <c:valAx>
        <c:axId val="-668846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68844160"/>
        <c:crosses val="autoZero"/>
        <c:crossBetween val="midCat"/>
      </c:valAx>
      <c:valAx>
        <c:axId val="-66884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68846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'Power Curve at 3000 m'!$A$16:$A$46</c:f>
              <c:numCache>
                <c:formatCode>General</c:formatCode>
                <c:ptCount val="31"/>
                <c:pt idx="0">
                  <c:v>0</c:v>
                </c:pt>
                <c:pt idx="1">
                  <c:v>12.5</c:v>
                </c:pt>
                <c:pt idx="2">
                  <c:v>25</c:v>
                </c:pt>
                <c:pt idx="3">
                  <c:v>37.5</c:v>
                </c:pt>
                <c:pt idx="4">
                  <c:v>50</c:v>
                </c:pt>
                <c:pt idx="5">
                  <c:v>62.5</c:v>
                </c:pt>
                <c:pt idx="6">
                  <c:v>75</c:v>
                </c:pt>
                <c:pt idx="7">
                  <c:v>87.5</c:v>
                </c:pt>
                <c:pt idx="8">
                  <c:v>100</c:v>
                </c:pt>
                <c:pt idx="9">
                  <c:v>112.5</c:v>
                </c:pt>
                <c:pt idx="10">
                  <c:v>125</c:v>
                </c:pt>
                <c:pt idx="11">
                  <c:v>137.5</c:v>
                </c:pt>
                <c:pt idx="12">
                  <c:v>150</c:v>
                </c:pt>
                <c:pt idx="13">
                  <c:v>162.5</c:v>
                </c:pt>
                <c:pt idx="14">
                  <c:v>175</c:v>
                </c:pt>
                <c:pt idx="15">
                  <c:v>187.5</c:v>
                </c:pt>
                <c:pt idx="16">
                  <c:v>200</c:v>
                </c:pt>
                <c:pt idx="17">
                  <c:v>212.5</c:v>
                </c:pt>
                <c:pt idx="18">
                  <c:v>225</c:v>
                </c:pt>
                <c:pt idx="19">
                  <c:v>237.5</c:v>
                </c:pt>
                <c:pt idx="20">
                  <c:v>250</c:v>
                </c:pt>
                <c:pt idx="21">
                  <c:v>262.5</c:v>
                </c:pt>
                <c:pt idx="22">
                  <c:v>275</c:v>
                </c:pt>
                <c:pt idx="23">
                  <c:v>287.5</c:v>
                </c:pt>
                <c:pt idx="24">
                  <c:v>300</c:v>
                </c:pt>
                <c:pt idx="25">
                  <c:v>312.5</c:v>
                </c:pt>
                <c:pt idx="26">
                  <c:v>325</c:v>
                </c:pt>
                <c:pt idx="27">
                  <c:v>337.5</c:v>
                </c:pt>
                <c:pt idx="28">
                  <c:v>350</c:v>
                </c:pt>
                <c:pt idx="29">
                  <c:v>362.5</c:v>
                </c:pt>
                <c:pt idx="30">
                  <c:v>375</c:v>
                </c:pt>
              </c:numCache>
            </c:numRef>
          </c:xVal>
          <c:yVal>
            <c:numRef>
              <c:f>'Power Curve at 3000 m'!$I$16:$I$46</c:f>
              <c:numCache>
                <c:formatCode>General</c:formatCode>
                <c:ptCount val="31"/>
                <c:pt idx="0">
                  <c:v>222.69517110433148</c:v>
                </c:pt>
                <c:pt idx="1">
                  <c:v>222.69517110433148</c:v>
                </c:pt>
                <c:pt idx="2">
                  <c:v>222.69517110433148</c:v>
                </c:pt>
                <c:pt idx="3">
                  <c:v>222.69517110433148</c:v>
                </c:pt>
                <c:pt idx="4">
                  <c:v>222.69517110433148</c:v>
                </c:pt>
                <c:pt idx="5">
                  <c:v>222.69517110433148</c:v>
                </c:pt>
                <c:pt idx="6">
                  <c:v>222.69517110433148</c:v>
                </c:pt>
                <c:pt idx="7">
                  <c:v>222.69517110433148</c:v>
                </c:pt>
                <c:pt idx="8">
                  <c:v>222.69517110433148</c:v>
                </c:pt>
                <c:pt idx="9">
                  <c:v>222.69517110433148</c:v>
                </c:pt>
                <c:pt idx="10">
                  <c:v>222.69517110433148</c:v>
                </c:pt>
                <c:pt idx="11">
                  <c:v>222.69517110433148</c:v>
                </c:pt>
                <c:pt idx="12">
                  <c:v>222.69517110433148</c:v>
                </c:pt>
                <c:pt idx="13">
                  <c:v>222.69517110433148</c:v>
                </c:pt>
                <c:pt idx="14">
                  <c:v>222.69517110433148</c:v>
                </c:pt>
                <c:pt idx="15">
                  <c:v>222.69517110433148</c:v>
                </c:pt>
                <c:pt idx="16">
                  <c:v>222.69517110433148</c:v>
                </c:pt>
                <c:pt idx="17">
                  <c:v>222.69517110433148</c:v>
                </c:pt>
                <c:pt idx="18">
                  <c:v>222.69517110433148</c:v>
                </c:pt>
                <c:pt idx="19">
                  <c:v>222.69517110433148</c:v>
                </c:pt>
                <c:pt idx="20">
                  <c:v>222.69517110433148</c:v>
                </c:pt>
                <c:pt idx="21">
                  <c:v>222.69517110433148</c:v>
                </c:pt>
                <c:pt idx="22">
                  <c:v>222.69517110433148</c:v>
                </c:pt>
                <c:pt idx="23">
                  <c:v>222.69517110433148</c:v>
                </c:pt>
                <c:pt idx="24">
                  <c:v>222.69517110433148</c:v>
                </c:pt>
                <c:pt idx="25">
                  <c:v>222.69517110433148</c:v>
                </c:pt>
                <c:pt idx="26">
                  <c:v>222.69517110433148</c:v>
                </c:pt>
                <c:pt idx="27">
                  <c:v>222.69517110433148</c:v>
                </c:pt>
                <c:pt idx="28">
                  <c:v>222.69517110433148</c:v>
                </c:pt>
                <c:pt idx="29">
                  <c:v>222.69517110433148</c:v>
                </c:pt>
                <c:pt idx="30">
                  <c:v>222.69517110433148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976-4F94-B995-1DC806FD6AD7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'Power Curve at 3000 m'!$A$16:$A$46</c:f>
              <c:numCache>
                <c:formatCode>General</c:formatCode>
                <c:ptCount val="31"/>
                <c:pt idx="0">
                  <c:v>0</c:v>
                </c:pt>
                <c:pt idx="1">
                  <c:v>12.5</c:v>
                </c:pt>
                <c:pt idx="2">
                  <c:v>25</c:v>
                </c:pt>
                <c:pt idx="3">
                  <c:v>37.5</c:v>
                </c:pt>
                <c:pt idx="4">
                  <c:v>50</c:v>
                </c:pt>
                <c:pt idx="5">
                  <c:v>62.5</c:v>
                </c:pt>
                <c:pt idx="6">
                  <c:v>75</c:v>
                </c:pt>
                <c:pt idx="7">
                  <c:v>87.5</c:v>
                </c:pt>
                <c:pt idx="8">
                  <c:v>100</c:v>
                </c:pt>
                <c:pt idx="9">
                  <c:v>112.5</c:v>
                </c:pt>
                <c:pt idx="10">
                  <c:v>125</c:v>
                </c:pt>
                <c:pt idx="11">
                  <c:v>137.5</c:v>
                </c:pt>
                <c:pt idx="12">
                  <c:v>150</c:v>
                </c:pt>
                <c:pt idx="13">
                  <c:v>162.5</c:v>
                </c:pt>
                <c:pt idx="14">
                  <c:v>175</c:v>
                </c:pt>
                <c:pt idx="15">
                  <c:v>187.5</c:v>
                </c:pt>
                <c:pt idx="16">
                  <c:v>200</c:v>
                </c:pt>
                <c:pt idx="17">
                  <c:v>212.5</c:v>
                </c:pt>
                <c:pt idx="18">
                  <c:v>225</c:v>
                </c:pt>
                <c:pt idx="19">
                  <c:v>237.5</c:v>
                </c:pt>
                <c:pt idx="20">
                  <c:v>250</c:v>
                </c:pt>
                <c:pt idx="21">
                  <c:v>262.5</c:v>
                </c:pt>
                <c:pt idx="22">
                  <c:v>275</c:v>
                </c:pt>
                <c:pt idx="23">
                  <c:v>287.5</c:v>
                </c:pt>
                <c:pt idx="24">
                  <c:v>300</c:v>
                </c:pt>
                <c:pt idx="25">
                  <c:v>312.5</c:v>
                </c:pt>
                <c:pt idx="26">
                  <c:v>325</c:v>
                </c:pt>
                <c:pt idx="27">
                  <c:v>337.5</c:v>
                </c:pt>
                <c:pt idx="28">
                  <c:v>350</c:v>
                </c:pt>
                <c:pt idx="29">
                  <c:v>362.5</c:v>
                </c:pt>
                <c:pt idx="30">
                  <c:v>375</c:v>
                </c:pt>
              </c:numCache>
            </c:numRef>
          </c:xVal>
          <c:yVal>
            <c:numRef>
              <c:f>'Power Curve at 3000 m'!$J$16:$J$46</c:f>
              <c:numCache>
                <c:formatCode>General</c:formatCode>
                <c:ptCount val="31"/>
                <c:pt idx="0">
                  <c:v>230.10565424416396</c:v>
                </c:pt>
                <c:pt idx="1">
                  <c:v>227.78166608243612</c:v>
                </c:pt>
                <c:pt idx="2">
                  <c:v>221.11686826355751</c:v>
                </c:pt>
                <c:pt idx="3">
                  <c:v>210.89169566004102</c:v>
                </c:pt>
                <c:pt idx="4">
                  <c:v>198.37250856594233</c:v>
                </c:pt>
                <c:pt idx="5">
                  <c:v>185.23259964972218</c:v>
                </c:pt>
                <c:pt idx="6">
                  <c:v>173.18598797958703</c:v>
                </c:pt>
                <c:pt idx="7">
                  <c:v>163.5327868943458</c:v>
                </c:pt>
                <c:pt idx="8">
                  <c:v>156.98012768452719</c:v>
                </c:pt>
                <c:pt idx="9">
                  <c:v>153.77953984538084</c:v>
                </c:pt>
                <c:pt idx="10">
                  <c:v>153.95190657483371</c:v>
                </c:pt>
                <c:pt idx="11">
                  <c:v>157.44600086338278</c:v>
                </c:pt>
                <c:pt idx="12">
                  <c:v>164.21532345851497</c:v>
                </c:pt>
                <c:pt idx="13">
                  <c:v>174.24528198980522</c:v>
                </c:pt>
                <c:pt idx="14">
                  <c:v>187.55776073830211</c:v>
                </c:pt>
                <c:pt idx="15">
                  <c:v>204.20741622970255</c:v>
                </c:pt>
                <c:pt idx="16">
                  <c:v>224.27589842156578</c:v>
                </c:pt>
                <c:pt idx="17">
                  <c:v>247.86629896872162</c:v>
                </c:pt>
                <c:pt idx="18">
                  <c:v>275.09849994445324</c:v>
                </c:pt>
                <c:pt idx="19">
                  <c:v>306.10548588798315</c:v>
                </c:pt>
                <c:pt idx="20">
                  <c:v>341.03048763910652</c:v>
                </c:pt>
                <c:pt idx="21">
                  <c:v>380.02478955211973</c:v>
                </c:pt>
                <c:pt idx="22">
                  <c:v>423.2460478283457</c:v>
                </c:pt>
                <c:pt idx="23">
                  <c:v>470.85699690105201</c:v>
                </c:pt>
                <c:pt idx="24">
                  <c:v>523.02444904981371</c:v>
                </c:pt>
                <c:pt idx="25">
                  <c:v>579.91851574522002</c:v>
                </c:pt>
                <c:pt idx="26">
                  <c:v>641.71199728487852</c:v>
                </c:pt>
                <c:pt idx="27">
                  <c:v>708.57990085722281</c:v>
                </c:pt>
                <c:pt idx="28">
                  <c:v>780.69905723821421</c:v>
                </c:pt>
                <c:pt idx="29">
                  <c:v>858.24781375758778</c:v>
                </c:pt>
                <c:pt idx="30">
                  <c:v>941.40578665629619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976-4F94-B995-1DC806FD6AD7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'Power Curve at 3000 m'!$A$16:$A$46</c:f>
              <c:numCache>
                <c:formatCode>General</c:formatCode>
                <c:ptCount val="31"/>
                <c:pt idx="0">
                  <c:v>0</c:v>
                </c:pt>
                <c:pt idx="1">
                  <c:v>12.5</c:v>
                </c:pt>
                <c:pt idx="2">
                  <c:v>25</c:v>
                </c:pt>
                <c:pt idx="3">
                  <c:v>37.5</c:v>
                </c:pt>
                <c:pt idx="4">
                  <c:v>50</c:v>
                </c:pt>
                <c:pt idx="5">
                  <c:v>62.5</c:v>
                </c:pt>
                <c:pt idx="6">
                  <c:v>75</c:v>
                </c:pt>
                <c:pt idx="7">
                  <c:v>87.5</c:v>
                </c:pt>
                <c:pt idx="8">
                  <c:v>100</c:v>
                </c:pt>
                <c:pt idx="9">
                  <c:v>112.5</c:v>
                </c:pt>
                <c:pt idx="10">
                  <c:v>125</c:v>
                </c:pt>
                <c:pt idx="11">
                  <c:v>137.5</c:v>
                </c:pt>
                <c:pt idx="12">
                  <c:v>150</c:v>
                </c:pt>
                <c:pt idx="13">
                  <c:v>162.5</c:v>
                </c:pt>
                <c:pt idx="14">
                  <c:v>175</c:v>
                </c:pt>
                <c:pt idx="15">
                  <c:v>187.5</c:v>
                </c:pt>
                <c:pt idx="16">
                  <c:v>200</c:v>
                </c:pt>
                <c:pt idx="17">
                  <c:v>212.5</c:v>
                </c:pt>
                <c:pt idx="18">
                  <c:v>225</c:v>
                </c:pt>
                <c:pt idx="19">
                  <c:v>237.5</c:v>
                </c:pt>
                <c:pt idx="20">
                  <c:v>250</c:v>
                </c:pt>
                <c:pt idx="21">
                  <c:v>262.5</c:v>
                </c:pt>
                <c:pt idx="22">
                  <c:v>275</c:v>
                </c:pt>
                <c:pt idx="23">
                  <c:v>287.5</c:v>
                </c:pt>
                <c:pt idx="24">
                  <c:v>300</c:v>
                </c:pt>
                <c:pt idx="25">
                  <c:v>312.5</c:v>
                </c:pt>
                <c:pt idx="26">
                  <c:v>325</c:v>
                </c:pt>
                <c:pt idx="27">
                  <c:v>337.5</c:v>
                </c:pt>
                <c:pt idx="28">
                  <c:v>350</c:v>
                </c:pt>
                <c:pt idx="29">
                  <c:v>362.5</c:v>
                </c:pt>
                <c:pt idx="30">
                  <c:v>375</c:v>
                </c:pt>
              </c:numCache>
            </c:numRef>
          </c:xVal>
          <c:yVal>
            <c:numRef>
              <c:f>'Power Curve at 3000 m'!$K$16:$K$46</c:f>
              <c:numCache>
                <c:formatCode>General</c:formatCode>
                <c:ptCount val="31"/>
                <c:pt idx="0">
                  <c:v>0</c:v>
                </c:pt>
                <c:pt idx="1">
                  <c:v>3.13296887852152E-2</c:v>
                </c:pt>
                <c:pt idx="2">
                  <c:v>0.2506375102817216</c:v>
                </c:pt>
                <c:pt idx="3">
                  <c:v>0.84590159720081037</c:v>
                </c:pt>
                <c:pt idx="4">
                  <c:v>2.0051000822537728</c:v>
                </c:pt>
                <c:pt idx="5">
                  <c:v>3.9162110981519005</c:v>
                </c:pt>
                <c:pt idx="6">
                  <c:v>6.767212777606483</c:v>
                </c:pt>
                <c:pt idx="7">
                  <c:v>10.746083253328813</c:v>
                </c:pt>
                <c:pt idx="8">
                  <c:v>16.040800658030182</c:v>
                </c:pt>
                <c:pt idx="9">
                  <c:v>22.839343124421891</c:v>
                </c:pt>
                <c:pt idx="10">
                  <c:v>31.329688785215204</c:v>
                </c:pt>
                <c:pt idx="11">
                  <c:v>41.699815773121422</c:v>
                </c:pt>
                <c:pt idx="12">
                  <c:v>54.137702220851864</c:v>
                </c:pt>
                <c:pt idx="13">
                  <c:v>68.831326261117795</c:v>
                </c:pt>
                <c:pt idx="14">
                  <c:v>85.968666026630501</c:v>
                </c:pt>
                <c:pt idx="15">
                  <c:v>105.73769965010131</c:v>
                </c:pt>
                <c:pt idx="16">
                  <c:v>128.32640526424146</c:v>
                </c:pt>
                <c:pt idx="17">
                  <c:v>153.92276100176227</c:v>
                </c:pt>
                <c:pt idx="18">
                  <c:v>182.71474499537513</c:v>
                </c:pt>
                <c:pt idx="19">
                  <c:v>214.8903353777911</c:v>
                </c:pt>
                <c:pt idx="20">
                  <c:v>250.63751028172163</c:v>
                </c:pt>
                <c:pt idx="21">
                  <c:v>290.14424783987795</c:v>
                </c:pt>
                <c:pt idx="22">
                  <c:v>333.59852618497138</c:v>
                </c:pt>
                <c:pt idx="23">
                  <c:v>381.18832344971327</c:v>
                </c:pt>
                <c:pt idx="24">
                  <c:v>433.10161776681491</c:v>
                </c:pt>
                <c:pt idx="25">
                  <c:v>489.52638726898766</c:v>
                </c:pt>
                <c:pt idx="26">
                  <c:v>550.65061008894236</c:v>
                </c:pt>
                <c:pt idx="27">
                  <c:v>616.66226435939086</c:v>
                </c:pt>
                <c:pt idx="28">
                  <c:v>687.74932821304401</c:v>
                </c:pt>
                <c:pt idx="29">
                  <c:v>764.09977978261372</c:v>
                </c:pt>
                <c:pt idx="30">
                  <c:v>845.90159720081044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976-4F94-B995-1DC806FD6AD7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'Power Curve at 3000 m'!$A$16:$A$46</c:f>
              <c:numCache>
                <c:formatCode>General</c:formatCode>
                <c:ptCount val="31"/>
                <c:pt idx="0">
                  <c:v>0</c:v>
                </c:pt>
                <c:pt idx="1">
                  <c:v>12.5</c:v>
                </c:pt>
                <c:pt idx="2">
                  <c:v>25</c:v>
                </c:pt>
                <c:pt idx="3">
                  <c:v>37.5</c:v>
                </c:pt>
                <c:pt idx="4">
                  <c:v>50</c:v>
                </c:pt>
                <c:pt idx="5">
                  <c:v>62.5</c:v>
                </c:pt>
                <c:pt idx="6">
                  <c:v>75</c:v>
                </c:pt>
                <c:pt idx="7">
                  <c:v>87.5</c:v>
                </c:pt>
                <c:pt idx="8">
                  <c:v>100</c:v>
                </c:pt>
                <c:pt idx="9">
                  <c:v>112.5</c:v>
                </c:pt>
                <c:pt idx="10">
                  <c:v>125</c:v>
                </c:pt>
                <c:pt idx="11">
                  <c:v>137.5</c:v>
                </c:pt>
                <c:pt idx="12">
                  <c:v>150</c:v>
                </c:pt>
                <c:pt idx="13">
                  <c:v>162.5</c:v>
                </c:pt>
                <c:pt idx="14">
                  <c:v>175</c:v>
                </c:pt>
                <c:pt idx="15">
                  <c:v>187.5</c:v>
                </c:pt>
                <c:pt idx="16">
                  <c:v>200</c:v>
                </c:pt>
                <c:pt idx="17">
                  <c:v>212.5</c:v>
                </c:pt>
                <c:pt idx="18">
                  <c:v>225</c:v>
                </c:pt>
                <c:pt idx="19">
                  <c:v>237.5</c:v>
                </c:pt>
                <c:pt idx="20">
                  <c:v>250</c:v>
                </c:pt>
                <c:pt idx="21">
                  <c:v>262.5</c:v>
                </c:pt>
                <c:pt idx="22">
                  <c:v>275</c:v>
                </c:pt>
                <c:pt idx="23">
                  <c:v>287.5</c:v>
                </c:pt>
                <c:pt idx="24">
                  <c:v>300</c:v>
                </c:pt>
                <c:pt idx="25">
                  <c:v>312.5</c:v>
                </c:pt>
                <c:pt idx="26">
                  <c:v>325</c:v>
                </c:pt>
                <c:pt idx="27">
                  <c:v>337.5</c:v>
                </c:pt>
                <c:pt idx="28">
                  <c:v>350</c:v>
                </c:pt>
                <c:pt idx="29">
                  <c:v>362.5</c:v>
                </c:pt>
                <c:pt idx="30">
                  <c:v>375</c:v>
                </c:pt>
              </c:numCache>
            </c:numRef>
          </c:xVal>
          <c:yVal>
            <c:numRef>
              <c:f>'Power Curve at 3000 m'!$L$16:$L$46</c:f>
              <c:numCache>
                <c:formatCode>General</c:formatCode>
                <c:ptCount val="31"/>
                <c:pt idx="0">
                  <c:v>27.670126394478014</c:v>
                </c:pt>
                <c:pt idx="1">
                  <c:v>27.711155121434114</c:v>
                </c:pt>
                <c:pt idx="2">
                  <c:v>27.834241302302406</c:v>
                </c:pt>
                <c:pt idx="3">
                  <c:v>28.039384937082897</c:v>
                </c:pt>
                <c:pt idx="4">
                  <c:v>28.326586025775583</c:v>
                </c:pt>
                <c:pt idx="5">
                  <c:v>28.695844568380465</c:v>
                </c:pt>
                <c:pt idx="6">
                  <c:v>29.147160564897536</c:v>
                </c:pt>
                <c:pt idx="7">
                  <c:v>29.680534015326813</c:v>
                </c:pt>
                <c:pt idx="8">
                  <c:v>30.295964919668279</c:v>
                </c:pt>
                <c:pt idx="9">
                  <c:v>30.993453277921944</c:v>
                </c:pt>
                <c:pt idx="10">
                  <c:v>31.772999090087801</c:v>
                </c:pt>
                <c:pt idx="11">
                  <c:v>32.63460235616585</c:v>
                </c:pt>
                <c:pt idx="12">
                  <c:v>33.578263076156105</c:v>
                </c:pt>
                <c:pt idx="13">
                  <c:v>34.603981250058553</c:v>
                </c:pt>
                <c:pt idx="14">
                  <c:v>35.711756877873192</c:v>
                </c:pt>
                <c:pt idx="15">
                  <c:v>36.901589959600031</c:v>
                </c:pt>
                <c:pt idx="16">
                  <c:v>38.173480495239062</c:v>
                </c:pt>
                <c:pt idx="17">
                  <c:v>39.527428484790292</c:v>
                </c:pt>
                <c:pt idx="18">
                  <c:v>40.963433928253714</c:v>
                </c:pt>
                <c:pt idx="19">
                  <c:v>42.481496825629343</c:v>
                </c:pt>
                <c:pt idx="20">
                  <c:v>44.081617176917149</c:v>
                </c:pt>
                <c:pt idx="21">
                  <c:v>45.763794982117155</c:v>
                </c:pt>
                <c:pt idx="22">
                  <c:v>47.528030241229366</c:v>
                </c:pt>
                <c:pt idx="23">
                  <c:v>49.37432295425377</c:v>
                </c:pt>
                <c:pt idx="24">
                  <c:v>51.302673121190367</c:v>
                </c:pt>
                <c:pt idx="25">
                  <c:v>53.313080742039155</c:v>
                </c:pt>
                <c:pt idx="26">
                  <c:v>55.405545816800156</c:v>
                </c:pt>
                <c:pt idx="27">
                  <c:v>57.580068345473343</c:v>
                </c:pt>
                <c:pt idx="28">
                  <c:v>59.836648328058722</c:v>
                </c:pt>
                <c:pt idx="29">
                  <c:v>62.175285764556321</c:v>
                </c:pt>
                <c:pt idx="30">
                  <c:v>64.595980654966056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976-4F94-B995-1DC806FD6AD7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'Power Curve at 3000 m'!$A$16:$A$46</c:f>
              <c:numCache>
                <c:formatCode>General</c:formatCode>
                <c:ptCount val="31"/>
                <c:pt idx="0">
                  <c:v>0</c:v>
                </c:pt>
                <c:pt idx="1">
                  <c:v>12.5</c:v>
                </c:pt>
                <c:pt idx="2">
                  <c:v>25</c:v>
                </c:pt>
                <c:pt idx="3">
                  <c:v>37.5</c:v>
                </c:pt>
                <c:pt idx="4">
                  <c:v>50</c:v>
                </c:pt>
                <c:pt idx="5">
                  <c:v>62.5</c:v>
                </c:pt>
                <c:pt idx="6">
                  <c:v>75</c:v>
                </c:pt>
                <c:pt idx="7">
                  <c:v>87.5</c:v>
                </c:pt>
                <c:pt idx="8">
                  <c:v>100</c:v>
                </c:pt>
                <c:pt idx="9">
                  <c:v>112.5</c:v>
                </c:pt>
                <c:pt idx="10">
                  <c:v>125</c:v>
                </c:pt>
                <c:pt idx="11">
                  <c:v>137.5</c:v>
                </c:pt>
                <c:pt idx="12">
                  <c:v>150</c:v>
                </c:pt>
                <c:pt idx="13">
                  <c:v>162.5</c:v>
                </c:pt>
                <c:pt idx="14">
                  <c:v>175</c:v>
                </c:pt>
                <c:pt idx="15">
                  <c:v>187.5</c:v>
                </c:pt>
                <c:pt idx="16">
                  <c:v>200</c:v>
                </c:pt>
                <c:pt idx="17">
                  <c:v>212.5</c:v>
                </c:pt>
                <c:pt idx="18">
                  <c:v>225</c:v>
                </c:pt>
                <c:pt idx="19">
                  <c:v>237.5</c:v>
                </c:pt>
                <c:pt idx="20">
                  <c:v>250</c:v>
                </c:pt>
                <c:pt idx="21">
                  <c:v>262.5</c:v>
                </c:pt>
                <c:pt idx="22">
                  <c:v>275</c:v>
                </c:pt>
                <c:pt idx="23">
                  <c:v>287.5</c:v>
                </c:pt>
                <c:pt idx="24">
                  <c:v>300</c:v>
                </c:pt>
                <c:pt idx="25">
                  <c:v>312.5</c:v>
                </c:pt>
                <c:pt idx="26">
                  <c:v>325</c:v>
                </c:pt>
                <c:pt idx="27">
                  <c:v>337.5</c:v>
                </c:pt>
                <c:pt idx="28">
                  <c:v>350</c:v>
                </c:pt>
                <c:pt idx="29">
                  <c:v>362.5</c:v>
                </c:pt>
                <c:pt idx="30">
                  <c:v>375</c:v>
                </c:pt>
              </c:numCache>
            </c:numRef>
          </c:xVal>
          <c:yVal>
            <c:numRef>
              <c:f>'Power Curve at 3000 m'!$M$16:$M$46</c:f>
              <c:numCache>
                <c:formatCode>General</c:formatCode>
                <c:ptCount val="31"/>
                <c:pt idx="0">
                  <c:v>202.43552784968594</c:v>
                </c:pt>
                <c:pt idx="1">
                  <c:v>200.03918127221678</c:v>
                </c:pt>
                <c:pt idx="2">
                  <c:v>193.03198945097338</c:v>
                </c:pt>
                <c:pt idx="3">
                  <c:v>182.0064091257573</c:v>
                </c:pt>
                <c:pt idx="4">
                  <c:v>168.04082245791298</c:v>
                </c:pt>
                <c:pt idx="5">
                  <c:v>152.6205439831898</c:v>
                </c:pt>
                <c:pt idx="6">
                  <c:v>137.27161463708299</c:v>
                </c:pt>
                <c:pt idx="7">
                  <c:v>123.10616962569017</c:v>
                </c:pt>
                <c:pt idx="8">
                  <c:v>110.64336210682873</c:v>
                </c:pt>
                <c:pt idx="9">
                  <c:v>99.946743443037008</c:v>
                </c:pt>
                <c:pt idx="10">
                  <c:v>90.849218699530709</c:v>
                </c:pt>
                <c:pt idx="11">
                  <c:v>83.111582734095521</c:v>
                </c:pt>
                <c:pt idx="12">
                  <c:v>76.499358161507004</c:v>
                </c:pt>
                <c:pt idx="13">
                  <c:v>70.809974478628874</c:v>
                </c:pt>
                <c:pt idx="14">
                  <c:v>65.877337833798407</c:v>
                </c:pt>
                <c:pt idx="15">
                  <c:v>61.568126620001209</c:v>
                </c:pt>
                <c:pt idx="16">
                  <c:v>57.776012662085272</c:v>
                </c:pt>
                <c:pt idx="17">
                  <c:v>54.416109482169048</c:v>
                </c:pt>
                <c:pt idx="18">
                  <c:v>51.42032102082441</c:v>
                </c:pt>
                <c:pt idx="19">
                  <c:v>48.733653684562704</c:v>
                </c:pt>
                <c:pt idx="20">
                  <c:v>46.31136018046773</c:v>
                </c:pt>
                <c:pt idx="21">
                  <c:v>44.11674673012466</c:v>
                </c:pt>
                <c:pt idx="22">
                  <c:v>42.119491402144959</c:v>
                </c:pt>
                <c:pt idx="23">
                  <c:v>40.294350497084977</c:v>
                </c:pt>
                <c:pt idx="24">
                  <c:v>38.620158161808448</c:v>
                </c:pt>
                <c:pt idx="25">
                  <c:v>37.079047734193168</c:v>
                </c:pt>
                <c:pt idx="26">
                  <c:v>35.655841379135921</c:v>
                </c:pt>
                <c:pt idx="27">
                  <c:v>34.337568152358642</c:v>
                </c:pt>
                <c:pt idx="28">
                  <c:v>33.113080697111535</c:v>
                </c:pt>
                <c:pt idx="29">
                  <c:v>31.972748210417731</c:v>
                </c:pt>
                <c:pt idx="30">
                  <c:v>30.908208800519727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976-4F94-B995-1DC806FD6A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89356816"/>
        <c:axId val="-675815840"/>
      </c:scatterChart>
      <c:valAx>
        <c:axId val="-889356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Velocity (ft/s)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75815840"/>
        <c:crosses val="autoZero"/>
        <c:crossBetween val="midCat"/>
      </c:valAx>
      <c:valAx>
        <c:axId val="-67581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</a:t>
                </a:r>
                <a:r>
                  <a:rPr lang="en-US" baseline="0"/>
                  <a:t> (HP)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89356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Power Required at 3000m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13228051549736"/>
          <c:y val="3.2546832469551465E-2"/>
          <c:w val="0.70509991333339506"/>
          <c:h val="0.7902964600255442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'Power Curve at 3000 m'!$I$15</c:f>
              <c:strCache>
                <c:ptCount val="1"/>
                <c:pt idx="0">
                  <c:v>P_av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'Power Curve at 3000 m'!$B$16:$B$38</c:f>
              <c:numCache>
                <c:formatCode>General</c:formatCode>
                <c:ptCount val="23"/>
                <c:pt idx="0">
                  <c:v>0</c:v>
                </c:pt>
                <c:pt idx="1">
                  <c:v>7.4404761904761907</c:v>
                </c:pt>
                <c:pt idx="2">
                  <c:v>14.880952380952381</c:v>
                </c:pt>
                <c:pt idx="3">
                  <c:v>22.321428571428573</c:v>
                </c:pt>
                <c:pt idx="4">
                  <c:v>29.761904761904763</c:v>
                </c:pt>
                <c:pt idx="5">
                  <c:v>37.202380952380956</c:v>
                </c:pt>
                <c:pt idx="6">
                  <c:v>44.642857142857146</c:v>
                </c:pt>
                <c:pt idx="7">
                  <c:v>52.083333333333336</c:v>
                </c:pt>
                <c:pt idx="8">
                  <c:v>59.523809523809526</c:v>
                </c:pt>
                <c:pt idx="9">
                  <c:v>66.964285714285722</c:v>
                </c:pt>
                <c:pt idx="10">
                  <c:v>74.404761904761912</c:v>
                </c:pt>
                <c:pt idx="11">
                  <c:v>81.845238095238102</c:v>
                </c:pt>
                <c:pt idx="12">
                  <c:v>89.285714285714292</c:v>
                </c:pt>
                <c:pt idx="13">
                  <c:v>96.726190476190482</c:v>
                </c:pt>
                <c:pt idx="14">
                  <c:v>104.16666666666667</c:v>
                </c:pt>
                <c:pt idx="15">
                  <c:v>111.60714285714286</c:v>
                </c:pt>
                <c:pt idx="16">
                  <c:v>119.04761904761905</c:v>
                </c:pt>
                <c:pt idx="17">
                  <c:v>126.48809523809524</c:v>
                </c:pt>
                <c:pt idx="18">
                  <c:v>133.92857142857144</c:v>
                </c:pt>
                <c:pt idx="19">
                  <c:v>141.36904761904762</c:v>
                </c:pt>
                <c:pt idx="20">
                  <c:v>148.80952380952382</c:v>
                </c:pt>
                <c:pt idx="21">
                  <c:v>156.25</c:v>
                </c:pt>
                <c:pt idx="22">
                  <c:v>163.6904761904762</c:v>
                </c:pt>
              </c:numCache>
            </c:numRef>
          </c:xVal>
          <c:yVal>
            <c:numRef>
              <c:f>'Power Curve at 3000 m'!$I$16:$I$38</c:f>
              <c:numCache>
                <c:formatCode>General</c:formatCode>
                <c:ptCount val="23"/>
                <c:pt idx="0">
                  <c:v>222.69517110433148</c:v>
                </c:pt>
                <c:pt idx="1">
                  <c:v>222.69517110433148</c:v>
                </c:pt>
                <c:pt idx="2">
                  <c:v>222.69517110433148</c:v>
                </c:pt>
                <c:pt idx="3">
                  <c:v>222.69517110433148</c:v>
                </c:pt>
                <c:pt idx="4">
                  <c:v>222.69517110433148</c:v>
                </c:pt>
                <c:pt idx="5">
                  <c:v>222.69517110433148</c:v>
                </c:pt>
                <c:pt idx="6">
                  <c:v>222.69517110433148</c:v>
                </c:pt>
                <c:pt idx="7">
                  <c:v>222.69517110433148</c:v>
                </c:pt>
                <c:pt idx="8">
                  <c:v>222.69517110433148</c:v>
                </c:pt>
                <c:pt idx="9">
                  <c:v>222.69517110433148</c:v>
                </c:pt>
                <c:pt idx="10">
                  <c:v>222.69517110433148</c:v>
                </c:pt>
                <c:pt idx="11">
                  <c:v>222.69517110433148</c:v>
                </c:pt>
                <c:pt idx="12">
                  <c:v>222.69517110433148</c:v>
                </c:pt>
                <c:pt idx="13">
                  <c:v>222.69517110433148</c:v>
                </c:pt>
                <c:pt idx="14">
                  <c:v>222.69517110433148</c:v>
                </c:pt>
                <c:pt idx="15">
                  <c:v>222.69517110433148</c:v>
                </c:pt>
                <c:pt idx="16">
                  <c:v>222.69517110433148</c:v>
                </c:pt>
                <c:pt idx="17">
                  <c:v>222.69517110433148</c:v>
                </c:pt>
                <c:pt idx="18">
                  <c:v>222.69517110433148</c:v>
                </c:pt>
                <c:pt idx="19">
                  <c:v>222.69517110433148</c:v>
                </c:pt>
                <c:pt idx="20">
                  <c:v>222.69517110433148</c:v>
                </c:pt>
                <c:pt idx="21">
                  <c:v>222.69517110433148</c:v>
                </c:pt>
                <c:pt idx="22">
                  <c:v>222.69517110433148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3CE-4F6B-83CC-68AB54EFFBB7}"/>
            </c:ext>
          </c:extLst>
        </c:ser>
        <c:ser>
          <c:idx val="1"/>
          <c:order val="1"/>
          <c:tx>
            <c:strRef>
              <c:f>'Power Curve at 3000 m'!$J$15</c:f>
              <c:strCache>
                <c:ptCount val="1"/>
                <c:pt idx="0">
                  <c:v>P_req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'Power Curve at 3000 m'!$B$16:$B$38</c:f>
              <c:numCache>
                <c:formatCode>General</c:formatCode>
                <c:ptCount val="23"/>
                <c:pt idx="0">
                  <c:v>0</c:v>
                </c:pt>
                <c:pt idx="1">
                  <c:v>7.4404761904761907</c:v>
                </c:pt>
                <c:pt idx="2">
                  <c:v>14.880952380952381</c:v>
                </c:pt>
                <c:pt idx="3">
                  <c:v>22.321428571428573</c:v>
                </c:pt>
                <c:pt idx="4">
                  <c:v>29.761904761904763</c:v>
                </c:pt>
                <c:pt idx="5">
                  <c:v>37.202380952380956</c:v>
                </c:pt>
                <c:pt idx="6">
                  <c:v>44.642857142857146</c:v>
                </c:pt>
                <c:pt idx="7">
                  <c:v>52.083333333333336</c:v>
                </c:pt>
                <c:pt idx="8">
                  <c:v>59.523809523809526</c:v>
                </c:pt>
                <c:pt idx="9">
                  <c:v>66.964285714285722</c:v>
                </c:pt>
                <c:pt idx="10">
                  <c:v>74.404761904761912</c:v>
                </c:pt>
                <c:pt idx="11">
                  <c:v>81.845238095238102</c:v>
                </c:pt>
                <c:pt idx="12">
                  <c:v>89.285714285714292</c:v>
                </c:pt>
                <c:pt idx="13">
                  <c:v>96.726190476190482</c:v>
                </c:pt>
                <c:pt idx="14">
                  <c:v>104.16666666666667</c:v>
                </c:pt>
                <c:pt idx="15">
                  <c:v>111.60714285714286</c:v>
                </c:pt>
                <c:pt idx="16">
                  <c:v>119.04761904761905</c:v>
                </c:pt>
                <c:pt idx="17">
                  <c:v>126.48809523809524</c:v>
                </c:pt>
                <c:pt idx="18">
                  <c:v>133.92857142857144</c:v>
                </c:pt>
                <c:pt idx="19">
                  <c:v>141.36904761904762</c:v>
                </c:pt>
                <c:pt idx="20">
                  <c:v>148.80952380952382</c:v>
                </c:pt>
                <c:pt idx="21">
                  <c:v>156.25</c:v>
                </c:pt>
                <c:pt idx="22">
                  <c:v>163.6904761904762</c:v>
                </c:pt>
              </c:numCache>
            </c:numRef>
          </c:xVal>
          <c:yVal>
            <c:numRef>
              <c:f>'Power Curve at 3000 m'!$J$16:$J$38</c:f>
              <c:numCache>
                <c:formatCode>General</c:formatCode>
                <c:ptCount val="23"/>
                <c:pt idx="0">
                  <c:v>230.10565424416396</c:v>
                </c:pt>
                <c:pt idx="1">
                  <c:v>227.78166608243612</c:v>
                </c:pt>
                <c:pt idx="2">
                  <c:v>221.11686826355751</c:v>
                </c:pt>
                <c:pt idx="3">
                  <c:v>210.89169566004102</c:v>
                </c:pt>
                <c:pt idx="4">
                  <c:v>198.37250856594233</c:v>
                </c:pt>
                <c:pt idx="5">
                  <c:v>185.23259964972218</c:v>
                </c:pt>
                <c:pt idx="6">
                  <c:v>173.18598797958703</c:v>
                </c:pt>
                <c:pt idx="7">
                  <c:v>163.5327868943458</c:v>
                </c:pt>
                <c:pt idx="8">
                  <c:v>156.98012768452719</c:v>
                </c:pt>
                <c:pt idx="9">
                  <c:v>153.77953984538084</c:v>
                </c:pt>
                <c:pt idx="10">
                  <c:v>153.95190657483371</c:v>
                </c:pt>
                <c:pt idx="11">
                  <c:v>157.44600086338278</c:v>
                </c:pt>
                <c:pt idx="12">
                  <c:v>164.21532345851497</c:v>
                </c:pt>
                <c:pt idx="13">
                  <c:v>174.24528198980522</c:v>
                </c:pt>
                <c:pt idx="14">
                  <c:v>187.55776073830211</c:v>
                </c:pt>
                <c:pt idx="15">
                  <c:v>204.20741622970255</c:v>
                </c:pt>
                <c:pt idx="16">
                  <c:v>224.27589842156578</c:v>
                </c:pt>
                <c:pt idx="17">
                  <c:v>247.86629896872162</c:v>
                </c:pt>
                <c:pt idx="18">
                  <c:v>275.09849994445324</c:v>
                </c:pt>
                <c:pt idx="19">
                  <c:v>306.10548588798315</c:v>
                </c:pt>
                <c:pt idx="20">
                  <c:v>341.03048763910652</c:v>
                </c:pt>
                <c:pt idx="21">
                  <c:v>380.02478955211973</c:v>
                </c:pt>
                <c:pt idx="22">
                  <c:v>423.2460478283457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3CE-4F6B-83CC-68AB54EFFBB7}"/>
            </c:ext>
          </c:extLst>
        </c:ser>
        <c:ser>
          <c:idx val="2"/>
          <c:order val="2"/>
          <c:tx>
            <c:strRef>
              <c:f>'Power Curve at 3000 m'!$K$15</c:f>
              <c:strCache>
                <c:ptCount val="1"/>
                <c:pt idx="0">
                  <c:v>P_par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'Power Curve at 3000 m'!$B$16:$B$38</c:f>
              <c:numCache>
                <c:formatCode>General</c:formatCode>
                <c:ptCount val="23"/>
                <c:pt idx="0">
                  <c:v>0</c:v>
                </c:pt>
                <c:pt idx="1">
                  <c:v>7.4404761904761907</c:v>
                </c:pt>
                <c:pt idx="2">
                  <c:v>14.880952380952381</c:v>
                </c:pt>
                <c:pt idx="3">
                  <c:v>22.321428571428573</c:v>
                </c:pt>
                <c:pt idx="4">
                  <c:v>29.761904761904763</c:v>
                </c:pt>
                <c:pt idx="5">
                  <c:v>37.202380952380956</c:v>
                </c:pt>
                <c:pt idx="6">
                  <c:v>44.642857142857146</c:v>
                </c:pt>
                <c:pt idx="7">
                  <c:v>52.083333333333336</c:v>
                </c:pt>
                <c:pt idx="8">
                  <c:v>59.523809523809526</c:v>
                </c:pt>
                <c:pt idx="9">
                  <c:v>66.964285714285722</c:v>
                </c:pt>
                <c:pt idx="10">
                  <c:v>74.404761904761912</c:v>
                </c:pt>
                <c:pt idx="11">
                  <c:v>81.845238095238102</c:v>
                </c:pt>
                <c:pt idx="12">
                  <c:v>89.285714285714292</c:v>
                </c:pt>
                <c:pt idx="13">
                  <c:v>96.726190476190482</c:v>
                </c:pt>
                <c:pt idx="14">
                  <c:v>104.16666666666667</c:v>
                </c:pt>
                <c:pt idx="15">
                  <c:v>111.60714285714286</c:v>
                </c:pt>
                <c:pt idx="16">
                  <c:v>119.04761904761905</c:v>
                </c:pt>
                <c:pt idx="17">
                  <c:v>126.48809523809524</c:v>
                </c:pt>
                <c:pt idx="18">
                  <c:v>133.92857142857144</c:v>
                </c:pt>
                <c:pt idx="19">
                  <c:v>141.36904761904762</c:v>
                </c:pt>
                <c:pt idx="20">
                  <c:v>148.80952380952382</c:v>
                </c:pt>
                <c:pt idx="21">
                  <c:v>156.25</c:v>
                </c:pt>
                <c:pt idx="22">
                  <c:v>163.6904761904762</c:v>
                </c:pt>
              </c:numCache>
            </c:numRef>
          </c:xVal>
          <c:yVal>
            <c:numRef>
              <c:f>'Power Curve at 3000 m'!$K$16:$K$38</c:f>
              <c:numCache>
                <c:formatCode>General</c:formatCode>
                <c:ptCount val="23"/>
                <c:pt idx="0">
                  <c:v>0</c:v>
                </c:pt>
                <c:pt idx="1">
                  <c:v>3.13296887852152E-2</c:v>
                </c:pt>
                <c:pt idx="2">
                  <c:v>0.2506375102817216</c:v>
                </c:pt>
                <c:pt idx="3">
                  <c:v>0.84590159720081037</c:v>
                </c:pt>
                <c:pt idx="4">
                  <c:v>2.0051000822537728</c:v>
                </c:pt>
                <c:pt idx="5">
                  <c:v>3.9162110981519005</c:v>
                </c:pt>
                <c:pt idx="6">
                  <c:v>6.767212777606483</c:v>
                </c:pt>
                <c:pt idx="7">
                  <c:v>10.746083253328813</c:v>
                </c:pt>
                <c:pt idx="8">
                  <c:v>16.040800658030182</c:v>
                </c:pt>
                <c:pt idx="9">
                  <c:v>22.839343124421891</c:v>
                </c:pt>
                <c:pt idx="10">
                  <c:v>31.329688785215204</c:v>
                </c:pt>
                <c:pt idx="11">
                  <c:v>41.699815773121422</c:v>
                </c:pt>
                <c:pt idx="12">
                  <c:v>54.137702220851864</c:v>
                </c:pt>
                <c:pt idx="13">
                  <c:v>68.831326261117795</c:v>
                </c:pt>
                <c:pt idx="14">
                  <c:v>85.968666026630501</c:v>
                </c:pt>
                <c:pt idx="15">
                  <c:v>105.73769965010131</c:v>
                </c:pt>
                <c:pt idx="16">
                  <c:v>128.32640526424146</c:v>
                </c:pt>
                <c:pt idx="17">
                  <c:v>153.92276100176227</c:v>
                </c:pt>
                <c:pt idx="18">
                  <c:v>182.71474499537513</c:v>
                </c:pt>
                <c:pt idx="19">
                  <c:v>214.8903353777911</c:v>
                </c:pt>
                <c:pt idx="20">
                  <c:v>250.63751028172163</c:v>
                </c:pt>
                <c:pt idx="21">
                  <c:v>290.14424783987795</c:v>
                </c:pt>
                <c:pt idx="22">
                  <c:v>333.59852618497138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3CE-4F6B-83CC-68AB54EFFBB7}"/>
            </c:ext>
          </c:extLst>
        </c:ser>
        <c:ser>
          <c:idx val="3"/>
          <c:order val="3"/>
          <c:tx>
            <c:strRef>
              <c:f>'Power Curve at 3000 m'!$L$15</c:f>
              <c:strCache>
                <c:ptCount val="1"/>
                <c:pt idx="0">
                  <c:v>P_prof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'Power Curve at 3000 m'!$B$16:$B$38</c:f>
              <c:numCache>
                <c:formatCode>General</c:formatCode>
                <c:ptCount val="23"/>
                <c:pt idx="0">
                  <c:v>0</c:v>
                </c:pt>
                <c:pt idx="1">
                  <c:v>7.4404761904761907</c:v>
                </c:pt>
                <c:pt idx="2">
                  <c:v>14.880952380952381</c:v>
                </c:pt>
                <c:pt idx="3">
                  <c:v>22.321428571428573</c:v>
                </c:pt>
                <c:pt idx="4">
                  <c:v>29.761904761904763</c:v>
                </c:pt>
                <c:pt idx="5">
                  <c:v>37.202380952380956</c:v>
                </c:pt>
                <c:pt idx="6">
                  <c:v>44.642857142857146</c:v>
                </c:pt>
                <c:pt idx="7">
                  <c:v>52.083333333333336</c:v>
                </c:pt>
                <c:pt idx="8">
                  <c:v>59.523809523809526</c:v>
                </c:pt>
                <c:pt idx="9">
                  <c:v>66.964285714285722</c:v>
                </c:pt>
                <c:pt idx="10">
                  <c:v>74.404761904761912</c:v>
                </c:pt>
                <c:pt idx="11">
                  <c:v>81.845238095238102</c:v>
                </c:pt>
                <c:pt idx="12">
                  <c:v>89.285714285714292</c:v>
                </c:pt>
                <c:pt idx="13">
                  <c:v>96.726190476190482</c:v>
                </c:pt>
                <c:pt idx="14">
                  <c:v>104.16666666666667</c:v>
                </c:pt>
                <c:pt idx="15">
                  <c:v>111.60714285714286</c:v>
                </c:pt>
                <c:pt idx="16">
                  <c:v>119.04761904761905</c:v>
                </c:pt>
                <c:pt idx="17">
                  <c:v>126.48809523809524</c:v>
                </c:pt>
                <c:pt idx="18">
                  <c:v>133.92857142857144</c:v>
                </c:pt>
                <c:pt idx="19">
                  <c:v>141.36904761904762</c:v>
                </c:pt>
                <c:pt idx="20">
                  <c:v>148.80952380952382</c:v>
                </c:pt>
                <c:pt idx="21">
                  <c:v>156.25</c:v>
                </c:pt>
                <c:pt idx="22">
                  <c:v>163.6904761904762</c:v>
                </c:pt>
              </c:numCache>
            </c:numRef>
          </c:xVal>
          <c:yVal>
            <c:numRef>
              <c:f>'Power Curve at 3000 m'!$L$16:$L$38</c:f>
              <c:numCache>
                <c:formatCode>General</c:formatCode>
                <c:ptCount val="23"/>
                <c:pt idx="0">
                  <c:v>27.670126394478014</c:v>
                </c:pt>
                <c:pt idx="1">
                  <c:v>27.711155121434114</c:v>
                </c:pt>
                <c:pt idx="2">
                  <c:v>27.834241302302406</c:v>
                </c:pt>
                <c:pt idx="3">
                  <c:v>28.039384937082897</c:v>
                </c:pt>
                <c:pt idx="4">
                  <c:v>28.326586025775583</c:v>
                </c:pt>
                <c:pt idx="5">
                  <c:v>28.695844568380465</c:v>
                </c:pt>
                <c:pt idx="6">
                  <c:v>29.147160564897536</c:v>
                </c:pt>
                <c:pt idx="7">
                  <c:v>29.680534015326813</c:v>
                </c:pt>
                <c:pt idx="8">
                  <c:v>30.295964919668279</c:v>
                </c:pt>
                <c:pt idx="9">
                  <c:v>30.993453277921944</c:v>
                </c:pt>
                <c:pt idx="10">
                  <c:v>31.772999090087801</c:v>
                </c:pt>
                <c:pt idx="11">
                  <c:v>32.63460235616585</c:v>
                </c:pt>
                <c:pt idx="12">
                  <c:v>33.578263076156105</c:v>
                </c:pt>
                <c:pt idx="13">
                  <c:v>34.603981250058553</c:v>
                </c:pt>
                <c:pt idx="14">
                  <c:v>35.711756877873192</c:v>
                </c:pt>
                <c:pt idx="15">
                  <c:v>36.901589959600031</c:v>
                </c:pt>
                <c:pt idx="16">
                  <c:v>38.173480495239062</c:v>
                </c:pt>
                <c:pt idx="17">
                  <c:v>39.527428484790292</c:v>
                </c:pt>
                <c:pt idx="18">
                  <c:v>40.963433928253714</c:v>
                </c:pt>
                <c:pt idx="19">
                  <c:v>42.481496825629343</c:v>
                </c:pt>
                <c:pt idx="20">
                  <c:v>44.081617176917149</c:v>
                </c:pt>
                <c:pt idx="21">
                  <c:v>45.763794982117155</c:v>
                </c:pt>
                <c:pt idx="22">
                  <c:v>47.528030241229366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3CE-4F6B-83CC-68AB54EFFBB7}"/>
            </c:ext>
          </c:extLst>
        </c:ser>
        <c:ser>
          <c:idx val="4"/>
          <c:order val="4"/>
          <c:tx>
            <c:strRef>
              <c:f>'Power Curve at 3000 m'!$M$15</c:f>
              <c:strCache>
                <c:ptCount val="1"/>
                <c:pt idx="0">
                  <c:v>P_ind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'Power Curve at 3000 m'!$B$16:$B$38</c:f>
              <c:numCache>
                <c:formatCode>General</c:formatCode>
                <c:ptCount val="23"/>
                <c:pt idx="0">
                  <c:v>0</c:v>
                </c:pt>
                <c:pt idx="1">
                  <c:v>7.4404761904761907</c:v>
                </c:pt>
                <c:pt idx="2">
                  <c:v>14.880952380952381</c:v>
                </c:pt>
                <c:pt idx="3">
                  <c:v>22.321428571428573</c:v>
                </c:pt>
                <c:pt idx="4">
                  <c:v>29.761904761904763</c:v>
                </c:pt>
                <c:pt idx="5">
                  <c:v>37.202380952380956</c:v>
                </c:pt>
                <c:pt idx="6">
                  <c:v>44.642857142857146</c:v>
                </c:pt>
                <c:pt idx="7">
                  <c:v>52.083333333333336</c:v>
                </c:pt>
                <c:pt idx="8">
                  <c:v>59.523809523809526</c:v>
                </c:pt>
                <c:pt idx="9">
                  <c:v>66.964285714285722</c:v>
                </c:pt>
                <c:pt idx="10">
                  <c:v>74.404761904761912</c:v>
                </c:pt>
                <c:pt idx="11">
                  <c:v>81.845238095238102</c:v>
                </c:pt>
                <c:pt idx="12">
                  <c:v>89.285714285714292</c:v>
                </c:pt>
                <c:pt idx="13">
                  <c:v>96.726190476190482</c:v>
                </c:pt>
                <c:pt idx="14">
                  <c:v>104.16666666666667</c:v>
                </c:pt>
                <c:pt idx="15">
                  <c:v>111.60714285714286</c:v>
                </c:pt>
                <c:pt idx="16">
                  <c:v>119.04761904761905</c:v>
                </c:pt>
                <c:pt idx="17">
                  <c:v>126.48809523809524</c:v>
                </c:pt>
                <c:pt idx="18">
                  <c:v>133.92857142857144</c:v>
                </c:pt>
                <c:pt idx="19">
                  <c:v>141.36904761904762</c:v>
                </c:pt>
                <c:pt idx="20">
                  <c:v>148.80952380952382</c:v>
                </c:pt>
                <c:pt idx="21">
                  <c:v>156.25</c:v>
                </c:pt>
                <c:pt idx="22">
                  <c:v>163.6904761904762</c:v>
                </c:pt>
              </c:numCache>
            </c:numRef>
          </c:xVal>
          <c:yVal>
            <c:numRef>
              <c:f>'Power Curve at 3000 m'!$M$16:$M$38</c:f>
              <c:numCache>
                <c:formatCode>General</c:formatCode>
                <c:ptCount val="23"/>
                <c:pt idx="0">
                  <c:v>202.43552784968594</c:v>
                </c:pt>
                <c:pt idx="1">
                  <c:v>200.03918127221678</c:v>
                </c:pt>
                <c:pt idx="2">
                  <c:v>193.03198945097338</c:v>
                </c:pt>
                <c:pt idx="3">
                  <c:v>182.0064091257573</c:v>
                </c:pt>
                <c:pt idx="4">
                  <c:v>168.04082245791298</c:v>
                </c:pt>
                <c:pt idx="5">
                  <c:v>152.6205439831898</c:v>
                </c:pt>
                <c:pt idx="6">
                  <c:v>137.27161463708299</c:v>
                </c:pt>
                <c:pt idx="7">
                  <c:v>123.10616962569017</c:v>
                </c:pt>
                <c:pt idx="8">
                  <c:v>110.64336210682873</c:v>
                </c:pt>
                <c:pt idx="9">
                  <c:v>99.946743443037008</c:v>
                </c:pt>
                <c:pt idx="10">
                  <c:v>90.849218699530709</c:v>
                </c:pt>
                <c:pt idx="11">
                  <c:v>83.111582734095521</c:v>
                </c:pt>
                <c:pt idx="12">
                  <c:v>76.499358161507004</c:v>
                </c:pt>
                <c:pt idx="13">
                  <c:v>70.809974478628874</c:v>
                </c:pt>
                <c:pt idx="14">
                  <c:v>65.877337833798407</c:v>
                </c:pt>
                <c:pt idx="15">
                  <c:v>61.568126620001209</c:v>
                </c:pt>
                <c:pt idx="16">
                  <c:v>57.776012662085272</c:v>
                </c:pt>
                <c:pt idx="17">
                  <c:v>54.416109482169048</c:v>
                </c:pt>
                <c:pt idx="18">
                  <c:v>51.42032102082441</c:v>
                </c:pt>
                <c:pt idx="19">
                  <c:v>48.733653684562704</c:v>
                </c:pt>
                <c:pt idx="20">
                  <c:v>46.31136018046773</c:v>
                </c:pt>
                <c:pt idx="21">
                  <c:v>44.11674673012466</c:v>
                </c:pt>
                <c:pt idx="22">
                  <c:v>42.119491402144959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3CE-4F6B-83CC-68AB54EFFB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45101520"/>
        <c:axId val="-545111856"/>
      </c:scatterChart>
      <c:valAx>
        <c:axId val="-545101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Flight Speed (knots)</a:t>
                </a:r>
              </a:p>
            </c:rich>
          </c:tx>
          <c:layout>
            <c:manualLayout>
              <c:xMode val="edge"/>
              <c:yMode val="edge"/>
              <c:x val="0.44307361109826021"/>
              <c:y val="0.903003172348814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5111856"/>
        <c:crosses val="autoZero"/>
        <c:crossBetween val="midCat"/>
      </c:valAx>
      <c:valAx>
        <c:axId val="-54511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</a:t>
                </a:r>
                <a:r>
                  <a:rPr lang="en-US" baseline="0"/>
                  <a:t> (HP)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6.3919396973145692E-2"/>
              <c:y val="0.354360181104682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5101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292303590806518"/>
          <c:y val="0.33983373092030922"/>
          <c:w val="0.12992388826933113"/>
          <c:h val="0.320332538159381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vmlDrawing5.vml.rels><?xml version="1.0" encoding="UTF-8" standalone="yes"?>
<Relationships xmlns="http://schemas.openxmlformats.org/package/2006/relationships"><Relationship Id="rId2" Type="http://schemas.openxmlformats.org/officeDocument/2006/relationships/image" Target="../media/image7.emf"/><Relationship Id="rId1" Type="http://schemas.openxmlformats.org/officeDocument/2006/relationships/image" Target="../media/image6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375225</xdr:colOff>
      <xdr:row>1</xdr:row>
      <xdr:rowOff>14654</xdr:rowOff>
    </xdr:from>
    <xdr:to>
      <xdr:col>19</xdr:col>
      <xdr:colOff>299025</xdr:colOff>
      <xdr:row>31</xdr:row>
      <xdr:rowOff>5129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551071</xdr:colOff>
      <xdr:row>24</xdr:row>
      <xdr:rowOff>35209</xdr:rowOff>
    </xdr:from>
    <xdr:to>
      <xdr:col>14</xdr:col>
      <xdr:colOff>110534</xdr:colOff>
      <xdr:row>24</xdr:row>
      <xdr:rowOff>154461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9828421" y="4607209"/>
          <a:ext cx="169063" cy="119252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wrap="square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ko-KR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10</xdr:col>
      <xdr:colOff>608134</xdr:colOff>
      <xdr:row>32</xdr:row>
      <xdr:rowOff>22414</xdr:rowOff>
    </xdr:from>
    <xdr:to>
      <xdr:col>15</xdr:col>
      <xdr:colOff>512885</xdr:colOff>
      <xdr:row>36</xdr:row>
      <xdr:rowOff>43962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8044961" y="6125741"/>
          <a:ext cx="2945424" cy="78354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Airplane</a:t>
          </a:r>
          <a:r>
            <a:rPr lang="en-US" altLang="ko-KR" sz="1100" baseline="0"/>
            <a:t> will stall when the velocity is at 9 m/s.</a:t>
          </a:r>
          <a:endParaRPr lang="ko-KR" altLang="en-US" sz="1100"/>
        </a:p>
      </xdr:txBody>
    </xdr:sp>
    <xdr:clientData/>
  </xdr:twoCellAnchor>
  <xdr:twoCellAnchor>
    <xdr:from>
      <xdr:col>6</xdr:col>
      <xdr:colOff>481853</xdr:colOff>
      <xdr:row>50</xdr:row>
      <xdr:rowOff>33617</xdr:rowOff>
    </xdr:from>
    <xdr:to>
      <xdr:col>12</xdr:col>
      <xdr:colOff>201706</xdr:colOff>
      <xdr:row>57</xdr:row>
      <xdr:rowOff>145676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/>
      </xdr:nvSpPr>
      <xdr:spPr>
        <a:xfrm>
          <a:off x="6152029" y="10780058"/>
          <a:ext cx="3821206" cy="160244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 b="1"/>
            <a:t>ONE</a:t>
          </a:r>
          <a:r>
            <a:rPr lang="en-US" altLang="ko-KR" sz="1100" baseline="0"/>
            <a:t> of the possible </a:t>
          </a:r>
          <a:r>
            <a:rPr lang="en-US" altLang="ko-KR" sz="1100"/>
            <a:t>Turn scenario:</a:t>
          </a:r>
        </a:p>
        <a:p>
          <a:r>
            <a:rPr lang="en-US" altLang="ko-KR" sz="1100"/>
            <a:t>Airspeed=Ground</a:t>
          </a:r>
          <a:r>
            <a:rPr lang="en-US" altLang="ko-KR" sz="1100" baseline="0"/>
            <a:t> speed- Windspeed</a:t>
          </a:r>
        </a:p>
        <a:p>
          <a:r>
            <a:rPr lang="en-US" altLang="ko-KR" sz="1100" baseline="0"/>
            <a:t>Assume wind speed is about 6.5 m/s</a:t>
          </a:r>
        </a:p>
        <a:p>
          <a:r>
            <a:rPr lang="en-US" altLang="ko-KR" sz="1100" baseline="0"/>
            <a:t>Ground speed= 19 m/s</a:t>
          </a:r>
        </a:p>
        <a:p>
          <a:r>
            <a:rPr lang="en-US" altLang="ko-KR" sz="1100" baseline="0"/>
            <a:t>Airspeed=15.5 m/s</a:t>
          </a:r>
        </a:p>
        <a:p>
          <a:endParaRPr lang="en-US" altLang="ko-KR" sz="1100"/>
        </a:p>
      </xdr:txBody>
    </xdr:sp>
    <xdr:clientData/>
  </xdr:twoCellAnchor>
  <xdr:twoCellAnchor>
    <xdr:from>
      <xdr:col>1</xdr:col>
      <xdr:colOff>237479</xdr:colOff>
      <xdr:row>1</xdr:row>
      <xdr:rowOff>19826</xdr:rowOff>
    </xdr:from>
    <xdr:to>
      <xdr:col>5</xdr:col>
      <xdr:colOff>476682</xdr:colOff>
      <xdr:row>4</xdr:row>
      <xdr:rowOff>0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/>
      </xdr:nvSpPr>
      <xdr:spPr>
        <a:xfrm>
          <a:off x="1996803" y="232738"/>
          <a:ext cx="3466497" cy="61890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 baseline="0"/>
            <a:t>For now, e</a:t>
          </a:r>
          <a:r>
            <a:rPr lang="en-US" altLang="ko-KR" sz="1100"/>
            <a:t>ach</a:t>
          </a:r>
          <a:r>
            <a:rPr lang="en-US" altLang="ko-KR" sz="1100" baseline="0"/>
            <a:t> IPT's will dealing with </a:t>
          </a:r>
          <a:r>
            <a:rPr lang="en-US" altLang="ko-KR" sz="1100" b="1" baseline="0"/>
            <a:t>Airplane parameters</a:t>
          </a:r>
        </a:p>
        <a:p>
          <a:r>
            <a:rPr lang="en-US" altLang="ko-KR" sz="1100" baseline="0"/>
            <a:t>(see </a:t>
          </a:r>
          <a:r>
            <a:rPr lang="en-US" altLang="ko-KR" sz="1100" b="1" baseline="0"/>
            <a:t>WEIGHT SIZING </a:t>
          </a:r>
          <a:r>
            <a:rPr lang="en-US" altLang="ko-KR" sz="1100" baseline="0"/>
            <a:t>excel sheet)</a:t>
          </a:r>
        </a:p>
        <a:p>
          <a:endParaRPr lang="en-US" altLang="ko-KR" sz="1100" baseline="0"/>
        </a:p>
        <a:p>
          <a:endParaRPr lang="en-US" altLang="ko-KR" sz="1100" baseline="0"/>
        </a:p>
        <a:p>
          <a:endParaRPr lang="en-US" altLang="ko-KR" sz="1100" baseline="0"/>
        </a:p>
        <a:p>
          <a:endParaRPr lang="en-US" altLang="ko-KR" sz="1100" baseline="0"/>
        </a:p>
      </xdr:txBody>
    </xdr:sp>
    <xdr:clientData/>
  </xdr:twoCellAnchor>
  <xdr:twoCellAnchor>
    <xdr:from>
      <xdr:col>12</xdr:col>
      <xdr:colOff>485775</xdr:colOff>
      <xdr:row>21</xdr:row>
      <xdr:rowOff>139687</xdr:rowOff>
    </xdr:from>
    <xdr:to>
      <xdr:col>15</xdr:col>
      <xdr:colOff>133350</xdr:colOff>
      <xdr:row>23</xdr:row>
      <xdr:rowOff>162100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9153525" y="4140187"/>
          <a:ext cx="1476375" cy="40341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600" b="1"/>
            <a:t>Design Point</a:t>
          </a:r>
          <a:endParaRPr lang="ko-KR" altLang="en-US" sz="1600" b="1"/>
        </a:p>
      </xdr:txBody>
    </xdr:sp>
    <xdr:clientData/>
  </xdr:twoCellAnchor>
  <xdr:twoCellAnchor>
    <xdr:from>
      <xdr:col>10</xdr:col>
      <xdr:colOff>505558</xdr:colOff>
      <xdr:row>40</xdr:row>
      <xdr:rowOff>29307</xdr:rowOff>
    </xdr:from>
    <xdr:to>
      <xdr:col>13</xdr:col>
      <xdr:colOff>571500</xdr:colOff>
      <xdr:row>46</xdr:row>
      <xdr:rowOff>87923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/>
      </xdr:nvSpPr>
      <xdr:spPr>
        <a:xfrm>
          <a:off x="7942385" y="7663961"/>
          <a:ext cx="1890346" cy="12382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VL3</a:t>
          </a:r>
        </a:p>
        <a:p>
          <a:r>
            <a:rPr lang="en-US" sz="1100"/>
            <a:t>Stall</a:t>
          </a:r>
          <a:r>
            <a:rPr lang="en-US" sz="1100" baseline="0"/>
            <a:t> speed at ~15 m/s</a:t>
          </a:r>
        </a:p>
        <a:p>
          <a:endParaRPr lang="en-US" sz="1100" baseline="0"/>
        </a:p>
        <a:p>
          <a:r>
            <a:rPr lang="en-US" sz="1100" baseline="0"/>
            <a:t>Cessna </a:t>
          </a:r>
        </a:p>
        <a:p>
          <a:r>
            <a:rPr lang="en-US" sz="1100" baseline="0"/>
            <a:t>Stall speed at ~20.5 m/s</a:t>
          </a:r>
          <a:endParaRPr lang="en-US" sz="1100"/>
        </a:p>
      </xdr:txBody>
    </xdr:sp>
    <xdr:clientData/>
  </xdr:twoCellAnchor>
  <xdr:twoCellAnchor>
    <xdr:from>
      <xdr:col>6</xdr:col>
      <xdr:colOff>455735</xdr:colOff>
      <xdr:row>46</xdr:row>
      <xdr:rowOff>186104</xdr:rowOff>
    </xdr:from>
    <xdr:to>
      <xdr:col>10</xdr:col>
      <xdr:colOff>413972</xdr:colOff>
      <xdr:row>49</xdr:row>
      <xdr:rowOff>167054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/>
      </xdr:nvSpPr>
      <xdr:spPr>
        <a:xfrm>
          <a:off x="5465885" y="9015779"/>
          <a:ext cx="2396637" cy="5810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/>
            <a:t>S wing area=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MTOW</a:t>
          </a:r>
          <a:r>
            <a:rPr lang="en-US" sz="1100"/>
            <a:t>/(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W/S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/>
            <a:t>b Wing Span=sqrt(AR*S wing area)</a:t>
          </a:r>
          <a:endParaRPr lang="en-US" sz="1100"/>
        </a:p>
      </xdr:txBody>
    </xdr:sp>
    <xdr:clientData/>
  </xdr:twoCellAnchor>
  <xdr:twoCellAnchor>
    <xdr:from>
      <xdr:col>144</xdr:col>
      <xdr:colOff>0</xdr:colOff>
      <xdr:row>97</xdr:row>
      <xdr:rowOff>0</xdr:rowOff>
    </xdr:from>
    <xdr:to>
      <xdr:col>156</xdr:col>
      <xdr:colOff>495300</xdr:colOff>
      <xdr:row>126</xdr:row>
      <xdr:rowOff>180975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647700</xdr:colOff>
      <xdr:row>3</xdr:row>
      <xdr:rowOff>0</xdr:rowOff>
    </xdr:from>
    <xdr:to>
      <xdr:col>24</xdr:col>
      <xdr:colOff>315446</xdr:colOff>
      <xdr:row>12</xdr:row>
      <xdr:rowOff>85725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SpPr txBox="1"/>
      </xdr:nvSpPr>
      <xdr:spPr>
        <a:xfrm>
          <a:off x="13106400" y="628650"/>
          <a:ext cx="5154146" cy="19716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 b="1" baseline="0"/>
            <a:t>PLOTTED on airplane</a:t>
          </a:r>
          <a:endParaRPr lang="ko-KR" altLang="en-US" sz="110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3</xdr:row>
          <xdr:rowOff>88900</xdr:rowOff>
        </xdr:from>
        <xdr:to>
          <xdr:col>8</xdr:col>
          <xdr:colOff>317500</xdr:colOff>
          <xdr:row>28</xdr:row>
          <xdr:rowOff>25400</xdr:rowOff>
        </xdr:to>
        <xdr:sp macro="" textlink="">
          <xdr:nvSpPr>
            <xdr:cNvPr id="7169" name="Object 4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00000000-0008-0000-0C00-00000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ffectLst/>
            <a:extLst>
              <a:ext uri="{909E8E84-426E-40DD-AFC4-6F175D3DCCD1}">
                <a14:hiddenFill>
                  <a:solidFill>
                    <a:srgbClr val="4F81BD"/>
                  </a:solidFill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EEECE1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19</xdr:col>
      <xdr:colOff>390525</xdr:colOff>
      <xdr:row>3</xdr:row>
      <xdr:rowOff>47625</xdr:rowOff>
    </xdr:from>
    <xdr:to>
      <xdr:col>35</xdr:col>
      <xdr:colOff>410696</xdr:colOff>
      <xdr:row>14</xdr:row>
      <xdr:rowOff>49306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SpPr txBox="1"/>
      </xdr:nvSpPr>
      <xdr:spPr>
        <a:xfrm>
          <a:off x="12839700" y="619125"/>
          <a:ext cx="9773771" cy="209718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 b="1" baseline="0"/>
            <a:t>PLOTTED on airplane</a:t>
          </a:r>
          <a:endParaRPr lang="ko-KR" altLang="en-US" sz="1100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431800</xdr:colOff>
          <xdr:row>5</xdr:row>
          <xdr:rowOff>0</xdr:rowOff>
        </xdr:from>
        <xdr:to>
          <xdr:col>4</xdr:col>
          <xdr:colOff>1054100</xdr:colOff>
          <xdr:row>10</xdr:row>
          <xdr:rowOff>88900</xdr:rowOff>
        </xdr:to>
        <xdr:sp macro="" textlink="">
          <xdr:nvSpPr>
            <xdr:cNvPr id="2050" name="Object 219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D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215900</xdr:colOff>
          <xdr:row>11</xdr:row>
          <xdr:rowOff>12700</xdr:rowOff>
        </xdr:from>
        <xdr:to>
          <xdr:col>5</xdr:col>
          <xdr:colOff>228600</xdr:colOff>
          <xdr:row>14</xdr:row>
          <xdr:rowOff>152400</xdr:rowOff>
        </xdr:to>
        <xdr:sp macro="" textlink="">
          <xdr:nvSpPr>
            <xdr:cNvPr id="2052" name="Object 1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00000000-0008-0000-0D00-00000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179294</xdr:colOff>
      <xdr:row>0</xdr:row>
      <xdr:rowOff>0</xdr:rowOff>
    </xdr:from>
    <xdr:to>
      <xdr:col>26</xdr:col>
      <xdr:colOff>448978</xdr:colOff>
      <xdr:row>24</xdr:row>
      <xdr:rowOff>23320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146163</xdr:colOff>
      <xdr:row>24</xdr:row>
      <xdr:rowOff>148599</xdr:rowOff>
    </xdr:from>
    <xdr:to>
      <xdr:col>26</xdr:col>
      <xdr:colOff>482340</xdr:colOff>
      <xdr:row>49</xdr:row>
      <xdr:rowOff>171011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168132</xdr:colOff>
      <xdr:row>0</xdr:row>
      <xdr:rowOff>0</xdr:rowOff>
    </xdr:from>
    <xdr:to>
      <xdr:col>31</xdr:col>
      <xdr:colOff>27229</xdr:colOff>
      <xdr:row>32</xdr:row>
      <xdr:rowOff>31343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252352</xdr:colOff>
      <xdr:row>32</xdr:row>
      <xdr:rowOff>38244</xdr:rowOff>
    </xdr:from>
    <xdr:to>
      <xdr:col>31</xdr:col>
      <xdr:colOff>111449</xdr:colOff>
      <xdr:row>64</xdr:row>
      <xdr:rowOff>173496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167640</xdr:colOff>
      <xdr:row>1</xdr:row>
      <xdr:rowOff>30480</xdr:rowOff>
    </xdr:from>
    <xdr:to>
      <xdr:col>22</xdr:col>
      <xdr:colOff>472440</xdr:colOff>
      <xdr:row>16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213360</xdr:colOff>
      <xdr:row>19</xdr:row>
      <xdr:rowOff>7620</xdr:rowOff>
    </xdr:from>
    <xdr:to>
      <xdr:col>22</xdr:col>
      <xdr:colOff>373380</xdr:colOff>
      <xdr:row>34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215825</xdr:colOff>
      <xdr:row>35</xdr:row>
      <xdr:rowOff>35312</xdr:rowOff>
    </xdr:from>
    <xdr:to>
      <xdr:col>24</xdr:col>
      <xdr:colOff>55805</xdr:colOff>
      <xdr:row>53</xdr:row>
      <xdr:rowOff>85688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167640</xdr:colOff>
      <xdr:row>1</xdr:row>
      <xdr:rowOff>30480</xdr:rowOff>
    </xdr:from>
    <xdr:to>
      <xdr:col>22</xdr:col>
      <xdr:colOff>472440</xdr:colOff>
      <xdr:row>16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213360</xdr:colOff>
      <xdr:row>19</xdr:row>
      <xdr:rowOff>7620</xdr:rowOff>
    </xdr:from>
    <xdr:to>
      <xdr:col>22</xdr:col>
      <xdr:colOff>373380</xdr:colOff>
      <xdr:row>34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339650</xdr:colOff>
      <xdr:row>34</xdr:row>
      <xdr:rowOff>178187</xdr:rowOff>
    </xdr:from>
    <xdr:to>
      <xdr:col>24</xdr:col>
      <xdr:colOff>179630</xdr:colOff>
      <xdr:row>53</xdr:row>
      <xdr:rowOff>38063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416500</xdr:colOff>
      <xdr:row>0</xdr:row>
      <xdr:rowOff>100853</xdr:rowOff>
    </xdr:from>
    <xdr:to>
      <xdr:col>40</xdr:col>
      <xdr:colOff>129438</xdr:colOff>
      <xdr:row>32</xdr:row>
      <xdr:rowOff>132196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377397</xdr:colOff>
      <xdr:row>39</xdr:row>
      <xdr:rowOff>63317</xdr:rowOff>
    </xdr:from>
    <xdr:to>
      <xdr:col>37</xdr:col>
      <xdr:colOff>521927</xdr:colOff>
      <xdr:row>71</xdr:row>
      <xdr:rowOff>152049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0</xdr:colOff>
      <xdr:row>49</xdr:row>
      <xdr:rowOff>0</xdr:rowOff>
    </xdr:from>
    <xdr:to>
      <xdr:col>42</xdr:col>
      <xdr:colOff>406666</xdr:colOff>
      <xdr:row>81</xdr:row>
      <xdr:rowOff>89773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76200</xdr:colOff>
      <xdr:row>28</xdr:row>
      <xdr:rowOff>76200</xdr:rowOff>
    </xdr:from>
    <xdr:to>
      <xdr:col>22</xdr:col>
      <xdr:colOff>381000</xdr:colOff>
      <xdr:row>42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25400</xdr:colOff>
          <xdr:row>1</xdr:row>
          <xdr:rowOff>139700</xdr:rowOff>
        </xdr:from>
        <xdr:to>
          <xdr:col>9</xdr:col>
          <xdr:colOff>254000</xdr:colOff>
          <xdr:row>25</xdr:row>
          <xdr:rowOff>127000</xdr:rowOff>
        </xdr:to>
        <xdr:sp macro="" textlink="">
          <xdr:nvSpPr>
            <xdr:cNvPr id="3074" name="Object 3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8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ffectLst/>
            <a:extLst>
              <a:ext uri="{909E8E84-426E-40DD-AFC4-6F175D3DCCD1}">
                <a14:hiddenFill>
                  <a:solidFill>
                    <a:srgbClr val="4F81BD"/>
                  </a:solidFill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EEECE1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20</xdr:col>
      <xdr:colOff>314325</xdr:colOff>
      <xdr:row>13</xdr:row>
      <xdr:rowOff>142875</xdr:rowOff>
    </xdr:from>
    <xdr:to>
      <xdr:col>23</xdr:col>
      <xdr:colOff>342900</xdr:colOff>
      <xdr:row>16</xdr:row>
      <xdr:rowOff>152400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SpPr txBox="1"/>
      </xdr:nvSpPr>
      <xdr:spPr>
        <a:xfrm>
          <a:off x="13077825" y="2619375"/>
          <a:ext cx="1857375" cy="5810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 b="1" baseline="0"/>
            <a:t>PLOTTED on airplane</a:t>
          </a:r>
          <a:endParaRPr lang="ko-KR" altLang="en-US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596900</xdr:colOff>
          <xdr:row>21</xdr:row>
          <xdr:rowOff>63500</xdr:rowOff>
        </xdr:from>
        <xdr:to>
          <xdr:col>5</xdr:col>
          <xdr:colOff>342900</xdr:colOff>
          <xdr:row>26</xdr:row>
          <xdr:rowOff>139700</xdr:rowOff>
        </xdr:to>
        <xdr:sp macro="" textlink="">
          <xdr:nvSpPr>
            <xdr:cNvPr id="4099" name="Object 4" hidden="1">
              <a:extLst>
                <a:ext uri="{63B3BB69-23CF-44E3-9099-C40C66FF867C}">
                  <a14:compatExt spid="_x0000_s4099"/>
                </a:ext>
                <a:ext uri="{FF2B5EF4-FFF2-40B4-BE49-F238E27FC236}">
                  <a16:creationId xmlns:a16="http://schemas.microsoft.com/office/drawing/2014/main" id="{00000000-0008-0000-0900-00000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444500</xdr:colOff>
          <xdr:row>27</xdr:row>
          <xdr:rowOff>101600</xdr:rowOff>
        </xdr:from>
        <xdr:to>
          <xdr:col>9</xdr:col>
          <xdr:colOff>266700</xdr:colOff>
          <xdr:row>32</xdr:row>
          <xdr:rowOff>76200</xdr:rowOff>
        </xdr:to>
        <xdr:sp macro="" textlink="">
          <xdr:nvSpPr>
            <xdr:cNvPr id="4102" name="Object 1" hidden="1">
              <a:extLst>
                <a:ext uri="{63B3BB69-23CF-44E3-9099-C40C66FF867C}">
                  <a14:compatExt spid="_x0000_s4102"/>
                </a:ext>
                <a:ext uri="{FF2B5EF4-FFF2-40B4-BE49-F238E27FC236}">
                  <a16:creationId xmlns:a16="http://schemas.microsoft.com/office/drawing/2014/main" id="{00000000-0008-0000-0900-00000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11</xdr:col>
      <xdr:colOff>0</xdr:colOff>
      <xdr:row>2</xdr:row>
      <xdr:rowOff>0</xdr:rowOff>
    </xdr:from>
    <xdr:to>
      <xdr:col>26</xdr:col>
      <xdr:colOff>315446</xdr:colOff>
      <xdr:row>12</xdr:row>
      <xdr:rowOff>201706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SpPr txBox="1"/>
      </xdr:nvSpPr>
      <xdr:spPr>
        <a:xfrm>
          <a:off x="10077450" y="419100"/>
          <a:ext cx="10992971" cy="229720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 b="1" baseline="0"/>
            <a:t>PLOTTED on airplane</a:t>
          </a:r>
          <a:endParaRPr lang="ko-KR" altLang="en-US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152400</xdr:colOff>
          <xdr:row>3</xdr:row>
          <xdr:rowOff>114300</xdr:rowOff>
        </xdr:from>
        <xdr:to>
          <xdr:col>8</xdr:col>
          <xdr:colOff>889000</xdr:colOff>
          <xdr:row>30</xdr:row>
          <xdr:rowOff>25400</xdr:rowOff>
        </xdr:to>
        <xdr:sp macro="" textlink="">
          <xdr:nvSpPr>
            <xdr:cNvPr id="5121" name="Object 3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00000000-0008-0000-0A00-00000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ffectLst/>
            <a:extLst>
              <a:ext uri="{909E8E84-426E-40DD-AFC4-6F175D3DCCD1}">
                <a14:hiddenFill>
                  <a:solidFill>
                    <a:srgbClr val="4F81BD"/>
                  </a:solidFill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EEECE1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10</xdr:col>
      <xdr:colOff>0</xdr:colOff>
      <xdr:row>3</xdr:row>
      <xdr:rowOff>0</xdr:rowOff>
    </xdr:from>
    <xdr:to>
      <xdr:col>26</xdr:col>
      <xdr:colOff>20171</xdr:colOff>
      <xdr:row>13</xdr:row>
      <xdr:rowOff>201706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SpPr txBox="1"/>
      </xdr:nvSpPr>
      <xdr:spPr>
        <a:xfrm>
          <a:off x="7277100" y="628650"/>
          <a:ext cx="10992971" cy="229720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 b="1" baseline="0"/>
            <a:t>PLOTTED on airplane</a:t>
          </a:r>
          <a:endParaRPr lang="ko-KR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Dongjin1/Desktop/Design/Constraint_sizing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DJ/Downloads/Power%20Curv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irplane"/>
      <sheetName val="Sheet1"/>
      <sheetName val="take off"/>
      <sheetName val="maximum speed"/>
      <sheetName val="Landing"/>
      <sheetName val="Ceiling"/>
      <sheetName val="Rate of climb"/>
      <sheetName val="Turns"/>
      <sheetName val="Not updated yet "/>
    </sheetNames>
    <sheetDataSet>
      <sheetData sheetId="0">
        <row r="7">
          <cell r="B7">
            <v>3.5000000000000003E-2</v>
          </cell>
        </row>
        <row r="11">
          <cell r="B11">
            <v>4.9735919716217297E-2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5">
          <cell r="I15" t="str">
            <v>P_av</v>
          </cell>
          <cell r="J15" t="str">
            <v>P_req</v>
          </cell>
        </row>
        <row r="16">
          <cell r="A16">
            <v>0</v>
          </cell>
          <cell r="J16">
            <v>345.87804023492026</v>
          </cell>
        </row>
        <row r="17">
          <cell r="A17">
            <v>12.5</v>
          </cell>
          <cell r="J17">
            <v>344.68794316768503</v>
          </cell>
        </row>
        <row r="18">
          <cell r="A18">
            <v>25</v>
          </cell>
          <cell r="J18">
            <v>341.32015291098935</v>
          </cell>
        </row>
        <row r="19">
          <cell r="A19">
            <v>37.5</v>
          </cell>
          <cell r="J19">
            <v>336.13281245134783</v>
          </cell>
        </row>
        <row r="20">
          <cell r="A20">
            <v>50</v>
          </cell>
          <cell r="J20">
            <v>329.56547281986508</v>
          </cell>
        </row>
        <row r="21">
          <cell r="A21">
            <v>62.5</v>
          </cell>
          <cell r="J21">
            <v>322.15086772362093</v>
          </cell>
        </row>
        <row r="22">
          <cell r="A22">
            <v>75</v>
          </cell>
          <cell r="J22">
            <v>314.51987500586324</v>
          </cell>
        </row>
        <row r="23">
          <cell r="A23">
            <v>87.5</v>
          </cell>
          <cell r="J23">
            <v>307.38914513575935</v>
          </cell>
        </row>
        <row r="24">
          <cell r="A24">
            <v>100</v>
          </cell>
          <cell r="J24">
            <v>301.52436557901871</v>
          </cell>
        </row>
        <row r="25">
          <cell r="A25">
            <v>112.5</v>
          </cell>
          <cell r="J25">
            <v>297.68328637858838</v>
          </cell>
        </row>
        <row r="26">
          <cell r="A26">
            <v>125</v>
          </cell>
          <cell r="J26">
            <v>296.55585346032882</v>
          </cell>
        </row>
        <row r="27">
          <cell r="A27">
            <v>137.5</v>
          </cell>
          <cell r="J27">
            <v>298.72270681496366</v>
          </cell>
        </row>
        <row r="28">
          <cell r="A28">
            <v>150</v>
          </cell>
          <cell r="J28">
            <v>304.64327006089599</v>
          </cell>
        </row>
        <row r="29">
          <cell r="A29">
            <v>162.5</v>
          </cell>
          <cell r="J29">
            <v>314.6694845937842</v>
          </cell>
        </row>
        <row r="30">
          <cell r="A30">
            <v>175</v>
          </cell>
          <cell r="J30">
            <v>329.07267372027451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7" Type="http://schemas.openxmlformats.org/officeDocument/2006/relationships/image" Target="../media/image3.emf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6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2.emf"/><Relationship Id="rId4" Type="http://schemas.openxmlformats.org/officeDocument/2006/relationships/oleObject" Target="../embeddings/oleObject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7.bin"/><Relationship Id="rId5" Type="http://schemas.openxmlformats.org/officeDocument/2006/relationships/image" Target="../media/image4.emf"/><Relationship Id="rId4" Type="http://schemas.openxmlformats.org/officeDocument/2006/relationships/package" Target="../embeddings/Microsoft_Word_Document1.docx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9.bin"/><Relationship Id="rId5" Type="http://schemas.openxmlformats.org/officeDocument/2006/relationships/image" Target="../media/image5.emf"/><Relationship Id="rId4" Type="http://schemas.openxmlformats.org/officeDocument/2006/relationships/package" Target="../embeddings/Microsoft_Word_Document2.docx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3.bin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12.xml"/><Relationship Id="rId6" Type="http://schemas.openxmlformats.org/officeDocument/2006/relationships/image" Target="../media/image7.emf"/><Relationship Id="rId5" Type="http://schemas.openxmlformats.org/officeDocument/2006/relationships/oleObject" Target="../embeddings/oleObject4.bin"/><Relationship Id="rId4" Type="http://schemas.openxmlformats.org/officeDocument/2006/relationships/image" Target="../media/image6.emf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Document.docx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63"/>
  <sheetViews>
    <sheetView topLeftCell="A6" zoomScaleNormal="100" workbookViewId="0">
      <selection activeCell="B8" sqref="B8"/>
    </sheetView>
  </sheetViews>
  <sheetFormatPr baseColWidth="10" defaultColWidth="8.83203125" defaultRowHeight="15" x14ac:dyDescent="0.2"/>
  <cols>
    <col min="1" max="1" width="23.1640625" customWidth="1"/>
    <col min="4" max="4" width="15.5" customWidth="1"/>
  </cols>
  <sheetData>
    <row r="1" spans="1:7" x14ac:dyDescent="0.2">
      <c r="C1" s="1" t="s">
        <v>0</v>
      </c>
      <c r="D1" s="1" t="s">
        <v>1</v>
      </c>
      <c r="E1" s="1" t="s">
        <v>2</v>
      </c>
    </row>
    <row r="2" spans="1:7" x14ac:dyDescent="0.2">
      <c r="B2" t="s">
        <v>3</v>
      </c>
      <c r="C2">
        <v>20</v>
      </c>
      <c r="D2">
        <f>9.80665*C2</f>
        <v>196.13299999999998</v>
      </c>
      <c r="E2" s="2">
        <f>2.20462*C2</f>
        <v>44.092399999999998</v>
      </c>
    </row>
    <row r="3" spans="1:7" x14ac:dyDescent="0.2">
      <c r="A3" s="5" t="s">
        <v>67</v>
      </c>
    </row>
    <row r="4" spans="1:7" x14ac:dyDescent="0.2">
      <c r="A4" t="s">
        <v>4</v>
      </c>
      <c r="B4">
        <v>9.8000000000000007</v>
      </c>
      <c r="C4" t="s">
        <v>5</v>
      </c>
    </row>
    <row r="5" spans="1:7" x14ac:dyDescent="0.2">
      <c r="A5" t="s">
        <v>6</v>
      </c>
    </row>
    <row r="6" spans="1:7" x14ac:dyDescent="0.2">
      <c r="A6" t="s">
        <v>7</v>
      </c>
      <c r="B6" s="11">
        <v>5.2</v>
      </c>
      <c r="C6" s="12" t="s">
        <v>102</v>
      </c>
    </row>
    <row r="7" spans="1:7" x14ac:dyDescent="0.2">
      <c r="A7" t="s">
        <v>8</v>
      </c>
      <c r="B7" s="11">
        <v>0.03</v>
      </c>
      <c r="C7" s="12" t="s">
        <v>103</v>
      </c>
    </row>
    <row r="8" spans="1:7" x14ac:dyDescent="0.2">
      <c r="A8" t="s">
        <v>9</v>
      </c>
      <c r="B8" s="11">
        <v>0.8</v>
      </c>
      <c r="C8" s="12" t="s">
        <v>104</v>
      </c>
      <c r="E8" t="s">
        <v>119</v>
      </c>
    </row>
    <row r="9" spans="1:7" x14ac:dyDescent="0.2">
      <c r="A9" t="s">
        <v>10</v>
      </c>
      <c r="B9" s="11">
        <v>0.53</v>
      </c>
      <c r="C9" s="12" t="s">
        <v>105</v>
      </c>
    </row>
    <row r="10" spans="1:7" x14ac:dyDescent="0.2">
      <c r="A10" t="s">
        <v>11</v>
      </c>
      <c r="B10" s="11">
        <v>1</v>
      </c>
      <c r="C10" s="12" t="s">
        <v>106</v>
      </c>
    </row>
    <row r="11" spans="1:7" x14ac:dyDescent="0.2">
      <c r="A11" t="s">
        <v>12</v>
      </c>
      <c r="B11" s="4">
        <f>1/(PI()*B6*B8)</f>
        <v>7.6516799563411217E-2</v>
      </c>
      <c r="D11" t="s">
        <v>13</v>
      </c>
    </row>
    <row r="12" spans="1:7" x14ac:dyDescent="0.2">
      <c r="A12" t="s">
        <v>14</v>
      </c>
      <c r="B12" s="4">
        <f>1/(2*SQRT(B11*B7))</f>
        <v>10.435925705199619</v>
      </c>
      <c r="D12" t="s">
        <v>15</v>
      </c>
    </row>
    <row r="13" spans="1:7" x14ac:dyDescent="0.2">
      <c r="D13" s="10" t="s">
        <v>123</v>
      </c>
    </row>
    <row r="14" spans="1:7" x14ac:dyDescent="0.2">
      <c r="A14" s="5" t="s">
        <v>68</v>
      </c>
    </row>
    <row r="15" spans="1:7" x14ac:dyDescent="0.2">
      <c r="A15" t="s">
        <v>44</v>
      </c>
      <c r="B15" s="28">
        <v>3000</v>
      </c>
      <c r="C15" t="s">
        <v>17</v>
      </c>
    </row>
    <row r="16" spans="1:7" x14ac:dyDescent="0.2">
      <c r="A16" t="s">
        <v>30</v>
      </c>
      <c r="B16" s="29">
        <v>92.6</v>
      </c>
      <c r="C16" t="s">
        <v>21</v>
      </c>
      <c r="D16" s="6">
        <f>airplane!B16*maximum_speed!P2</f>
        <v>303.80577427820378</v>
      </c>
      <c r="E16" t="s">
        <v>34</v>
      </c>
      <c r="F16" s="6">
        <f>D16*3600/5280</f>
        <v>207.14030064422985</v>
      </c>
      <c r="G16" t="s">
        <v>87</v>
      </c>
    </row>
    <row r="17" spans="1:23" x14ac:dyDescent="0.2">
      <c r="A17" t="s">
        <v>32</v>
      </c>
      <c r="B17">
        <f>1/2*B18*B16^2</f>
        <v>3904.5208733995328</v>
      </c>
      <c r="C17" t="s">
        <v>16</v>
      </c>
    </row>
    <row r="18" spans="1:23" x14ac:dyDescent="0.2">
      <c r="A18" t="s">
        <v>19</v>
      </c>
      <c r="B18">
        <f>(101.29*((15.04-0.00649*B15+273.1)/288.08)^5.256)/(0.2869*(15.05-0.00649*B15+273.1))</f>
        <v>0.91070091137233777</v>
      </c>
      <c r="C18" t="s">
        <v>20</v>
      </c>
    </row>
    <row r="20" spans="1:23" x14ac:dyDescent="0.2">
      <c r="A20" s="5" t="s">
        <v>69</v>
      </c>
    </row>
    <row r="21" spans="1:23" x14ac:dyDescent="0.2">
      <c r="A21" t="s">
        <v>53</v>
      </c>
      <c r="B21" s="11"/>
    </row>
    <row r="22" spans="1:23" x14ac:dyDescent="0.2">
      <c r="A22" t="s">
        <v>94</v>
      </c>
      <c r="B22" s="13"/>
      <c r="C22" t="s">
        <v>50</v>
      </c>
      <c r="H22">
        <f>airplane!B16*maximum_speed!P4</f>
        <v>207.14030064420041</v>
      </c>
      <c r="I22" t="s">
        <v>38</v>
      </c>
    </row>
    <row r="23" spans="1:23" x14ac:dyDescent="0.2">
      <c r="A23" t="s">
        <v>46</v>
      </c>
      <c r="B23" s="13"/>
      <c r="C23" t="s">
        <v>17</v>
      </c>
    </row>
    <row r="24" spans="1:23" x14ac:dyDescent="0.2">
      <c r="A24" t="s">
        <v>47</v>
      </c>
      <c r="B24" s="11"/>
    </row>
    <row r="25" spans="1:23" x14ac:dyDescent="0.2">
      <c r="A25" t="s">
        <v>51</v>
      </c>
      <c r="C25" t="s">
        <v>20</v>
      </c>
    </row>
    <row r="26" spans="1:23" x14ac:dyDescent="0.2">
      <c r="A26" t="s">
        <v>72</v>
      </c>
      <c r="B26" s="3"/>
      <c r="C26" t="s">
        <v>75</v>
      </c>
      <c r="E26" t="s">
        <v>76</v>
      </c>
      <c r="W26">
        <f>(5800*60)/476</f>
        <v>731.09243697478996</v>
      </c>
    </row>
    <row r="27" spans="1:23" x14ac:dyDescent="0.2">
      <c r="A27" t="s">
        <v>49</v>
      </c>
      <c r="B27">
        <v>1.2250000000000001</v>
      </c>
    </row>
    <row r="29" spans="1:23" x14ac:dyDescent="0.2">
      <c r="A29" s="5" t="s">
        <v>70</v>
      </c>
    </row>
    <row r="30" spans="1:23" x14ac:dyDescent="0.2">
      <c r="A30" t="s">
        <v>44</v>
      </c>
      <c r="B30" s="28">
        <v>5000</v>
      </c>
      <c r="C30" t="s">
        <v>17</v>
      </c>
      <c r="D30">
        <f>B30*3.28</f>
        <v>16400</v>
      </c>
      <c r="E30" t="s">
        <v>39</v>
      </c>
    </row>
    <row r="31" spans="1:23" x14ac:dyDescent="0.2">
      <c r="A31" t="s">
        <v>62</v>
      </c>
      <c r="B31" s="11">
        <f>(101.29*((15.04-0.00649*B30+273.1)/288.08)^5.256)/(0.2869*(15.05-0.00649*B30+273.1))</f>
        <v>0.73764572762620395</v>
      </c>
      <c r="C31" t="s">
        <v>20</v>
      </c>
    </row>
    <row r="32" spans="1:23" x14ac:dyDescent="0.2">
      <c r="A32" t="s">
        <v>72</v>
      </c>
      <c r="B32" s="30">
        <v>1</v>
      </c>
      <c r="C32" t="s">
        <v>75</v>
      </c>
    </row>
    <row r="33" spans="1:21" x14ac:dyDescent="0.2">
      <c r="A33" t="s">
        <v>56</v>
      </c>
      <c r="B33" s="11">
        <f>SQRT(3*[1]airplane!$B$7/[1]airplane!$B$11)</f>
        <v>1.4529797876131454</v>
      </c>
    </row>
    <row r="34" spans="1:21" x14ac:dyDescent="0.2">
      <c r="Q34" s="5" t="s">
        <v>88</v>
      </c>
    </row>
    <row r="35" spans="1:21" x14ac:dyDescent="0.2">
      <c r="A35" s="5" t="s">
        <v>54</v>
      </c>
      <c r="I35" s="5" t="s">
        <v>82</v>
      </c>
      <c r="Q35">
        <v>40</v>
      </c>
      <c r="R35" s="2">
        <f>(Q35*2.2/9.8)/(3.28^2)</f>
        <v>0.83465867013075312</v>
      </c>
      <c r="S35" t="s">
        <v>89</v>
      </c>
    </row>
    <row r="36" spans="1:21" x14ac:dyDescent="0.2">
      <c r="A36" t="s">
        <v>54</v>
      </c>
      <c r="B36" s="3">
        <v>360</v>
      </c>
      <c r="C36" t="s">
        <v>59</v>
      </c>
      <c r="D36">
        <f>B36*3.28</f>
        <v>1180.8</v>
      </c>
      <c r="E36" t="s">
        <v>79</v>
      </c>
      <c r="I36" t="s">
        <v>44</v>
      </c>
      <c r="J36" s="3">
        <v>3000</v>
      </c>
      <c r="K36" t="s">
        <v>17</v>
      </c>
      <c r="Q36">
        <v>100</v>
      </c>
      <c r="R36" s="2">
        <f>(Q36*2.2/9.8)/(3.28^2)</f>
        <v>2.0866466753268833</v>
      </c>
      <c r="S36" t="s">
        <v>89</v>
      </c>
    </row>
    <row r="37" spans="1:21" x14ac:dyDescent="0.2">
      <c r="A37" t="s">
        <v>54</v>
      </c>
      <c r="B37" s="3">
        <f>B36/60</f>
        <v>6</v>
      </c>
      <c r="C37" t="s">
        <v>21</v>
      </c>
      <c r="I37" t="s">
        <v>94</v>
      </c>
      <c r="J37" s="3">
        <v>1.5</v>
      </c>
      <c r="K37" t="s">
        <v>84</v>
      </c>
    </row>
    <row r="38" spans="1:21" ht="16" thickBot="1" x14ac:dyDescent="0.25">
      <c r="A38" t="s">
        <v>44</v>
      </c>
      <c r="B38" s="11">
        <v>3000</v>
      </c>
      <c r="C38" t="s">
        <v>17</v>
      </c>
      <c r="I38" t="s">
        <v>83</v>
      </c>
      <c r="J38" s="19">
        <v>40</v>
      </c>
      <c r="K38" t="s">
        <v>55</v>
      </c>
      <c r="L38">
        <f>J38*3.28</f>
        <v>131.19999999999999</v>
      </c>
      <c r="M38" t="s">
        <v>78</v>
      </c>
      <c r="N38">
        <f>L38*3600/5280</f>
        <v>89.454545454545439</v>
      </c>
      <c r="O38" t="s">
        <v>87</v>
      </c>
      <c r="Q38">
        <v>0</v>
      </c>
      <c r="R38">
        <v>0</v>
      </c>
      <c r="S38" t="s">
        <v>90</v>
      </c>
    </row>
    <row r="39" spans="1:21" ht="16" thickBot="1" x14ac:dyDescent="0.25">
      <c r="A39" t="s">
        <v>51</v>
      </c>
      <c r="B39">
        <f>(101.29*((15.04-0.00649*B38+273.1)/288.08)^5.256)/(0.2869*(15.05-0.00649*B38+273.1))</f>
        <v>0.91070091137233777</v>
      </c>
      <c r="C39" t="s">
        <v>20</v>
      </c>
      <c r="Q39">
        <v>30</v>
      </c>
      <c r="R39">
        <f>Q39*2.2</f>
        <v>66</v>
      </c>
      <c r="S39" t="s">
        <v>90</v>
      </c>
    </row>
    <row r="40" spans="1:21" x14ac:dyDescent="0.2">
      <c r="A40" t="s">
        <v>72</v>
      </c>
      <c r="B40" s="3">
        <v>1</v>
      </c>
      <c r="C40" t="s">
        <v>75</v>
      </c>
      <c r="I40" t="s">
        <v>51</v>
      </c>
      <c r="J40" s="2">
        <f>(101.29*((15.04-0.00649*J36+273.1)/288.08)^5.256)/(0.2869*(15.05-0.00649*J36+273.1))</f>
        <v>0.91070091137233777</v>
      </c>
      <c r="K40" t="s">
        <v>20</v>
      </c>
      <c r="O40" s="14" t="s">
        <v>112</v>
      </c>
      <c r="P40" s="21"/>
      <c r="Q40" s="21"/>
      <c r="R40" s="21"/>
      <c r="S40" s="21"/>
      <c r="T40" s="21"/>
      <c r="U40" s="15"/>
    </row>
    <row r="41" spans="1:21" ht="16" thickBot="1" x14ac:dyDescent="0.25">
      <c r="A41" t="s">
        <v>56</v>
      </c>
      <c r="B41">
        <f>SQRT(3*[1]airplane!$B$7/[1]airplane!$B$11)</f>
        <v>1.4529797876131454</v>
      </c>
      <c r="C41" t="s">
        <v>57</v>
      </c>
      <c r="I41" t="s">
        <v>85</v>
      </c>
      <c r="J41" s="2">
        <f>0.5*J40*J38^2*J37</f>
        <v>1092.8410936468053</v>
      </c>
      <c r="K41" t="s">
        <v>86</v>
      </c>
      <c r="O41" s="16"/>
      <c r="P41" s="22"/>
      <c r="Q41" s="22"/>
      <c r="R41" s="22"/>
      <c r="S41" s="22"/>
      <c r="T41" s="22"/>
      <c r="U41" s="17"/>
    </row>
    <row r="42" spans="1:21" ht="16" thickBot="1" x14ac:dyDescent="0.25">
      <c r="A42" s="25" t="s">
        <v>114</v>
      </c>
      <c r="B42" s="27">
        <f>B38/B37</f>
        <v>500</v>
      </c>
      <c r="C42" s="26" t="s">
        <v>113</v>
      </c>
      <c r="O42" s="16"/>
      <c r="P42" s="24"/>
      <c r="Q42" s="22"/>
      <c r="R42" s="22"/>
      <c r="S42" s="20" t="s">
        <v>110</v>
      </c>
      <c r="T42" s="15" t="s">
        <v>111</v>
      </c>
      <c r="U42" s="17"/>
    </row>
    <row r="43" spans="1:21" ht="16" thickBot="1" x14ac:dyDescent="0.25">
      <c r="A43" s="5" t="s">
        <v>71</v>
      </c>
      <c r="I43" s="5" t="s">
        <v>91</v>
      </c>
      <c r="O43" s="16"/>
      <c r="P43" s="20" t="s">
        <v>107</v>
      </c>
      <c r="Q43" s="15" t="s">
        <v>108</v>
      </c>
      <c r="R43" s="22"/>
      <c r="S43" s="18">
        <v>121.92</v>
      </c>
      <c r="T43" s="19">
        <f>S43*3.28084</f>
        <v>400.00001279999998</v>
      </c>
      <c r="U43" s="17"/>
    </row>
    <row r="44" spans="1:21" ht="16" thickBot="1" x14ac:dyDescent="0.25">
      <c r="A44" t="s">
        <v>44</v>
      </c>
      <c r="B44" s="28">
        <v>3000</v>
      </c>
      <c r="C44" t="s">
        <v>17</v>
      </c>
      <c r="I44">
        <f>J41</f>
        <v>1092.8410936468053</v>
      </c>
      <c r="J44">
        <v>0</v>
      </c>
      <c r="O44" s="16"/>
      <c r="P44" s="18">
        <v>6.1</v>
      </c>
      <c r="Q44" s="19">
        <f>P44*2.23694</f>
        <v>13.645334</v>
      </c>
      <c r="R44" s="22"/>
      <c r="S44" s="22"/>
      <c r="T44" s="22"/>
      <c r="U44" s="17"/>
    </row>
    <row r="45" spans="1:21" ht="16" thickBot="1" x14ac:dyDescent="0.25">
      <c r="A45" t="s">
        <v>60</v>
      </c>
      <c r="B45" s="28">
        <v>40</v>
      </c>
      <c r="C45" t="s">
        <v>55</v>
      </c>
      <c r="D45">
        <f>B45*3.28</f>
        <v>131.19999999999999</v>
      </c>
      <c r="E45" t="s">
        <v>78</v>
      </c>
      <c r="F45" s="6">
        <f>D45*3600/5280</f>
        <v>89.454545454545439</v>
      </c>
      <c r="G45" t="s">
        <v>87</v>
      </c>
      <c r="I45">
        <f>J41</f>
        <v>1092.8410936468053</v>
      </c>
      <c r="J45">
        <v>800</v>
      </c>
      <c r="O45" s="16"/>
      <c r="P45" s="22"/>
      <c r="Q45" s="22"/>
      <c r="R45" s="22"/>
      <c r="S45" s="22"/>
      <c r="T45" s="22"/>
      <c r="U45" s="17"/>
    </row>
    <row r="46" spans="1:21" x14ac:dyDescent="0.2">
      <c r="A46" t="s">
        <v>61</v>
      </c>
      <c r="B46" s="28">
        <v>1.5</v>
      </c>
      <c r="D46" s="7">
        <f>DEGREES(ACOS(1/B46))</f>
        <v>48.189685104221404</v>
      </c>
      <c r="E46" s="5" t="s">
        <v>92</v>
      </c>
      <c r="O46" s="16"/>
      <c r="P46" s="20" t="s">
        <v>109</v>
      </c>
      <c r="Q46" s="15" t="s">
        <v>107</v>
      </c>
      <c r="R46" s="22"/>
      <c r="S46" s="22"/>
      <c r="T46" s="22"/>
      <c r="U46" s="17"/>
    </row>
    <row r="47" spans="1:21" ht="16" thickBot="1" x14ac:dyDescent="0.25">
      <c r="A47" t="s">
        <v>62</v>
      </c>
      <c r="B47">
        <f>(101.29*((15.04-0.00649*B44+273.1)/288.08)^5.256)/(0.2869*(15.05-0.00649*B44+273.1))</f>
        <v>0.91070091137233777</v>
      </c>
      <c r="C47" t="s">
        <v>20</v>
      </c>
      <c r="O47" s="16"/>
      <c r="P47" s="18">
        <v>22</v>
      </c>
      <c r="Q47" s="19">
        <f>P47*0.44704</f>
        <v>9.8348800000000001</v>
      </c>
      <c r="R47" s="22"/>
      <c r="S47" s="22"/>
      <c r="T47" s="22"/>
      <c r="U47" s="17"/>
    </row>
    <row r="48" spans="1:21" ht="16" thickBot="1" x14ac:dyDescent="0.25">
      <c r="A48" t="s">
        <v>72</v>
      </c>
      <c r="B48" s="31">
        <v>1</v>
      </c>
      <c r="C48" t="s">
        <v>75</v>
      </c>
      <c r="O48" s="18"/>
      <c r="P48" s="23"/>
      <c r="Q48" s="23"/>
      <c r="R48" s="23"/>
      <c r="S48" s="23"/>
      <c r="T48" s="23"/>
      <c r="U48" s="19"/>
    </row>
    <row r="49" spans="1:21" ht="16" thickBot="1" x14ac:dyDescent="0.25">
      <c r="A49" t="s">
        <v>63</v>
      </c>
      <c r="B49">
        <f>0.5*B48*airplane!B27*B45^2</f>
        <v>980.00000000000011</v>
      </c>
      <c r="C49" t="s">
        <v>64</v>
      </c>
      <c r="O49" s="18"/>
      <c r="P49" s="23"/>
      <c r="Q49" s="23"/>
      <c r="R49" s="23"/>
      <c r="S49" s="23"/>
      <c r="T49" s="23"/>
      <c r="U49" s="19"/>
    </row>
    <row r="50" spans="1:21" ht="16" thickBot="1" x14ac:dyDescent="0.25"/>
    <row r="51" spans="1:21" x14ac:dyDescent="0.2">
      <c r="A51" s="32" t="s">
        <v>115</v>
      </c>
      <c r="B51">
        <f>5884/1000</f>
        <v>5.8840000000000003</v>
      </c>
      <c r="C51" s="35" t="s">
        <v>117</v>
      </c>
    </row>
    <row r="52" spans="1:21" x14ac:dyDescent="0.2">
      <c r="A52" s="33" t="s">
        <v>116</v>
      </c>
      <c r="B52">
        <f>SQRT(B51*B6)</f>
        <v>5.5314374262030661</v>
      </c>
      <c r="C52" s="36" t="s">
        <v>118</v>
      </c>
    </row>
    <row r="53" spans="1:21" ht="16" thickBot="1" x14ac:dyDescent="0.25">
      <c r="A53" s="34" t="s">
        <v>121</v>
      </c>
      <c r="B53">
        <f>5884*40*0.00134102</f>
        <v>315.62246720000002</v>
      </c>
      <c r="C53" s="37" t="s">
        <v>120</v>
      </c>
    </row>
    <row r="54" spans="1:21" x14ac:dyDescent="0.2">
      <c r="C54" s="38" t="s">
        <v>120</v>
      </c>
    </row>
    <row r="56" spans="1:21" x14ac:dyDescent="0.2">
      <c r="B56" t="s">
        <v>122</v>
      </c>
      <c r="C56" s="38" t="s">
        <v>120</v>
      </c>
    </row>
    <row r="57" spans="1:21" x14ac:dyDescent="0.2">
      <c r="B57">
        <v>1</v>
      </c>
      <c r="C57">
        <v>1.3410200000000001E-3</v>
      </c>
    </row>
    <row r="59" spans="1:21" ht="16" thickBot="1" x14ac:dyDescent="0.25"/>
    <row r="60" spans="1:21" x14ac:dyDescent="0.2">
      <c r="A60" s="32" t="s">
        <v>115</v>
      </c>
      <c r="B60">
        <f>E61</f>
        <v>63.334852945350406</v>
      </c>
      <c r="D60" s="42" t="s">
        <v>131</v>
      </c>
      <c r="E60" s="41" t="s">
        <v>132</v>
      </c>
    </row>
    <row r="61" spans="1:21" ht="16" thickBot="1" x14ac:dyDescent="0.25">
      <c r="A61" s="33" t="s">
        <v>116</v>
      </c>
      <c r="B61">
        <f>E63</f>
        <v>18.147761165384068</v>
      </c>
      <c r="D61" s="40">
        <v>5.8840000000000003</v>
      </c>
      <c r="E61" s="39">
        <f>D61*3.28084^2</f>
        <v>63.334852945350406</v>
      </c>
    </row>
    <row r="62" spans="1:21" x14ac:dyDescent="0.2">
      <c r="D62" s="42" t="s">
        <v>126</v>
      </c>
      <c r="E62" s="41" t="s">
        <v>39</v>
      </c>
    </row>
    <row r="63" spans="1:21" ht="16" thickBot="1" x14ac:dyDescent="0.25">
      <c r="D63" s="40">
        <f>B52</f>
        <v>5.5314374262030661</v>
      </c>
      <c r="E63" s="39">
        <f>D63*3.28084</f>
        <v>18.147761165384068</v>
      </c>
    </row>
  </sheetData>
  <phoneticPr fontId="5" type="noConversion"/>
  <pageMargins left="0.7" right="0.7" top="0.75" bottom="0.75" header="0.3" footer="0.3"/>
  <pageSetup orientation="portrait" horizontalDpi="1200" verticalDpi="12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297"/>
  <sheetViews>
    <sheetView topLeftCell="A275" workbookViewId="0">
      <selection activeCell="J52" sqref="J52:O297"/>
    </sheetView>
  </sheetViews>
  <sheetFormatPr baseColWidth="10" defaultColWidth="8.83203125" defaultRowHeight="15" x14ac:dyDescent="0.2"/>
  <cols>
    <col min="1" max="1" width="22.1640625" customWidth="1"/>
    <col min="2" max="2" width="17.1640625" customWidth="1"/>
    <col min="10" max="10" width="14.5" customWidth="1"/>
    <col min="11" max="11" width="15.5" bestFit="1" customWidth="1"/>
    <col min="12" max="12" width="14.1640625" bestFit="1" customWidth="1"/>
  </cols>
  <sheetData>
    <row r="1" spans="1:15" x14ac:dyDescent="0.2">
      <c r="J1" t="s">
        <v>23</v>
      </c>
      <c r="K1" t="s">
        <v>73</v>
      </c>
      <c r="L1" t="s">
        <v>48</v>
      </c>
      <c r="N1" t="s">
        <v>23</v>
      </c>
      <c r="O1" t="s">
        <v>25</v>
      </c>
    </row>
    <row r="2" spans="1:15" x14ac:dyDescent="0.2">
      <c r="J2" t="s">
        <v>16</v>
      </c>
      <c r="L2" t="s">
        <v>52</v>
      </c>
      <c r="N2" t="s">
        <v>66</v>
      </c>
      <c r="O2" t="s">
        <v>65</v>
      </c>
    </row>
    <row r="3" spans="1:15" x14ac:dyDescent="0.2">
      <c r="J3">
        <v>0</v>
      </c>
      <c r="K3" t="e">
        <f>1.2*SQRT(2*J3/(airplane!$B$25*airplane!$B$22))</f>
        <v>#DIV/0!</v>
      </c>
      <c r="L3" t="e">
        <f>1/2*K3^3/(airplane!$B$23*airplane!$B$9*airplane!$B$10*airplane!$B$4)</f>
        <v>#DIV/0!</v>
      </c>
      <c r="N3">
        <f>J3*0.3342</f>
        <v>0</v>
      </c>
      <c r="O3" t="e">
        <f>L3*4.448</f>
        <v>#DIV/0!</v>
      </c>
    </row>
    <row r="4" spans="1:15" x14ac:dyDescent="0.2">
      <c r="J4">
        <f>J3+5</f>
        <v>5</v>
      </c>
      <c r="K4" t="e">
        <f>1.2*SQRT(2*J4/(airplane!$B$25*airplane!$B$22))</f>
        <v>#DIV/0!</v>
      </c>
      <c r="L4" t="e">
        <f>1/2*K4^3/(airplane!$B$23*airplane!$B$9*airplane!$B$10*airplane!$B$4)</f>
        <v>#DIV/0!</v>
      </c>
      <c r="N4">
        <f t="shared" ref="N4:N38" si="0">J4*0.3342</f>
        <v>1.671</v>
      </c>
      <c r="O4" t="e">
        <f t="shared" ref="O4:O38" si="1">L4*4.448</f>
        <v>#DIV/0!</v>
      </c>
    </row>
    <row r="5" spans="1:15" x14ac:dyDescent="0.2">
      <c r="J5">
        <f t="shared" ref="J5:J68" si="2">J4+5</f>
        <v>10</v>
      </c>
      <c r="K5" t="e">
        <f>1.2*SQRT(2*J5/(airplane!$B$25*airplane!$B$22))</f>
        <v>#DIV/0!</v>
      </c>
      <c r="L5" t="e">
        <f>1/2*K5^3/(airplane!$B$23*airplane!$B$9*airplane!$B$10*airplane!$B$4)</f>
        <v>#DIV/0!</v>
      </c>
      <c r="N5">
        <f t="shared" si="0"/>
        <v>3.3420000000000001</v>
      </c>
      <c r="O5" t="e">
        <f t="shared" si="1"/>
        <v>#DIV/0!</v>
      </c>
    </row>
    <row r="6" spans="1:15" x14ac:dyDescent="0.2">
      <c r="A6">
        <v>26</v>
      </c>
      <c r="B6" t="s">
        <v>69</v>
      </c>
      <c r="J6">
        <f t="shared" si="2"/>
        <v>15</v>
      </c>
      <c r="K6" t="e">
        <f>1.2*SQRT(2*J6/(airplane!$B$25*airplane!$B$22))</f>
        <v>#DIV/0!</v>
      </c>
      <c r="L6" t="e">
        <f>1/2*K6^3/(airplane!$B$23*airplane!$B$9*airplane!$B$10*airplane!$B$4)</f>
        <v>#DIV/0!</v>
      </c>
      <c r="N6">
        <f t="shared" si="0"/>
        <v>5.0129999999999999</v>
      </c>
      <c r="O6" t="e">
        <f t="shared" si="1"/>
        <v>#DIV/0!</v>
      </c>
    </row>
    <row r="7" spans="1:15" x14ac:dyDescent="0.2">
      <c r="A7">
        <v>27</v>
      </c>
      <c r="B7" t="s">
        <v>53</v>
      </c>
      <c r="C7">
        <v>100</v>
      </c>
      <c r="J7">
        <f t="shared" si="2"/>
        <v>20</v>
      </c>
      <c r="K7" t="e">
        <f>1.2*SQRT(2*J7/(airplane!$B$25*airplane!$B$22))</f>
        <v>#DIV/0!</v>
      </c>
      <c r="L7" t="e">
        <f>1/2*K7^3/(airplane!$B$23*airplane!$B$9*airplane!$B$10*airplane!$B$4)</f>
        <v>#DIV/0!</v>
      </c>
      <c r="N7">
        <f t="shared" si="0"/>
        <v>6.6840000000000002</v>
      </c>
      <c r="O7" t="e">
        <f t="shared" si="1"/>
        <v>#DIV/0!</v>
      </c>
    </row>
    <row r="8" spans="1:15" x14ac:dyDescent="0.2">
      <c r="A8">
        <v>28</v>
      </c>
      <c r="B8" t="s">
        <v>45</v>
      </c>
      <c r="C8">
        <v>1.2</v>
      </c>
      <c r="D8" t="s">
        <v>50</v>
      </c>
      <c r="J8">
        <f t="shared" si="2"/>
        <v>25</v>
      </c>
      <c r="K8" t="e">
        <f>1.2*SQRT(2*J8/(airplane!$B$25*airplane!$B$22))</f>
        <v>#DIV/0!</v>
      </c>
      <c r="L8" t="e">
        <f>1/2*K8^3/(airplane!$B$23*airplane!$B$9*airplane!$B$10*airplane!$B$4)</f>
        <v>#DIV/0!</v>
      </c>
      <c r="N8">
        <f t="shared" si="0"/>
        <v>8.3550000000000004</v>
      </c>
      <c r="O8" t="e">
        <f t="shared" si="1"/>
        <v>#DIV/0!</v>
      </c>
    </row>
    <row r="9" spans="1:15" x14ac:dyDescent="0.2">
      <c r="A9">
        <v>29</v>
      </c>
      <c r="B9" t="s">
        <v>46</v>
      </c>
      <c r="C9">
        <v>10</v>
      </c>
      <c r="D9" t="s">
        <v>17</v>
      </c>
      <c r="J9">
        <f t="shared" si="2"/>
        <v>30</v>
      </c>
      <c r="K9" t="e">
        <f>1.2*SQRT(2*J9/(airplane!$B$25*airplane!$B$22))</f>
        <v>#DIV/0!</v>
      </c>
      <c r="L9" t="e">
        <f>1/2*K9^3/(airplane!$B$23*airplane!$B$9*airplane!$B$10*airplane!$B$4)</f>
        <v>#DIV/0!</v>
      </c>
      <c r="N9">
        <f t="shared" si="0"/>
        <v>10.026</v>
      </c>
      <c r="O9" t="e">
        <f t="shared" si="1"/>
        <v>#DIV/0!</v>
      </c>
    </row>
    <row r="10" spans="1:15" x14ac:dyDescent="0.2">
      <c r="A10">
        <v>30</v>
      </c>
      <c r="B10" t="s">
        <v>47</v>
      </c>
      <c r="C10">
        <v>0</v>
      </c>
      <c r="J10">
        <f t="shared" si="2"/>
        <v>35</v>
      </c>
      <c r="K10" t="e">
        <f>1.2*SQRT(2*J10/(airplane!$B$25*airplane!$B$22))</f>
        <v>#DIV/0!</v>
      </c>
      <c r="L10" t="e">
        <f>1/2*K10^3/(airplane!$B$23*airplane!$B$9*airplane!$B$10*airplane!$B$4)</f>
        <v>#DIV/0!</v>
      </c>
      <c r="N10">
        <f t="shared" si="0"/>
        <v>11.696999999999999</v>
      </c>
      <c r="O10" t="e">
        <f t="shared" si="1"/>
        <v>#DIV/0!</v>
      </c>
    </row>
    <row r="11" spans="1:15" x14ac:dyDescent="0.2">
      <c r="A11">
        <v>31</v>
      </c>
      <c r="B11" t="s">
        <v>51</v>
      </c>
      <c r="C11">
        <v>1.2148561096737009</v>
      </c>
      <c r="D11" t="s">
        <v>20</v>
      </c>
      <c r="J11">
        <f t="shared" si="2"/>
        <v>40</v>
      </c>
      <c r="K11" t="e">
        <f>1.2*SQRT(2*J11/(airplane!$B$25*airplane!$B$22))</f>
        <v>#DIV/0!</v>
      </c>
      <c r="L11" t="e">
        <f>1/2*K11^3/(airplane!$B$23*airplane!$B$9*airplane!$B$10*airplane!$B$4)</f>
        <v>#DIV/0!</v>
      </c>
      <c r="N11">
        <f t="shared" si="0"/>
        <v>13.368</v>
      </c>
      <c r="O11" t="e">
        <f t="shared" si="1"/>
        <v>#DIV/0!</v>
      </c>
    </row>
    <row r="12" spans="1:15" x14ac:dyDescent="0.2">
      <c r="A12">
        <v>32</v>
      </c>
      <c r="B12" t="s">
        <v>72</v>
      </c>
      <c r="C12">
        <v>1.2250000000000001</v>
      </c>
      <c r="D12" t="s">
        <v>20</v>
      </c>
      <c r="J12">
        <f t="shared" si="2"/>
        <v>45</v>
      </c>
      <c r="K12" t="e">
        <f>1.2*SQRT(2*J12/(airplane!$B$25*airplane!$B$22))</f>
        <v>#DIV/0!</v>
      </c>
      <c r="L12" t="e">
        <f>1/2*K12^3/(airplane!$B$23*airplane!$B$9*airplane!$B$10*airplane!$B$4)</f>
        <v>#DIV/0!</v>
      </c>
      <c r="N12">
        <f t="shared" si="0"/>
        <v>15.039</v>
      </c>
      <c r="O12" t="e">
        <f t="shared" si="1"/>
        <v>#DIV/0!</v>
      </c>
    </row>
    <row r="13" spans="1:15" x14ac:dyDescent="0.2">
      <c r="A13">
        <v>33</v>
      </c>
      <c r="B13" t="s">
        <v>49</v>
      </c>
      <c r="C13">
        <v>1.2250000000000001</v>
      </c>
      <c r="J13">
        <f t="shared" si="2"/>
        <v>50</v>
      </c>
      <c r="K13" t="e">
        <f>1.2*SQRT(2*J13/(airplane!$B$25*airplane!$B$22))</f>
        <v>#DIV/0!</v>
      </c>
      <c r="L13" t="e">
        <f>1/2*K13^3/(airplane!$B$23*airplane!$B$9*airplane!$B$10*airplane!$B$4)</f>
        <v>#DIV/0!</v>
      </c>
      <c r="N13">
        <f t="shared" si="0"/>
        <v>16.71</v>
      </c>
      <c r="O13" t="e">
        <f t="shared" si="1"/>
        <v>#DIV/0!</v>
      </c>
    </row>
    <row r="14" spans="1:15" x14ac:dyDescent="0.2">
      <c r="J14">
        <f t="shared" si="2"/>
        <v>55</v>
      </c>
      <c r="K14" t="e">
        <f>1.2*SQRT(2*J14/(airplane!$B$25*airplane!$B$22))</f>
        <v>#DIV/0!</v>
      </c>
      <c r="L14" t="e">
        <f>1/2*K14^3/(airplane!$B$23*airplane!$B$9*airplane!$B$10*airplane!$B$4)</f>
        <v>#DIV/0!</v>
      </c>
      <c r="N14">
        <f t="shared" si="0"/>
        <v>18.381</v>
      </c>
      <c r="O14" t="e">
        <f t="shared" si="1"/>
        <v>#DIV/0!</v>
      </c>
    </row>
    <row r="15" spans="1:15" x14ac:dyDescent="0.2">
      <c r="J15">
        <f t="shared" si="2"/>
        <v>60</v>
      </c>
      <c r="K15" t="e">
        <f>1.2*SQRT(2*J15/(airplane!$B$25*airplane!$B$22))</f>
        <v>#DIV/0!</v>
      </c>
      <c r="L15" t="e">
        <f>1/2*K15^3/(airplane!$B$23*airplane!$B$9*airplane!$B$10*airplane!$B$4)</f>
        <v>#DIV/0!</v>
      </c>
      <c r="N15">
        <f t="shared" si="0"/>
        <v>20.052</v>
      </c>
      <c r="O15" t="e">
        <f t="shared" si="1"/>
        <v>#DIV/0!</v>
      </c>
    </row>
    <row r="16" spans="1:15" x14ac:dyDescent="0.2">
      <c r="J16">
        <f t="shared" si="2"/>
        <v>65</v>
      </c>
      <c r="K16" t="e">
        <f>1.2*SQRT(2*J16/(airplane!$B$25*airplane!$B$22))</f>
        <v>#DIV/0!</v>
      </c>
      <c r="L16" t="e">
        <f>1/2*K16^3/(airplane!$B$23*airplane!$B$9*airplane!$B$10*airplane!$B$4)</f>
        <v>#DIV/0!</v>
      </c>
      <c r="N16">
        <f t="shared" si="0"/>
        <v>21.722999999999999</v>
      </c>
      <c r="O16" t="e">
        <f t="shared" si="1"/>
        <v>#DIV/0!</v>
      </c>
    </row>
    <row r="17" spans="1:15" x14ac:dyDescent="0.2">
      <c r="A17" t="s">
        <v>41</v>
      </c>
      <c r="J17">
        <f t="shared" si="2"/>
        <v>70</v>
      </c>
      <c r="K17" t="e">
        <f>1.2*SQRT(2*J17/(airplane!$B$25*airplane!$B$22))</f>
        <v>#DIV/0!</v>
      </c>
      <c r="L17" t="e">
        <f>1/2*K17^3/(airplane!$B$23*airplane!$B$9*airplane!$B$10*airplane!$B$4)</f>
        <v>#DIV/0!</v>
      </c>
      <c r="N17">
        <f t="shared" si="0"/>
        <v>23.393999999999998</v>
      </c>
      <c r="O17" t="e">
        <f t="shared" si="1"/>
        <v>#DIV/0!</v>
      </c>
    </row>
    <row r="18" spans="1:15" x14ac:dyDescent="0.2">
      <c r="J18">
        <f t="shared" si="2"/>
        <v>75</v>
      </c>
      <c r="K18" t="e">
        <f>1.2*SQRT(2*J18/(airplane!$B$25*airplane!$B$22))</f>
        <v>#DIV/0!</v>
      </c>
      <c r="L18" t="e">
        <f>1/2*K18^3/(airplane!$B$23*airplane!$B$9*airplane!$B$10*airplane!$B$4)</f>
        <v>#DIV/0!</v>
      </c>
      <c r="N18">
        <f t="shared" si="0"/>
        <v>25.065000000000001</v>
      </c>
      <c r="O18" t="e">
        <f t="shared" si="1"/>
        <v>#DIV/0!</v>
      </c>
    </row>
    <row r="19" spans="1:15" x14ac:dyDescent="0.2">
      <c r="A19" t="s">
        <v>42</v>
      </c>
      <c r="J19">
        <f t="shared" si="2"/>
        <v>80</v>
      </c>
      <c r="K19" t="e">
        <f>1.2*SQRT(2*J19/(airplane!$B$25*airplane!$B$22))</f>
        <v>#DIV/0!</v>
      </c>
      <c r="L19" t="e">
        <f>1/2*K19^3/(airplane!$B$23*airplane!$B$9*airplane!$B$10*airplane!$B$4)</f>
        <v>#DIV/0!</v>
      </c>
      <c r="N19">
        <f t="shared" si="0"/>
        <v>26.736000000000001</v>
      </c>
      <c r="O19" t="e">
        <f t="shared" si="1"/>
        <v>#DIV/0!</v>
      </c>
    </row>
    <row r="20" spans="1:15" x14ac:dyDescent="0.2">
      <c r="A20" t="s">
        <v>43</v>
      </c>
      <c r="J20">
        <f t="shared" si="2"/>
        <v>85</v>
      </c>
      <c r="K20" t="e">
        <f>1.2*SQRT(2*J20/(airplane!$B$25*airplane!$B$22))</f>
        <v>#DIV/0!</v>
      </c>
      <c r="L20" t="e">
        <f>1/2*K20^3/(airplane!$B$23*airplane!$B$9*airplane!$B$10*airplane!$B$4)</f>
        <v>#DIV/0!</v>
      </c>
      <c r="N20">
        <f t="shared" si="0"/>
        <v>28.407</v>
      </c>
      <c r="O20" t="e">
        <f t="shared" si="1"/>
        <v>#DIV/0!</v>
      </c>
    </row>
    <row r="21" spans="1:15" x14ac:dyDescent="0.2">
      <c r="J21">
        <f t="shared" si="2"/>
        <v>90</v>
      </c>
      <c r="K21" t="e">
        <f>1.2*SQRT(2*J21/(airplane!$B$25*airplane!$B$22))</f>
        <v>#DIV/0!</v>
      </c>
      <c r="L21" t="e">
        <f>1/2*K21^3/(airplane!$B$23*airplane!$B$9*airplane!$B$10*airplane!$B$4)</f>
        <v>#DIV/0!</v>
      </c>
      <c r="N21">
        <f t="shared" si="0"/>
        <v>30.077999999999999</v>
      </c>
      <c r="O21" t="e">
        <f t="shared" si="1"/>
        <v>#DIV/0!</v>
      </c>
    </row>
    <row r="22" spans="1:15" x14ac:dyDescent="0.2">
      <c r="J22">
        <f t="shared" si="2"/>
        <v>95</v>
      </c>
      <c r="K22" t="e">
        <f>1.2*SQRT(2*J22/(airplane!$B$25*airplane!$B$22))</f>
        <v>#DIV/0!</v>
      </c>
      <c r="L22" t="e">
        <f>1/2*K22^3/(airplane!$B$23*airplane!$B$9*airplane!$B$10*airplane!$B$4)</f>
        <v>#DIV/0!</v>
      </c>
      <c r="N22">
        <f t="shared" si="0"/>
        <v>31.748999999999999</v>
      </c>
      <c r="O22" t="e">
        <f t="shared" si="1"/>
        <v>#DIV/0!</v>
      </c>
    </row>
    <row r="23" spans="1:15" x14ac:dyDescent="0.2">
      <c r="J23">
        <f t="shared" si="2"/>
        <v>100</v>
      </c>
      <c r="K23" t="e">
        <f>1.2*SQRT(2*J23/(airplane!$B$25*airplane!$B$22))</f>
        <v>#DIV/0!</v>
      </c>
      <c r="L23" t="e">
        <f>1/2*K23^3/(airplane!$B$23*airplane!$B$9*airplane!$B$10*airplane!$B$4)</f>
        <v>#DIV/0!</v>
      </c>
      <c r="N23">
        <f t="shared" si="0"/>
        <v>33.42</v>
      </c>
      <c r="O23" t="e">
        <f t="shared" si="1"/>
        <v>#DIV/0!</v>
      </c>
    </row>
    <row r="24" spans="1:15" x14ac:dyDescent="0.2">
      <c r="J24">
        <f t="shared" si="2"/>
        <v>105</v>
      </c>
      <c r="K24" t="e">
        <f>1.2*SQRT(2*J24/(airplane!$B$25*airplane!$B$22))</f>
        <v>#DIV/0!</v>
      </c>
      <c r="L24" t="e">
        <f>1/2*K24^3/(airplane!$B$23*airplane!$B$9*airplane!$B$10*airplane!$B$4)</f>
        <v>#DIV/0!</v>
      </c>
      <c r="N24">
        <f t="shared" si="0"/>
        <v>35.091000000000001</v>
      </c>
      <c r="O24" t="e">
        <f t="shared" si="1"/>
        <v>#DIV/0!</v>
      </c>
    </row>
    <row r="25" spans="1:15" x14ac:dyDescent="0.2">
      <c r="J25">
        <f t="shared" si="2"/>
        <v>110</v>
      </c>
      <c r="K25" t="e">
        <f>1.2*SQRT(2*J25/(airplane!$B$25*airplane!$B$22))</f>
        <v>#DIV/0!</v>
      </c>
      <c r="L25" t="e">
        <f>1/2*K25^3/(airplane!$B$23*airplane!$B$9*airplane!$B$10*airplane!$B$4)</f>
        <v>#DIV/0!</v>
      </c>
      <c r="N25">
        <f t="shared" si="0"/>
        <v>36.762</v>
      </c>
      <c r="O25" t="e">
        <f t="shared" si="1"/>
        <v>#DIV/0!</v>
      </c>
    </row>
    <row r="26" spans="1:15" x14ac:dyDescent="0.2">
      <c r="J26">
        <f t="shared" si="2"/>
        <v>115</v>
      </c>
      <c r="K26" t="e">
        <f>1.2*SQRT(2*J26/(airplane!$B$25*airplane!$B$22))</f>
        <v>#DIV/0!</v>
      </c>
      <c r="L26" t="e">
        <f>1/2*K26^3/(airplane!$B$23*airplane!$B$9*airplane!$B$10*airplane!$B$4)</f>
        <v>#DIV/0!</v>
      </c>
      <c r="N26">
        <f t="shared" si="0"/>
        <v>38.433</v>
      </c>
      <c r="O26" t="e">
        <f t="shared" si="1"/>
        <v>#DIV/0!</v>
      </c>
    </row>
    <row r="27" spans="1:15" x14ac:dyDescent="0.2">
      <c r="J27">
        <f t="shared" si="2"/>
        <v>120</v>
      </c>
      <c r="K27" t="e">
        <f>1.2*SQRT(2*J27/(airplane!$B$25*airplane!$B$22))</f>
        <v>#DIV/0!</v>
      </c>
      <c r="L27" t="e">
        <f>1/2*K27^3/(airplane!$B$23*airplane!$B$9*airplane!$B$10*airplane!$B$4)</f>
        <v>#DIV/0!</v>
      </c>
      <c r="N27">
        <f t="shared" si="0"/>
        <v>40.103999999999999</v>
      </c>
      <c r="O27" t="e">
        <f t="shared" si="1"/>
        <v>#DIV/0!</v>
      </c>
    </row>
    <row r="28" spans="1:15" x14ac:dyDescent="0.2">
      <c r="J28">
        <f t="shared" si="2"/>
        <v>125</v>
      </c>
      <c r="K28" t="e">
        <f>1.2*SQRT(2*J28/(airplane!$B$25*airplane!$B$22))</f>
        <v>#DIV/0!</v>
      </c>
      <c r="L28" t="e">
        <f>1/2*K28^3/(airplane!$B$23*airplane!$B$9*airplane!$B$10*airplane!$B$4)</f>
        <v>#DIV/0!</v>
      </c>
      <c r="N28">
        <f t="shared" si="0"/>
        <v>41.774999999999999</v>
      </c>
      <c r="O28" t="e">
        <f t="shared" si="1"/>
        <v>#DIV/0!</v>
      </c>
    </row>
    <row r="29" spans="1:15" x14ac:dyDescent="0.2">
      <c r="J29">
        <f t="shared" si="2"/>
        <v>130</v>
      </c>
      <c r="K29" t="e">
        <f>1.2*SQRT(2*J29/(airplane!$B$25*airplane!$B$22))</f>
        <v>#DIV/0!</v>
      </c>
      <c r="L29" t="e">
        <f>1/2*K29^3/(airplane!$B$23*airplane!$B$9*airplane!$B$10*airplane!$B$4)</f>
        <v>#DIV/0!</v>
      </c>
      <c r="N29">
        <f t="shared" si="0"/>
        <v>43.445999999999998</v>
      </c>
      <c r="O29" t="e">
        <f t="shared" si="1"/>
        <v>#DIV/0!</v>
      </c>
    </row>
    <row r="30" spans="1:15" x14ac:dyDescent="0.2">
      <c r="J30">
        <f t="shared" si="2"/>
        <v>135</v>
      </c>
      <c r="K30" t="e">
        <f>1.2*SQRT(2*J30/(airplane!$B$25*airplane!$B$22))</f>
        <v>#DIV/0!</v>
      </c>
      <c r="L30" t="e">
        <f>1/2*K30^3/(airplane!$B$23*airplane!$B$9*airplane!$B$10*airplane!$B$4)</f>
        <v>#DIV/0!</v>
      </c>
      <c r="N30">
        <f t="shared" si="0"/>
        <v>45.116999999999997</v>
      </c>
      <c r="O30" t="e">
        <f t="shared" si="1"/>
        <v>#DIV/0!</v>
      </c>
    </row>
    <row r="31" spans="1:15" x14ac:dyDescent="0.2">
      <c r="J31">
        <f>J30+5</f>
        <v>140</v>
      </c>
      <c r="K31" t="e">
        <f>1.2*SQRT(2*J31/(airplane!$B$25*airplane!$B$22))</f>
        <v>#DIV/0!</v>
      </c>
      <c r="L31" t="e">
        <f>1/2*K31^3/(airplane!$B$23*airplane!$B$9*airplane!$B$10*airplane!$B$4)</f>
        <v>#DIV/0!</v>
      </c>
      <c r="N31">
        <f t="shared" si="0"/>
        <v>46.787999999999997</v>
      </c>
      <c r="O31" t="e">
        <f t="shared" si="1"/>
        <v>#DIV/0!</v>
      </c>
    </row>
    <row r="32" spans="1:15" x14ac:dyDescent="0.2">
      <c r="J32">
        <f t="shared" si="2"/>
        <v>145</v>
      </c>
      <c r="K32" t="e">
        <f>1.2*SQRT(2*J32/(airplane!$B$25*airplane!$B$22))</f>
        <v>#DIV/0!</v>
      </c>
      <c r="L32" t="e">
        <f>1/2*K32^3/(airplane!$B$23*airplane!$B$9*airplane!$B$10*airplane!$B$4)</f>
        <v>#DIV/0!</v>
      </c>
      <c r="N32">
        <f t="shared" si="0"/>
        <v>48.458999999999996</v>
      </c>
      <c r="O32" t="e">
        <f t="shared" si="1"/>
        <v>#DIV/0!</v>
      </c>
    </row>
    <row r="33" spans="1:15" x14ac:dyDescent="0.2">
      <c r="J33">
        <f t="shared" si="2"/>
        <v>150</v>
      </c>
      <c r="K33" t="e">
        <f>1.2*SQRT(2*J33/(airplane!$B$25*airplane!$B$22))</f>
        <v>#DIV/0!</v>
      </c>
      <c r="L33" t="e">
        <f>1/2*K33^3/(airplane!$B$23*airplane!$B$9*airplane!$B$10*airplane!$B$4)</f>
        <v>#DIV/0!</v>
      </c>
      <c r="N33">
        <f t="shared" si="0"/>
        <v>50.13</v>
      </c>
      <c r="O33" t="e">
        <f t="shared" si="1"/>
        <v>#DIV/0!</v>
      </c>
    </row>
    <row r="34" spans="1:15" x14ac:dyDescent="0.2">
      <c r="J34">
        <f t="shared" si="2"/>
        <v>155</v>
      </c>
      <c r="K34" t="e">
        <f>1.2*SQRT(2*J34/(airplane!$B$25*airplane!$B$22))</f>
        <v>#DIV/0!</v>
      </c>
      <c r="L34" t="e">
        <f>1/2*K34^3/(airplane!$B$23*airplane!$B$9*airplane!$B$10*airplane!$B$4)</f>
        <v>#DIV/0!</v>
      </c>
      <c r="N34">
        <f t="shared" si="0"/>
        <v>51.801000000000002</v>
      </c>
      <c r="O34" t="e">
        <f t="shared" si="1"/>
        <v>#DIV/0!</v>
      </c>
    </row>
    <row r="35" spans="1:15" x14ac:dyDescent="0.2">
      <c r="B35" t="s">
        <v>77</v>
      </c>
      <c r="J35">
        <f t="shared" si="2"/>
        <v>160</v>
      </c>
      <c r="K35" t="e">
        <f>1.2*SQRT(2*J35/(airplane!$B$25*airplane!$B$22))</f>
        <v>#DIV/0!</v>
      </c>
      <c r="L35" t="e">
        <f>1/2*K35^3/(airplane!$B$23*airplane!$B$9*airplane!$B$10*airplane!$B$4)</f>
        <v>#DIV/0!</v>
      </c>
      <c r="N35">
        <f t="shared" si="0"/>
        <v>53.472000000000001</v>
      </c>
      <c r="O35" t="e">
        <f t="shared" si="1"/>
        <v>#DIV/0!</v>
      </c>
    </row>
    <row r="36" spans="1:15" x14ac:dyDescent="0.2">
      <c r="J36">
        <f t="shared" si="2"/>
        <v>165</v>
      </c>
      <c r="K36" t="e">
        <f>1.2*SQRT(2*J36/(airplane!$B$25*airplane!$B$22))</f>
        <v>#DIV/0!</v>
      </c>
      <c r="L36" t="e">
        <f>1/2*K36^3/(airplane!$B$23*airplane!$B$9*airplane!$B$10*airplane!$B$4)</f>
        <v>#DIV/0!</v>
      </c>
      <c r="N36">
        <f t="shared" si="0"/>
        <v>55.143000000000001</v>
      </c>
      <c r="O36" t="e">
        <f t="shared" si="1"/>
        <v>#DIV/0!</v>
      </c>
    </row>
    <row r="37" spans="1:15" x14ac:dyDescent="0.2">
      <c r="J37">
        <f t="shared" si="2"/>
        <v>170</v>
      </c>
      <c r="K37" t="e">
        <f>1.2*SQRT(2*J37/(airplane!$B$25*airplane!$B$22))</f>
        <v>#DIV/0!</v>
      </c>
      <c r="L37" t="e">
        <f>1/2*K37^3/(airplane!$B$23*airplane!$B$9*airplane!$B$10*airplane!$B$4)</f>
        <v>#DIV/0!</v>
      </c>
      <c r="N37">
        <f t="shared" si="0"/>
        <v>56.814</v>
      </c>
      <c r="O37" t="e">
        <f t="shared" si="1"/>
        <v>#DIV/0!</v>
      </c>
    </row>
    <row r="38" spans="1:15" x14ac:dyDescent="0.2">
      <c r="J38">
        <f t="shared" si="2"/>
        <v>175</v>
      </c>
      <c r="K38" t="e">
        <f>1.2*SQRT(2*J38/(airplane!$B$25*airplane!$B$22))</f>
        <v>#DIV/0!</v>
      </c>
      <c r="L38" t="e">
        <f>1/2*K38^3/(airplane!$B$23*airplane!$B$9*airplane!$B$10*airplane!$B$4)</f>
        <v>#DIV/0!</v>
      </c>
      <c r="N38">
        <f t="shared" si="0"/>
        <v>58.484999999999999</v>
      </c>
      <c r="O38" t="e">
        <f t="shared" si="1"/>
        <v>#DIV/0!</v>
      </c>
    </row>
    <row r="39" spans="1:15" x14ac:dyDescent="0.2">
      <c r="J39">
        <f t="shared" si="2"/>
        <v>180</v>
      </c>
      <c r="K39" t="e">
        <f>1.2*SQRT(2*J39/(airplane!$B$25*airplane!$B$22))</f>
        <v>#DIV/0!</v>
      </c>
      <c r="L39" t="e">
        <f>1/2*K39^3/(airplane!$B$23*airplane!$B$9*airplane!$B$10*airplane!$B$4)</f>
        <v>#DIV/0!</v>
      </c>
      <c r="N39">
        <f>J39*0.3342</f>
        <v>60.155999999999999</v>
      </c>
      <c r="O39" t="e">
        <f>L39*4.448</f>
        <v>#DIV/0!</v>
      </c>
    </row>
    <row r="40" spans="1:15" x14ac:dyDescent="0.2">
      <c r="A40" t="s">
        <v>40</v>
      </c>
      <c r="J40">
        <f t="shared" si="2"/>
        <v>185</v>
      </c>
      <c r="K40" t="e">
        <f>1.2*SQRT(2*J40/(airplane!$B$25*airplane!$B$22))</f>
        <v>#DIV/0!</v>
      </c>
      <c r="L40" t="e">
        <f>1/2*K40^3/(airplane!$B$23*airplane!$B$9*airplane!$B$10*airplane!$B$4)</f>
        <v>#DIV/0!</v>
      </c>
      <c r="N40">
        <f t="shared" ref="N40:N53" si="3">J40*0.3342</f>
        <v>61.826999999999998</v>
      </c>
      <c r="O40" t="e">
        <f t="shared" ref="O40:O53" si="4">L40*4.448</f>
        <v>#DIV/0!</v>
      </c>
    </row>
    <row r="41" spans="1:15" x14ac:dyDescent="0.2">
      <c r="J41">
        <f t="shared" si="2"/>
        <v>190</v>
      </c>
      <c r="K41" t="e">
        <f>1.2*SQRT(2*J41/(airplane!$B$25*airplane!$B$22))</f>
        <v>#DIV/0!</v>
      </c>
      <c r="L41" t="e">
        <f>1/2*K41^3/(airplane!$B$23*airplane!$B$9*airplane!$B$10*airplane!$B$4)</f>
        <v>#DIV/0!</v>
      </c>
      <c r="N41">
        <f t="shared" si="3"/>
        <v>63.497999999999998</v>
      </c>
      <c r="O41" t="e">
        <f t="shared" si="4"/>
        <v>#DIV/0!</v>
      </c>
    </row>
    <row r="42" spans="1:15" x14ac:dyDescent="0.2">
      <c r="J42">
        <f t="shared" si="2"/>
        <v>195</v>
      </c>
      <c r="K42" t="e">
        <f>1.2*SQRT(2*J42/(airplane!$B$25*airplane!$B$22))</f>
        <v>#DIV/0!</v>
      </c>
      <c r="L42" t="e">
        <f>1/2*K42^3/(airplane!$B$23*airplane!$B$9*airplane!$B$10*airplane!$B$4)</f>
        <v>#DIV/0!</v>
      </c>
      <c r="N42">
        <f t="shared" si="3"/>
        <v>65.168999999999997</v>
      </c>
      <c r="O42" t="e">
        <f t="shared" si="4"/>
        <v>#DIV/0!</v>
      </c>
    </row>
    <row r="43" spans="1:15" x14ac:dyDescent="0.2">
      <c r="D43" t="s">
        <v>74</v>
      </c>
      <c r="J43">
        <f t="shared" si="2"/>
        <v>200</v>
      </c>
      <c r="K43" t="e">
        <f>1.2*SQRT(2*J43/(airplane!$B$25*airplane!$B$22))</f>
        <v>#DIV/0!</v>
      </c>
      <c r="L43" t="e">
        <f>1/2*K43^3/(airplane!$B$23*airplane!$B$9*airplane!$B$10*airplane!$B$4)</f>
        <v>#DIV/0!</v>
      </c>
      <c r="N43">
        <f t="shared" si="3"/>
        <v>66.84</v>
      </c>
      <c r="O43" t="e">
        <f t="shared" si="4"/>
        <v>#DIV/0!</v>
      </c>
    </row>
    <row r="44" spans="1:15" x14ac:dyDescent="0.2">
      <c r="J44">
        <f t="shared" si="2"/>
        <v>205</v>
      </c>
      <c r="K44" t="e">
        <f>1.2*SQRT(2*J44/(airplane!$B$25*airplane!$B$22))</f>
        <v>#DIV/0!</v>
      </c>
      <c r="L44" t="e">
        <f>1/2*K44^3/(airplane!$B$23*airplane!$B$9*airplane!$B$10*airplane!$B$4)</f>
        <v>#DIV/0!</v>
      </c>
      <c r="N44">
        <f t="shared" si="3"/>
        <v>68.510999999999996</v>
      </c>
      <c r="O44" t="e">
        <f t="shared" si="4"/>
        <v>#DIV/0!</v>
      </c>
    </row>
    <row r="45" spans="1:15" x14ac:dyDescent="0.2">
      <c r="J45">
        <f t="shared" si="2"/>
        <v>210</v>
      </c>
      <c r="K45" t="e">
        <f>1.2*SQRT(2*J45/(airplane!$B$25*airplane!$B$22))</f>
        <v>#DIV/0!</v>
      </c>
      <c r="L45" t="e">
        <f>1/2*K45^3/(airplane!$B$23*airplane!$B$9*airplane!$B$10*airplane!$B$4)</f>
        <v>#DIV/0!</v>
      </c>
      <c r="N45">
        <f t="shared" si="3"/>
        <v>70.182000000000002</v>
      </c>
      <c r="O45" t="e">
        <f t="shared" si="4"/>
        <v>#DIV/0!</v>
      </c>
    </row>
    <row r="46" spans="1:15" x14ac:dyDescent="0.2">
      <c r="J46">
        <f t="shared" si="2"/>
        <v>215</v>
      </c>
      <c r="K46" t="e">
        <f>1.2*SQRT(2*J46/(airplane!$B$25*airplane!$B$22))</f>
        <v>#DIV/0!</v>
      </c>
      <c r="L46" t="e">
        <f>1/2*K46^3/(airplane!$B$23*airplane!$B$9*airplane!$B$10*airplane!$B$4)</f>
        <v>#DIV/0!</v>
      </c>
      <c r="N46">
        <f t="shared" si="3"/>
        <v>71.852999999999994</v>
      </c>
      <c r="O46" t="e">
        <f t="shared" si="4"/>
        <v>#DIV/0!</v>
      </c>
    </row>
    <row r="47" spans="1:15" x14ac:dyDescent="0.2">
      <c r="J47">
        <f t="shared" si="2"/>
        <v>220</v>
      </c>
      <c r="K47" t="e">
        <f>1.2*SQRT(2*J47/(airplane!$B$25*airplane!$B$22))</f>
        <v>#DIV/0!</v>
      </c>
      <c r="L47" t="e">
        <f>1/2*K47^3/(airplane!$B$23*airplane!$B$9*airplane!$B$10*airplane!$B$4)</f>
        <v>#DIV/0!</v>
      </c>
      <c r="N47">
        <f t="shared" si="3"/>
        <v>73.524000000000001</v>
      </c>
      <c r="O47" t="e">
        <f t="shared" si="4"/>
        <v>#DIV/0!</v>
      </c>
    </row>
    <row r="48" spans="1:15" x14ac:dyDescent="0.2">
      <c r="J48">
        <f t="shared" si="2"/>
        <v>225</v>
      </c>
      <c r="K48" t="e">
        <f>1.2*SQRT(2*J48/(airplane!$B$25*airplane!$B$22))</f>
        <v>#DIV/0!</v>
      </c>
      <c r="L48" t="e">
        <f>1/2*K48^3/(airplane!$B$23*airplane!$B$9*airplane!$B$10*airplane!$B$4)</f>
        <v>#DIV/0!</v>
      </c>
      <c r="N48">
        <f t="shared" si="3"/>
        <v>75.194999999999993</v>
      </c>
      <c r="O48" t="e">
        <f t="shared" si="4"/>
        <v>#DIV/0!</v>
      </c>
    </row>
    <row r="49" spans="10:15" x14ac:dyDescent="0.2">
      <c r="J49">
        <f t="shared" si="2"/>
        <v>230</v>
      </c>
      <c r="K49" t="e">
        <f>1.2*SQRT(2*J49/(airplane!$B$25*airplane!$B$22))</f>
        <v>#DIV/0!</v>
      </c>
      <c r="L49" t="e">
        <f>1/2*K49^3/(airplane!$B$23*airplane!$B$9*airplane!$B$10*airplane!$B$4)</f>
        <v>#DIV/0!</v>
      </c>
      <c r="N49">
        <f t="shared" si="3"/>
        <v>76.866</v>
      </c>
      <c r="O49" t="e">
        <f t="shared" si="4"/>
        <v>#DIV/0!</v>
      </c>
    </row>
    <row r="50" spans="10:15" x14ac:dyDescent="0.2">
      <c r="J50">
        <f t="shared" si="2"/>
        <v>235</v>
      </c>
      <c r="K50" t="e">
        <f>1.2*SQRT(2*J50/(airplane!$B$25*airplane!$B$22))</f>
        <v>#DIV/0!</v>
      </c>
      <c r="L50" t="e">
        <f>1/2*K50^3/(airplane!$B$23*airplane!$B$9*airplane!$B$10*airplane!$B$4)</f>
        <v>#DIV/0!</v>
      </c>
      <c r="N50">
        <f t="shared" si="3"/>
        <v>78.537000000000006</v>
      </c>
      <c r="O50" t="e">
        <f t="shared" si="4"/>
        <v>#DIV/0!</v>
      </c>
    </row>
    <row r="51" spans="10:15" x14ac:dyDescent="0.2">
      <c r="J51">
        <f t="shared" si="2"/>
        <v>240</v>
      </c>
      <c r="K51" t="e">
        <f>1.2*SQRT(2*J51/(airplane!$B$25*airplane!$B$22))</f>
        <v>#DIV/0!</v>
      </c>
      <c r="L51" t="e">
        <f>1/2*K51^3/(airplane!$B$23*airplane!$B$9*airplane!$B$10*airplane!$B$4)</f>
        <v>#DIV/0!</v>
      </c>
      <c r="N51">
        <f t="shared" si="3"/>
        <v>80.207999999999998</v>
      </c>
      <c r="O51" t="e">
        <f t="shared" si="4"/>
        <v>#DIV/0!</v>
      </c>
    </row>
    <row r="52" spans="10:15" x14ac:dyDescent="0.2">
      <c r="J52">
        <f t="shared" si="2"/>
        <v>245</v>
      </c>
      <c r="K52" t="e">
        <f>1.2*SQRT(2*J52/(airplane!$B$25*airplane!$B$22))</f>
        <v>#DIV/0!</v>
      </c>
      <c r="L52" t="e">
        <f>1/2*K52^3/(airplane!$B$23*airplane!$B$9*airplane!$B$10*airplane!$B$4)</f>
        <v>#DIV/0!</v>
      </c>
      <c r="N52">
        <f t="shared" si="3"/>
        <v>81.879000000000005</v>
      </c>
      <c r="O52" t="e">
        <f t="shared" si="4"/>
        <v>#DIV/0!</v>
      </c>
    </row>
    <row r="53" spans="10:15" x14ac:dyDescent="0.2">
      <c r="J53">
        <f t="shared" si="2"/>
        <v>250</v>
      </c>
      <c r="K53" t="e">
        <f>1.2*SQRT(2*J53/(airplane!$B$25*airplane!$B$22))</f>
        <v>#DIV/0!</v>
      </c>
      <c r="L53" t="e">
        <f>1/2*K53^3/(airplane!$B$23*airplane!$B$9*airplane!$B$10*airplane!$B$4)</f>
        <v>#DIV/0!</v>
      </c>
      <c r="N53">
        <f t="shared" si="3"/>
        <v>83.55</v>
      </c>
      <c r="O53" t="e">
        <f t="shared" si="4"/>
        <v>#DIV/0!</v>
      </c>
    </row>
    <row r="54" spans="10:15" x14ac:dyDescent="0.2">
      <c r="J54">
        <f t="shared" si="2"/>
        <v>255</v>
      </c>
      <c r="K54" t="e">
        <f>1.2*SQRT(2*J54/(airplane!$B$25*airplane!$B$22))</f>
        <v>#DIV/0!</v>
      </c>
      <c r="L54" t="e">
        <f>1/2*K54^3/(airplane!$B$23*airplane!$B$9*airplane!$B$10*airplane!$B$4)</f>
        <v>#DIV/0!</v>
      </c>
      <c r="N54">
        <f t="shared" ref="N54:N117" si="5">J54*0.3342</f>
        <v>85.221000000000004</v>
      </c>
      <c r="O54" t="e">
        <f t="shared" ref="O54:O117" si="6">L54*4.448</f>
        <v>#DIV/0!</v>
      </c>
    </row>
    <row r="55" spans="10:15" x14ac:dyDescent="0.2">
      <c r="J55">
        <f t="shared" si="2"/>
        <v>260</v>
      </c>
      <c r="K55" t="e">
        <f>1.2*SQRT(2*J55/(airplane!$B$25*airplane!$B$22))</f>
        <v>#DIV/0!</v>
      </c>
      <c r="L55" t="e">
        <f>1/2*K55^3/(airplane!$B$23*airplane!$B$9*airplane!$B$10*airplane!$B$4)</f>
        <v>#DIV/0!</v>
      </c>
      <c r="N55">
        <f t="shared" si="5"/>
        <v>86.891999999999996</v>
      </c>
      <c r="O55" t="e">
        <f t="shared" si="6"/>
        <v>#DIV/0!</v>
      </c>
    </row>
    <row r="56" spans="10:15" x14ac:dyDescent="0.2">
      <c r="J56">
        <f t="shared" si="2"/>
        <v>265</v>
      </c>
      <c r="K56" t="e">
        <f>1.2*SQRT(2*J56/(airplane!$B$25*airplane!$B$22))</f>
        <v>#DIV/0!</v>
      </c>
      <c r="L56" t="e">
        <f>1/2*K56^3/(airplane!$B$23*airplane!$B$9*airplane!$B$10*airplane!$B$4)</f>
        <v>#DIV/0!</v>
      </c>
      <c r="N56">
        <f t="shared" si="5"/>
        <v>88.563000000000002</v>
      </c>
      <c r="O56" t="e">
        <f t="shared" si="6"/>
        <v>#DIV/0!</v>
      </c>
    </row>
    <row r="57" spans="10:15" x14ac:dyDescent="0.2">
      <c r="J57">
        <f t="shared" si="2"/>
        <v>270</v>
      </c>
      <c r="K57" t="e">
        <f>1.2*SQRT(2*J57/(airplane!$B$25*airplane!$B$22))</f>
        <v>#DIV/0!</v>
      </c>
      <c r="L57" t="e">
        <f>1/2*K57^3/(airplane!$B$23*airplane!$B$9*airplane!$B$10*airplane!$B$4)</f>
        <v>#DIV/0!</v>
      </c>
      <c r="N57">
        <f t="shared" si="5"/>
        <v>90.233999999999995</v>
      </c>
      <c r="O57" t="e">
        <f t="shared" si="6"/>
        <v>#DIV/0!</v>
      </c>
    </row>
    <row r="58" spans="10:15" x14ac:dyDescent="0.2">
      <c r="J58">
        <f t="shared" si="2"/>
        <v>275</v>
      </c>
      <c r="K58" t="e">
        <f>1.2*SQRT(2*J58/(airplane!$B$25*airplane!$B$22))</f>
        <v>#DIV/0!</v>
      </c>
      <c r="L58" t="e">
        <f>1/2*K58^3/(airplane!$B$23*airplane!$B$9*airplane!$B$10*airplane!$B$4)</f>
        <v>#DIV/0!</v>
      </c>
      <c r="N58">
        <f t="shared" si="5"/>
        <v>91.905000000000001</v>
      </c>
      <c r="O58" t="e">
        <f t="shared" si="6"/>
        <v>#DIV/0!</v>
      </c>
    </row>
    <row r="59" spans="10:15" x14ac:dyDescent="0.2">
      <c r="J59">
        <f t="shared" si="2"/>
        <v>280</v>
      </c>
      <c r="K59" t="e">
        <f>1.2*SQRT(2*J59/(airplane!$B$25*airplane!$B$22))</f>
        <v>#DIV/0!</v>
      </c>
      <c r="L59" t="e">
        <f>1/2*K59^3/(airplane!$B$23*airplane!$B$9*airplane!$B$10*airplane!$B$4)</f>
        <v>#DIV/0!</v>
      </c>
      <c r="N59">
        <f t="shared" si="5"/>
        <v>93.575999999999993</v>
      </c>
      <c r="O59" t="e">
        <f t="shared" si="6"/>
        <v>#DIV/0!</v>
      </c>
    </row>
    <row r="60" spans="10:15" x14ac:dyDescent="0.2">
      <c r="J60">
        <f t="shared" si="2"/>
        <v>285</v>
      </c>
      <c r="K60" t="e">
        <f>1.2*SQRT(2*J60/(airplane!$B$25*airplane!$B$22))</f>
        <v>#DIV/0!</v>
      </c>
      <c r="L60" t="e">
        <f>1/2*K60^3/(airplane!$B$23*airplane!$B$9*airplane!$B$10*airplane!$B$4)</f>
        <v>#DIV/0!</v>
      </c>
      <c r="N60">
        <f t="shared" si="5"/>
        <v>95.247</v>
      </c>
      <c r="O60" t="e">
        <f t="shared" si="6"/>
        <v>#DIV/0!</v>
      </c>
    </row>
    <row r="61" spans="10:15" x14ac:dyDescent="0.2">
      <c r="J61">
        <f t="shared" si="2"/>
        <v>290</v>
      </c>
      <c r="K61" t="e">
        <f>1.2*SQRT(2*J61/(airplane!$B$25*airplane!$B$22))</f>
        <v>#DIV/0!</v>
      </c>
      <c r="L61" t="e">
        <f>1/2*K61^3/(airplane!$B$23*airplane!$B$9*airplane!$B$10*airplane!$B$4)</f>
        <v>#DIV/0!</v>
      </c>
      <c r="N61">
        <f t="shared" si="5"/>
        <v>96.917999999999992</v>
      </c>
      <c r="O61" t="e">
        <f t="shared" si="6"/>
        <v>#DIV/0!</v>
      </c>
    </row>
    <row r="62" spans="10:15" x14ac:dyDescent="0.2">
      <c r="J62">
        <f t="shared" si="2"/>
        <v>295</v>
      </c>
      <c r="K62" t="e">
        <f>1.2*SQRT(2*J62/(airplane!$B$25*airplane!$B$22))</f>
        <v>#DIV/0!</v>
      </c>
      <c r="L62" t="e">
        <f>1/2*K62^3/(airplane!$B$23*airplane!$B$9*airplane!$B$10*airplane!$B$4)</f>
        <v>#DIV/0!</v>
      </c>
      <c r="N62">
        <f t="shared" si="5"/>
        <v>98.588999999999999</v>
      </c>
      <c r="O62" t="e">
        <f t="shared" si="6"/>
        <v>#DIV/0!</v>
      </c>
    </row>
    <row r="63" spans="10:15" x14ac:dyDescent="0.2">
      <c r="J63">
        <f t="shared" si="2"/>
        <v>300</v>
      </c>
      <c r="K63" t="e">
        <f>1.2*SQRT(2*J63/(airplane!$B$25*airplane!$B$22))</f>
        <v>#DIV/0!</v>
      </c>
      <c r="L63" t="e">
        <f>1/2*K63^3/(airplane!$B$23*airplane!$B$9*airplane!$B$10*airplane!$B$4)</f>
        <v>#DIV/0!</v>
      </c>
      <c r="N63">
        <f t="shared" si="5"/>
        <v>100.26</v>
      </c>
      <c r="O63" t="e">
        <f t="shared" si="6"/>
        <v>#DIV/0!</v>
      </c>
    </row>
    <row r="64" spans="10:15" x14ac:dyDescent="0.2">
      <c r="J64">
        <f t="shared" si="2"/>
        <v>305</v>
      </c>
      <c r="K64" t="e">
        <f>1.2*SQRT(2*J64/(airplane!$B$25*airplane!$B$22))</f>
        <v>#DIV/0!</v>
      </c>
      <c r="L64" t="e">
        <f>1/2*K64^3/(airplane!$B$23*airplane!$B$9*airplane!$B$10*airplane!$B$4)</f>
        <v>#DIV/0!</v>
      </c>
      <c r="N64">
        <f t="shared" si="5"/>
        <v>101.931</v>
      </c>
      <c r="O64" t="e">
        <f t="shared" si="6"/>
        <v>#DIV/0!</v>
      </c>
    </row>
    <row r="65" spans="10:15" x14ac:dyDescent="0.2">
      <c r="J65">
        <f t="shared" si="2"/>
        <v>310</v>
      </c>
      <c r="K65" t="e">
        <f>1.2*SQRT(2*J65/(airplane!$B$25*airplane!$B$22))</f>
        <v>#DIV/0!</v>
      </c>
      <c r="L65" t="e">
        <f>1/2*K65^3/(airplane!$B$23*airplane!$B$9*airplane!$B$10*airplane!$B$4)</f>
        <v>#DIV/0!</v>
      </c>
      <c r="N65">
        <f t="shared" si="5"/>
        <v>103.602</v>
      </c>
      <c r="O65" t="e">
        <f t="shared" si="6"/>
        <v>#DIV/0!</v>
      </c>
    </row>
    <row r="66" spans="10:15" x14ac:dyDescent="0.2">
      <c r="J66">
        <f t="shared" si="2"/>
        <v>315</v>
      </c>
      <c r="K66" t="e">
        <f>1.2*SQRT(2*J66/(airplane!$B$25*airplane!$B$22))</f>
        <v>#DIV/0!</v>
      </c>
      <c r="L66" t="e">
        <f>1/2*K66^3/(airplane!$B$23*airplane!$B$9*airplane!$B$10*airplane!$B$4)</f>
        <v>#DIV/0!</v>
      </c>
      <c r="N66">
        <f t="shared" si="5"/>
        <v>105.273</v>
      </c>
      <c r="O66" t="e">
        <f t="shared" si="6"/>
        <v>#DIV/0!</v>
      </c>
    </row>
    <row r="67" spans="10:15" x14ac:dyDescent="0.2">
      <c r="J67">
        <f t="shared" si="2"/>
        <v>320</v>
      </c>
      <c r="K67" t="e">
        <f>1.2*SQRT(2*J67/(airplane!$B$25*airplane!$B$22))</f>
        <v>#DIV/0!</v>
      </c>
      <c r="L67" t="e">
        <f>1/2*K67^3/(airplane!$B$23*airplane!$B$9*airplane!$B$10*airplane!$B$4)</f>
        <v>#DIV/0!</v>
      </c>
      <c r="N67">
        <f t="shared" si="5"/>
        <v>106.944</v>
      </c>
      <c r="O67" t="e">
        <f t="shared" si="6"/>
        <v>#DIV/0!</v>
      </c>
    </row>
    <row r="68" spans="10:15" x14ac:dyDescent="0.2">
      <c r="J68">
        <f t="shared" si="2"/>
        <v>325</v>
      </c>
      <c r="K68" t="e">
        <f>1.2*SQRT(2*J68/(airplane!$B$25*airplane!$B$22))</f>
        <v>#DIV/0!</v>
      </c>
      <c r="L68" t="e">
        <f>1/2*K68^3/(airplane!$B$23*airplane!$B$9*airplane!$B$10*airplane!$B$4)</f>
        <v>#DIV/0!</v>
      </c>
      <c r="N68">
        <f t="shared" si="5"/>
        <v>108.61499999999999</v>
      </c>
      <c r="O68" t="e">
        <f t="shared" si="6"/>
        <v>#DIV/0!</v>
      </c>
    </row>
    <row r="69" spans="10:15" x14ac:dyDescent="0.2">
      <c r="J69">
        <f t="shared" ref="J69:J132" si="7">J68+5</f>
        <v>330</v>
      </c>
      <c r="K69" t="e">
        <f>1.2*SQRT(2*J69/(airplane!$B$25*airplane!$B$22))</f>
        <v>#DIV/0!</v>
      </c>
      <c r="L69" t="e">
        <f>1/2*K69^3/(airplane!$B$23*airplane!$B$9*airplane!$B$10*airplane!$B$4)</f>
        <v>#DIV/0!</v>
      </c>
      <c r="N69">
        <f t="shared" si="5"/>
        <v>110.286</v>
      </c>
      <c r="O69" t="e">
        <f t="shared" si="6"/>
        <v>#DIV/0!</v>
      </c>
    </row>
    <row r="70" spans="10:15" x14ac:dyDescent="0.2">
      <c r="J70">
        <f t="shared" si="7"/>
        <v>335</v>
      </c>
      <c r="K70" t="e">
        <f>1.2*SQRT(2*J70/(airplane!$B$25*airplane!$B$22))</f>
        <v>#DIV/0!</v>
      </c>
      <c r="L70" t="e">
        <f>1/2*K70^3/(airplane!$B$23*airplane!$B$9*airplane!$B$10*airplane!$B$4)</f>
        <v>#DIV/0!</v>
      </c>
      <c r="N70">
        <f t="shared" si="5"/>
        <v>111.95699999999999</v>
      </c>
      <c r="O70" t="e">
        <f t="shared" si="6"/>
        <v>#DIV/0!</v>
      </c>
    </row>
    <row r="71" spans="10:15" x14ac:dyDescent="0.2">
      <c r="J71">
        <f t="shared" si="7"/>
        <v>340</v>
      </c>
      <c r="K71" t="e">
        <f>1.2*SQRT(2*J71/(airplane!$B$25*airplane!$B$22))</f>
        <v>#DIV/0!</v>
      </c>
      <c r="L71" t="e">
        <f>1/2*K71^3/(airplane!$B$23*airplane!$B$9*airplane!$B$10*airplane!$B$4)</f>
        <v>#DIV/0!</v>
      </c>
      <c r="N71">
        <f t="shared" si="5"/>
        <v>113.628</v>
      </c>
      <c r="O71" t="e">
        <f t="shared" si="6"/>
        <v>#DIV/0!</v>
      </c>
    </row>
    <row r="72" spans="10:15" x14ac:dyDescent="0.2">
      <c r="J72">
        <f t="shared" si="7"/>
        <v>345</v>
      </c>
      <c r="K72" t="e">
        <f>1.2*SQRT(2*J72/(airplane!$B$25*airplane!$B$22))</f>
        <v>#DIV/0!</v>
      </c>
      <c r="L72" t="e">
        <f>1/2*K72^3/(airplane!$B$23*airplane!$B$9*airplane!$B$10*airplane!$B$4)</f>
        <v>#DIV/0!</v>
      </c>
      <c r="N72">
        <f t="shared" si="5"/>
        <v>115.29899999999999</v>
      </c>
      <c r="O72" t="e">
        <f t="shared" si="6"/>
        <v>#DIV/0!</v>
      </c>
    </row>
    <row r="73" spans="10:15" x14ac:dyDescent="0.2">
      <c r="J73">
        <f t="shared" si="7"/>
        <v>350</v>
      </c>
      <c r="K73" t="e">
        <f>1.2*SQRT(2*J73/(airplane!$B$25*airplane!$B$22))</f>
        <v>#DIV/0!</v>
      </c>
      <c r="L73" t="e">
        <f>1/2*K73^3/(airplane!$B$23*airplane!$B$9*airplane!$B$10*airplane!$B$4)</f>
        <v>#DIV/0!</v>
      </c>
      <c r="N73">
        <f t="shared" si="5"/>
        <v>116.97</v>
      </c>
      <c r="O73" t="e">
        <f t="shared" si="6"/>
        <v>#DIV/0!</v>
      </c>
    </row>
    <row r="74" spans="10:15" x14ac:dyDescent="0.2">
      <c r="J74">
        <f t="shared" si="7"/>
        <v>355</v>
      </c>
      <c r="K74" t="e">
        <f>1.2*SQRT(2*J74/(airplane!$B$25*airplane!$B$22))</f>
        <v>#DIV/0!</v>
      </c>
      <c r="L74" t="e">
        <f>1/2*K74^3/(airplane!$B$23*airplane!$B$9*airplane!$B$10*airplane!$B$4)</f>
        <v>#DIV/0!</v>
      </c>
      <c r="N74">
        <f t="shared" si="5"/>
        <v>118.64100000000001</v>
      </c>
      <c r="O74" t="e">
        <f t="shared" si="6"/>
        <v>#DIV/0!</v>
      </c>
    </row>
    <row r="75" spans="10:15" x14ac:dyDescent="0.2">
      <c r="J75">
        <f t="shared" si="7"/>
        <v>360</v>
      </c>
      <c r="K75" t="e">
        <f>1.2*SQRT(2*J75/(airplane!$B$25*airplane!$B$22))</f>
        <v>#DIV/0!</v>
      </c>
      <c r="L75" t="e">
        <f>1/2*K75^3/(airplane!$B$23*airplane!$B$9*airplane!$B$10*airplane!$B$4)</f>
        <v>#DIV/0!</v>
      </c>
      <c r="N75">
        <f t="shared" si="5"/>
        <v>120.312</v>
      </c>
      <c r="O75" t="e">
        <f t="shared" si="6"/>
        <v>#DIV/0!</v>
      </c>
    </row>
    <row r="76" spans="10:15" x14ac:dyDescent="0.2">
      <c r="J76">
        <f t="shared" si="7"/>
        <v>365</v>
      </c>
      <c r="K76" t="e">
        <f>1.2*SQRT(2*J76/(airplane!$B$25*airplane!$B$22))</f>
        <v>#DIV/0!</v>
      </c>
      <c r="L76" t="e">
        <f>1/2*K76^3/(airplane!$B$23*airplane!$B$9*airplane!$B$10*airplane!$B$4)</f>
        <v>#DIV/0!</v>
      </c>
      <c r="N76">
        <f t="shared" si="5"/>
        <v>121.983</v>
      </c>
      <c r="O76" t="e">
        <f t="shared" si="6"/>
        <v>#DIV/0!</v>
      </c>
    </row>
    <row r="77" spans="10:15" x14ac:dyDescent="0.2">
      <c r="J77">
        <f t="shared" si="7"/>
        <v>370</v>
      </c>
      <c r="K77" t="e">
        <f>1.2*SQRT(2*J77/(airplane!$B$25*airplane!$B$22))</f>
        <v>#DIV/0!</v>
      </c>
      <c r="L77" t="e">
        <f>1/2*K77^3/(airplane!$B$23*airplane!$B$9*airplane!$B$10*airplane!$B$4)</f>
        <v>#DIV/0!</v>
      </c>
      <c r="N77">
        <f t="shared" si="5"/>
        <v>123.654</v>
      </c>
      <c r="O77" t="e">
        <f t="shared" si="6"/>
        <v>#DIV/0!</v>
      </c>
    </row>
    <row r="78" spans="10:15" x14ac:dyDescent="0.2">
      <c r="J78">
        <f t="shared" si="7"/>
        <v>375</v>
      </c>
      <c r="K78" t="e">
        <f>1.2*SQRT(2*J78/(airplane!$B$25*airplane!$B$22))</f>
        <v>#DIV/0!</v>
      </c>
      <c r="L78" t="e">
        <f>1/2*K78^3/(airplane!$B$23*airplane!$B$9*airplane!$B$10*airplane!$B$4)</f>
        <v>#DIV/0!</v>
      </c>
      <c r="N78">
        <f t="shared" si="5"/>
        <v>125.325</v>
      </c>
      <c r="O78" t="e">
        <f t="shared" si="6"/>
        <v>#DIV/0!</v>
      </c>
    </row>
    <row r="79" spans="10:15" x14ac:dyDescent="0.2">
      <c r="J79">
        <f t="shared" si="7"/>
        <v>380</v>
      </c>
      <c r="K79" t="e">
        <f>1.2*SQRT(2*J79/(airplane!$B$25*airplane!$B$22))</f>
        <v>#DIV/0!</v>
      </c>
      <c r="L79" t="e">
        <f>1/2*K79^3/(airplane!$B$23*airplane!$B$9*airplane!$B$10*airplane!$B$4)</f>
        <v>#DIV/0!</v>
      </c>
      <c r="N79">
        <f t="shared" si="5"/>
        <v>126.996</v>
      </c>
      <c r="O79" t="e">
        <f t="shared" si="6"/>
        <v>#DIV/0!</v>
      </c>
    </row>
    <row r="80" spans="10:15" x14ac:dyDescent="0.2">
      <c r="J80">
        <f t="shared" si="7"/>
        <v>385</v>
      </c>
      <c r="K80" t="e">
        <f>1.2*SQRT(2*J80/(airplane!$B$25*airplane!$B$22))</f>
        <v>#DIV/0!</v>
      </c>
      <c r="L80" t="e">
        <f>1/2*K80^3/(airplane!$B$23*airplane!$B$9*airplane!$B$10*airplane!$B$4)</f>
        <v>#DIV/0!</v>
      </c>
      <c r="N80">
        <f t="shared" si="5"/>
        <v>128.667</v>
      </c>
      <c r="O80" t="e">
        <f t="shared" si="6"/>
        <v>#DIV/0!</v>
      </c>
    </row>
    <row r="81" spans="10:15" x14ac:dyDescent="0.2">
      <c r="J81">
        <f t="shared" si="7"/>
        <v>390</v>
      </c>
      <c r="K81" t="e">
        <f>1.2*SQRT(2*J81/(airplane!$B$25*airplane!$B$22))</f>
        <v>#DIV/0!</v>
      </c>
      <c r="L81" t="e">
        <f>1/2*K81^3/(airplane!$B$23*airplane!$B$9*airplane!$B$10*airplane!$B$4)</f>
        <v>#DIV/0!</v>
      </c>
      <c r="N81">
        <f t="shared" si="5"/>
        <v>130.33799999999999</v>
      </c>
      <c r="O81" t="e">
        <f t="shared" si="6"/>
        <v>#DIV/0!</v>
      </c>
    </row>
    <row r="82" spans="10:15" x14ac:dyDescent="0.2">
      <c r="J82">
        <f t="shared" si="7"/>
        <v>395</v>
      </c>
      <c r="K82" t="e">
        <f>1.2*SQRT(2*J82/(airplane!$B$25*airplane!$B$22))</f>
        <v>#DIV/0!</v>
      </c>
      <c r="L82" t="e">
        <f>1/2*K82^3/(airplane!$B$23*airplane!$B$9*airplane!$B$10*airplane!$B$4)</f>
        <v>#DIV/0!</v>
      </c>
      <c r="N82">
        <f t="shared" si="5"/>
        <v>132.00899999999999</v>
      </c>
      <c r="O82" t="e">
        <f t="shared" si="6"/>
        <v>#DIV/0!</v>
      </c>
    </row>
    <row r="83" spans="10:15" x14ac:dyDescent="0.2">
      <c r="J83">
        <f t="shared" si="7"/>
        <v>400</v>
      </c>
      <c r="K83" t="e">
        <f>1.2*SQRT(2*J83/(airplane!$B$25*airplane!$B$22))</f>
        <v>#DIV/0!</v>
      </c>
      <c r="L83" t="e">
        <f>1/2*K83^3/(airplane!$B$23*airplane!$B$9*airplane!$B$10*airplane!$B$4)</f>
        <v>#DIV/0!</v>
      </c>
      <c r="N83">
        <f t="shared" si="5"/>
        <v>133.68</v>
      </c>
      <c r="O83" t="e">
        <f t="shared" si="6"/>
        <v>#DIV/0!</v>
      </c>
    </row>
    <row r="84" spans="10:15" x14ac:dyDescent="0.2">
      <c r="J84">
        <f t="shared" si="7"/>
        <v>405</v>
      </c>
      <c r="K84" t="e">
        <f>1.2*SQRT(2*J84/(airplane!$B$25*airplane!$B$22))</f>
        <v>#DIV/0!</v>
      </c>
      <c r="L84" t="e">
        <f>1/2*K84^3/(airplane!$B$23*airplane!$B$9*airplane!$B$10*airplane!$B$4)</f>
        <v>#DIV/0!</v>
      </c>
      <c r="N84">
        <f t="shared" si="5"/>
        <v>135.351</v>
      </c>
      <c r="O84" t="e">
        <f t="shared" si="6"/>
        <v>#DIV/0!</v>
      </c>
    </row>
    <row r="85" spans="10:15" x14ac:dyDescent="0.2">
      <c r="J85">
        <f t="shared" si="7"/>
        <v>410</v>
      </c>
      <c r="K85" t="e">
        <f>1.2*SQRT(2*J85/(airplane!$B$25*airplane!$B$22))</f>
        <v>#DIV/0!</v>
      </c>
      <c r="L85" t="e">
        <f>1/2*K85^3/(airplane!$B$23*airplane!$B$9*airplane!$B$10*airplane!$B$4)</f>
        <v>#DIV/0!</v>
      </c>
      <c r="N85">
        <f t="shared" si="5"/>
        <v>137.02199999999999</v>
      </c>
      <c r="O85" t="e">
        <f t="shared" si="6"/>
        <v>#DIV/0!</v>
      </c>
    </row>
    <row r="86" spans="10:15" x14ac:dyDescent="0.2">
      <c r="J86">
        <f t="shared" si="7"/>
        <v>415</v>
      </c>
      <c r="K86" t="e">
        <f>1.2*SQRT(2*J86/(airplane!$B$25*airplane!$B$22))</f>
        <v>#DIV/0!</v>
      </c>
      <c r="L86" t="e">
        <f>1/2*K86^3/(airplane!$B$23*airplane!$B$9*airplane!$B$10*airplane!$B$4)</f>
        <v>#DIV/0!</v>
      </c>
      <c r="N86">
        <f t="shared" si="5"/>
        <v>138.69300000000001</v>
      </c>
      <c r="O86" t="e">
        <f t="shared" si="6"/>
        <v>#DIV/0!</v>
      </c>
    </row>
    <row r="87" spans="10:15" x14ac:dyDescent="0.2">
      <c r="J87">
        <f t="shared" si="7"/>
        <v>420</v>
      </c>
      <c r="K87" t="e">
        <f>1.2*SQRT(2*J87/(airplane!$B$25*airplane!$B$22))</f>
        <v>#DIV/0!</v>
      </c>
      <c r="L87" t="e">
        <f>1/2*K87^3/(airplane!$B$23*airplane!$B$9*airplane!$B$10*airplane!$B$4)</f>
        <v>#DIV/0!</v>
      </c>
      <c r="N87">
        <f t="shared" si="5"/>
        <v>140.364</v>
      </c>
      <c r="O87" t="e">
        <f t="shared" si="6"/>
        <v>#DIV/0!</v>
      </c>
    </row>
    <row r="88" spans="10:15" x14ac:dyDescent="0.2">
      <c r="J88">
        <f t="shared" si="7"/>
        <v>425</v>
      </c>
      <c r="K88" t="e">
        <f>1.2*SQRT(2*J88/(airplane!$B$25*airplane!$B$22))</f>
        <v>#DIV/0!</v>
      </c>
      <c r="L88" t="e">
        <f>1/2*K88^3/(airplane!$B$23*airplane!$B$9*airplane!$B$10*airplane!$B$4)</f>
        <v>#DIV/0!</v>
      </c>
      <c r="N88">
        <f t="shared" si="5"/>
        <v>142.035</v>
      </c>
      <c r="O88" t="e">
        <f t="shared" si="6"/>
        <v>#DIV/0!</v>
      </c>
    </row>
    <row r="89" spans="10:15" x14ac:dyDescent="0.2">
      <c r="J89">
        <f t="shared" si="7"/>
        <v>430</v>
      </c>
      <c r="K89" t="e">
        <f>1.2*SQRT(2*J89/(airplane!$B$25*airplane!$B$22))</f>
        <v>#DIV/0!</v>
      </c>
      <c r="L89" t="e">
        <f>1/2*K89^3/(airplane!$B$23*airplane!$B$9*airplane!$B$10*airplane!$B$4)</f>
        <v>#DIV/0!</v>
      </c>
      <c r="N89">
        <f t="shared" si="5"/>
        <v>143.70599999999999</v>
      </c>
      <c r="O89" t="e">
        <f t="shared" si="6"/>
        <v>#DIV/0!</v>
      </c>
    </row>
    <row r="90" spans="10:15" x14ac:dyDescent="0.2">
      <c r="J90">
        <f t="shared" si="7"/>
        <v>435</v>
      </c>
      <c r="K90" t="e">
        <f>1.2*SQRT(2*J90/(airplane!$B$25*airplane!$B$22))</f>
        <v>#DIV/0!</v>
      </c>
      <c r="L90" t="e">
        <f>1/2*K90^3/(airplane!$B$23*airplane!$B$9*airplane!$B$10*airplane!$B$4)</f>
        <v>#DIV/0!</v>
      </c>
      <c r="N90">
        <f t="shared" si="5"/>
        <v>145.37700000000001</v>
      </c>
      <c r="O90" t="e">
        <f t="shared" si="6"/>
        <v>#DIV/0!</v>
      </c>
    </row>
    <row r="91" spans="10:15" x14ac:dyDescent="0.2">
      <c r="J91">
        <f t="shared" si="7"/>
        <v>440</v>
      </c>
      <c r="K91" t="e">
        <f>1.2*SQRT(2*J91/(airplane!$B$25*airplane!$B$22))</f>
        <v>#DIV/0!</v>
      </c>
      <c r="L91" t="e">
        <f>1/2*K91^3/(airplane!$B$23*airplane!$B$9*airplane!$B$10*airplane!$B$4)</f>
        <v>#DIV/0!</v>
      </c>
      <c r="N91">
        <f t="shared" si="5"/>
        <v>147.048</v>
      </c>
      <c r="O91" t="e">
        <f t="shared" si="6"/>
        <v>#DIV/0!</v>
      </c>
    </row>
    <row r="92" spans="10:15" x14ac:dyDescent="0.2">
      <c r="J92">
        <f t="shared" si="7"/>
        <v>445</v>
      </c>
      <c r="K92" t="e">
        <f>1.2*SQRT(2*J92/(airplane!$B$25*airplane!$B$22))</f>
        <v>#DIV/0!</v>
      </c>
      <c r="L92" t="e">
        <f>1/2*K92^3/(airplane!$B$23*airplane!$B$9*airplane!$B$10*airplane!$B$4)</f>
        <v>#DIV/0!</v>
      </c>
      <c r="N92">
        <f t="shared" si="5"/>
        <v>148.71899999999999</v>
      </c>
      <c r="O92" t="e">
        <f t="shared" si="6"/>
        <v>#DIV/0!</v>
      </c>
    </row>
    <row r="93" spans="10:15" x14ac:dyDescent="0.2">
      <c r="J93">
        <f t="shared" si="7"/>
        <v>450</v>
      </c>
      <c r="K93" t="e">
        <f>1.2*SQRT(2*J93/(airplane!$B$25*airplane!$B$22))</f>
        <v>#DIV/0!</v>
      </c>
      <c r="L93" t="e">
        <f>1/2*K93^3/(airplane!$B$23*airplane!$B$9*airplane!$B$10*airplane!$B$4)</f>
        <v>#DIV/0!</v>
      </c>
      <c r="N93">
        <f t="shared" si="5"/>
        <v>150.38999999999999</v>
      </c>
      <c r="O93" t="e">
        <f t="shared" si="6"/>
        <v>#DIV/0!</v>
      </c>
    </row>
    <row r="94" spans="10:15" x14ac:dyDescent="0.2">
      <c r="J94">
        <f t="shared" si="7"/>
        <v>455</v>
      </c>
      <c r="K94" t="e">
        <f>1.2*SQRT(2*J94/(airplane!$B$25*airplane!$B$22))</f>
        <v>#DIV/0!</v>
      </c>
      <c r="L94" t="e">
        <f>1/2*K94^3/(airplane!$B$23*airplane!$B$9*airplane!$B$10*airplane!$B$4)</f>
        <v>#DIV/0!</v>
      </c>
      <c r="N94">
        <f t="shared" si="5"/>
        <v>152.06100000000001</v>
      </c>
      <c r="O94" t="e">
        <f t="shared" si="6"/>
        <v>#DIV/0!</v>
      </c>
    </row>
    <row r="95" spans="10:15" x14ac:dyDescent="0.2">
      <c r="J95">
        <f t="shared" si="7"/>
        <v>460</v>
      </c>
      <c r="K95" t="e">
        <f>1.2*SQRT(2*J95/(airplane!$B$25*airplane!$B$22))</f>
        <v>#DIV/0!</v>
      </c>
      <c r="L95" t="e">
        <f>1/2*K95^3/(airplane!$B$23*airplane!$B$9*airplane!$B$10*airplane!$B$4)</f>
        <v>#DIV/0!</v>
      </c>
      <c r="N95">
        <f t="shared" si="5"/>
        <v>153.732</v>
      </c>
      <c r="O95" t="e">
        <f t="shared" si="6"/>
        <v>#DIV/0!</v>
      </c>
    </row>
    <row r="96" spans="10:15" x14ac:dyDescent="0.2">
      <c r="J96">
        <f t="shared" si="7"/>
        <v>465</v>
      </c>
      <c r="K96" t="e">
        <f>1.2*SQRT(2*J96/(airplane!$B$25*airplane!$B$22))</f>
        <v>#DIV/0!</v>
      </c>
      <c r="L96" t="e">
        <f>1/2*K96^3/(airplane!$B$23*airplane!$B$9*airplane!$B$10*airplane!$B$4)</f>
        <v>#DIV/0!</v>
      </c>
      <c r="N96">
        <f t="shared" si="5"/>
        <v>155.40299999999999</v>
      </c>
      <c r="O96" t="e">
        <f t="shared" si="6"/>
        <v>#DIV/0!</v>
      </c>
    </row>
    <row r="97" spans="10:15" x14ac:dyDescent="0.2">
      <c r="J97">
        <f t="shared" si="7"/>
        <v>470</v>
      </c>
      <c r="K97" t="e">
        <f>1.2*SQRT(2*J97/(airplane!$B$25*airplane!$B$22))</f>
        <v>#DIV/0!</v>
      </c>
      <c r="L97" t="e">
        <f>1/2*K97^3/(airplane!$B$23*airplane!$B$9*airplane!$B$10*airplane!$B$4)</f>
        <v>#DIV/0!</v>
      </c>
      <c r="N97">
        <f t="shared" si="5"/>
        <v>157.07400000000001</v>
      </c>
      <c r="O97" t="e">
        <f t="shared" si="6"/>
        <v>#DIV/0!</v>
      </c>
    </row>
    <row r="98" spans="10:15" x14ac:dyDescent="0.2">
      <c r="J98">
        <f t="shared" si="7"/>
        <v>475</v>
      </c>
      <c r="K98" t="e">
        <f>1.2*SQRT(2*J98/(airplane!$B$25*airplane!$B$22))</f>
        <v>#DIV/0!</v>
      </c>
      <c r="L98" t="e">
        <f>1/2*K98^3/(airplane!$B$23*airplane!$B$9*airplane!$B$10*airplane!$B$4)</f>
        <v>#DIV/0!</v>
      </c>
      <c r="N98">
        <f t="shared" si="5"/>
        <v>158.745</v>
      </c>
      <c r="O98" t="e">
        <f t="shared" si="6"/>
        <v>#DIV/0!</v>
      </c>
    </row>
    <row r="99" spans="10:15" x14ac:dyDescent="0.2">
      <c r="J99">
        <f t="shared" si="7"/>
        <v>480</v>
      </c>
      <c r="K99" t="e">
        <f>1.2*SQRT(2*J99/(airplane!$B$25*airplane!$B$22))</f>
        <v>#DIV/0!</v>
      </c>
      <c r="L99" t="e">
        <f>1/2*K99^3/(airplane!$B$23*airplane!$B$9*airplane!$B$10*airplane!$B$4)</f>
        <v>#DIV/0!</v>
      </c>
      <c r="N99">
        <f t="shared" si="5"/>
        <v>160.416</v>
      </c>
      <c r="O99" t="e">
        <f t="shared" si="6"/>
        <v>#DIV/0!</v>
      </c>
    </row>
    <row r="100" spans="10:15" x14ac:dyDescent="0.2">
      <c r="J100">
        <f t="shared" si="7"/>
        <v>485</v>
      </c>
      <c r="K100" t="e">
        <f>1.2*SQRT(2*J100/(airplane!$B$25*airplane!$B$22))</f>
        <v>#DIV/0!</v>
      </c>
      <c r="L100" t="e">
        <f>1/2*K100^3/(airplane!$B$23*airplane!$B$9*airplane!$B$10*airplane!$B$4)</f>
        <v>#DIV/0!</v>
      </c>
      <c r="N100">
        <f t="shared" si="5"/>
        <v>162.08699999999999</v>
      </c>
      <c r="O100" t="e">
        <f t="shared" si="6"/>
        <v>#DIV/0!</v>
      </c>
    </row>
    <row r="101" spans="10:15" x14ac:dyDescent="0.2">
      <c r="J101">
        <f t="shared" si="7"/>
        <v>490</v>
      </c>
      <c r="K101" t="e">
        <f>1.2*SQRT(2*J101/(airplane!$B$25*airplane!$B$22))</f>
        <v>#DIV/0!</v>
      </c>
      <c r="L101" t="e">
        <f>1/2*K101^3/(airplane!$B$23*airplane!$B$9*airplane!$B$10*airplane!$B$4)</f>
        <v>#DIV/0!</v>
      </c>
      <c r="N101">
        <f t="shared" si="5"/>
        <v>163.75800000000001</v>
      </c>
      <c r="O101" t="e">
        <f t="shared" si="6"/>
        <v>#DIV/0!</v>
      </c>
    </row>
    <row r="102" spans="10:15" x14ac:dyDescent="0.2">
      <c r="J102">
        <f t="shared" si="7"/>
        <v>495</v>
      </c>
      <c r="K102" t="e">
        <f>1.2*SQRT(2*J102/(airplane!$B$25*airplane!$B$22))</f>
        <v>#DIV/0!</v>
      </c>
      <c r="L102" t="e">
        <f>1/2*K102^3/(airplane!$B$23*airplane!$B$9*airplane!$B$10*airplane!$B$4)</f>
        <v>#DIV/0!</v>
      </c>
      <c r="N102">
        <f t="shared" si="5"/>
        <v>165.429</v>
      </c>
      <c r="O102" t="e">
        <f t="shared" si="6"/>
        <v>#DIV/0!</v>
      </c>
    </row>
    <row r="103" spans="10:15" x14ac:dyDescent="0.2">
      <c r="J103">
        <f t="shared" si="7"/>
        <v>500</v>
      </c>
      <c r="K103" t="e">
        <f>1.2*SQRT(2*J103/(airplane!$B$25*airplane!$B$22))</f>
        <v>#DIV/0!</v>
      </c>
      <c r="L103" t="e">
        <f>1/2*K103^3/(airplane!$B$23*airplane!$B$9*airplane!$B$10*airplane!$B$4)</f>
        <v>#DIV/0!</v>
      </c>
      <c r="N103">
        <f t="shared" si="5"/>
        <v>167.1</v>
      </c>
      <c r="O103" t="e">
        <f t="shared" si="6"/>
        <v>#DIV/0!</v>
      </c>
    </row>
    <row r="104" spans="10:15" x14ac:dyDescent="0.2">
      <c r="J104">
        <f t="shared" si="7"/>
        <v>505</v>
      </c>
      <c r="K104" t="e">
        <f>1.2*SQRT(2*J104/(airplane!$B$25*airplane!$B$22))</f>
        <v>#DIV/0!</v>
      </c>
      <c r="L104" t="e">
        <f>1/2*K104^3/(airplane!$B$23*airplane!$B$9*airplane!$B$10*airplane!$B$4)</f>
        <v>#DIV/0!</v>
      </c>
      <c r="N104">
        <f t="shared" si="5"/>
        <v>168.77099999999999</v>
      </c>
      <c r="O104" t="e">
        <f t="shared" si="6"/>
        <v>#DIV/0!</v>
      </c>
    </row>
    <row r="105" spans="10:15" x14ac:dyDescent="0.2">
      <c r="J105">
        <f t="shared" si="7"/>
        <v>510</v>
      </c>
      <c r="K105" t="e">
        <f>1.2*SQRT(2*J105/(airplane!$B$25*airplane!$B$22))</f>
        <v>#DIV/0!</v>
      </c>
      <c r="L105" t="e">
        <f>1/2*K105^3/(airplane!$B$23*airplane!$B$9*airplane!$B$10*airplane!$B$4)</f>
        <v>#DIV/0!</v>
      </c>
      <c r="N105">
        <f t="shared" si="5"/>
        <v>170.44200000000001</v>
      </c>
      <c r="O105" t="e">
        <f t="shared" si="6"/>
        <v>#DIV/0!</v>
      </c>
    </row>
    <row r="106" spans="10:15" x14ac:dyDescent="0.2">
      <c r="J106">
        <f t="shared" si="7"/>
        <v>515</v>
      </c>
      <c r="K106" t="e">
        <f>1.2*SQRT(2*J106/(airplane!$B$25*airplane!$B$22))</f>
        <v>#DIV/0!</v>
      </c>
      <c r="L106" t="e">
        <f>1/2*K106^3/(airplane!$B$23*airplane!$B$9*airplane!$B$10*airplane!$B$4)</f>
        <v>#DIV/0!</v>
      </c>
      <c r="N106">
        <f t="shared" si="5"/>
        <v>172.113</v>
      </c>
      <c r="O106" t="e">
        <f t="shared" si="6"/>
        <v>#DIV/0!</v>
      </c>
    </row>
    <row r="107" spans="10:15" x14ac:dyDescent="0.2">
      <c r="J107">
        <f t="shared" si="7"/>
        <v>520</v>
      </c>
      <c r="K107" t="e">
        <f>1.2*SQRT(2*J107/(airplane!$B$25*airplane!$B$22))</f>
        <v>#DIV/0!</v>
      </c>
      <c r="L107" t="e">
        <f>1/2*K107^3/(airplane!$B$23*airplane!$B$9*airplane!$B$10*airplane!$B$4)</f>
        <v>#DIV/0!</v>
      </c>
      <c r="N107">
        <f t="shared" si="5"/>
        <v>173.78399999999999</v>
      </c>
      <c r="O107" t="e">
        <f t="shared" si="6"/>
        <v>#DIV/0!</v>
      </c>
    </row>
    <row r="108" spans="10:15" x14ac:dyDescent="0.2">
      <c r="J108">
        <f t="shared" si="7"/>
        <v>525</v>
      </c>
      <c r="K108" t="e">
        <f>1.2*SQRT(2*J108/(airplane!$B$25*airplane!$B$22))</f>
        <v>#DIV/0!</v>
      </c>
      <c r="L108" t="e">
        <f>1/2*K108^3/(airplane!$B$23*airplane!$B$9*airplane!$B$10*airplane!$B$4)</f>
        <v>#DIV/0!</v>
      </c>
      <c r="N108">
        <f t="shared" si="5"/>
        <v>175.45500000000001</v>
      </c>
      <c r="O108" t="e">
        <f t="shared" si="6"/>
        <v>#DIV/0!</v>
      </c>
    </row>
    <row r="109" spans="10:15" x14ac:dyDescent="0.2">
      <c r="J109">
        <f t="shared" si="7"/>
        <v>530</v>
      </c>
      <c r="K109" t="e">
        <f>1.2*SQRT(2*J109/(airplane!$B$25*airplane!$B$22))</f>
        <v>#DIV/0!</v>
      </c>
      <c r="L109" t="e">
        <f>1/2*K109^3/(airplane!$B$23*airplane!$B$9*airplane!$B$10*airplane!$B$4)</f>
        <v>#DIV/0!</v>
      </c>
      <c r="N109">
        <f t="shared" si="5"/>
        <v>177.126</v>
      </c>
      <c r="O109" t="e">
        <f t="shared" si="6"/>
        <v>#DIV/0!</v>
      </c>
    </row>
    <row r="110" spans="10:15" x14ac:dyDescent="0.2">
      <c r="J110">
        <f t="shared" si="7"/>
        <v>535</v>
      </c>
      <c r="K110" t="e">
        <f>1.2*SQRT(2*J110/(airplane!$B$25*airplane!$B$22))</f>
        <v>#DIV/0!</v>
      </c>
      <c r="L110" t="e">
        <f>1/2*K110^3/(airplane!$B$23*airplane!$B$9*airplane!$B$10*airplane!$B$4)</f>
        <v>#DIV/0!</v>
      </c>
      <c r="N110">
        <f t="shared" si="5"/>
        <v>178.797</v>
      </c>
      <c r="O110" t="e">
        <f t="shared" si="6"/>
        <v>#DIV/0!</v>
      </c>
    </row>
    <row r="111" spans="10:15" x14ac:dyDescent="0.2">
      <c r="J111">
        <f t="shared" si="7"/>
        <v>540</v>
      </c>
      <c r="K111" t="e">
        <f>1.2*SQRT(2*J111/(airplane!$B$25*airplane!$B$22))</f>
        <v>#DIV/0!</v>
      </c>
      <c r="L111" t="e">
        <f>1/2*K111^3/(airplane!$B$23*airplane!$B$9*airplane!$B$10*airplane!$B$4)</f>
        <v>#DIV/0!</v>
      </c>
      <c r="N111">
        <f t="shared" si="5"/>
        <v>180.46799999999999</v>
      </c>
      <c r="O111" t="e">
        <f t="shared" si="6"/>
        <v>#DIV/0!</v>
      </c>
    </row>
    <row r="112" spans="10:15" x14ac:dyDescent="0.2">
      <c r="J112">
        <f t="shared" si="7"/>
        <v>545</v>
      </c>
      <c r="K112" t="e">
        <f>1.2*SQRT(2*J112/(airplane!$B$25*airplane!$B$22))</f>
        <v>#DIV/0!</v>
      </c>
      <c r="L112" t="e">
        <f>1/2*K112^3/(airplane!$B$23*airplane!$B$9*airplane!$B$10*airplane!$B$4)</f>
        <v>#DIV/0!</v>
      </c>
      <c r="N112">
        <f t="shared" si="5"/>
        <v>182.13900000000001</v>
      </c>
      <c r="O112" t="e">
        <f t="shared" si="6"/>
        <v>#DIV/0!</v>
      </c>
    </row>
    <row r="113" spans="10:15" x14ac:dyDescent="0.2">
      <c r="J113">
        <f t="shared" si="7"/>
        <v>550</v>
      </c>
      <c r="K113" t="e">
        <f>1.2*SQRT(2*J113/(airplane!$B$25*airplane!$B$22))</f>
        <v>#DIV/0!</v>
      </c>
      <c r="L113" t="e">
        <f>1/2*K113^3/(airplane!$B$23*airplane!$B$9*airplane!$B$10*airplane!$B$4)</f>
        <v>#DIV/0!</v>
      </c>
      <c r="N113">
        <f t="shared" si="5"/>
        <v>183.81</v>
      </c>
      <c r="O113" t="e">
        <f t="shared" si="6"/>
        <v>#DIV/0!</v>
      </c>
    </row>
    <row r="114" spans="10:15" x14ac:dyDescent="0.2">
      <c r="J114">
        <f t="shared" si="7"/>
        <v>555</v>
      </c>
      <c r="K114" t="e">
        <f>1.2*SQRT(2*J114/(airplane!$B$25*airplane!$B$22))</f>
        <v>#DIV/0!</v>
      </c>
      <c r="L114" t="e">
        <f>1/2*K114^3/(airplane!$B$23*airplane!$B$9*airplane!$B$10*airplane!$B$4)</f>
        <v>#DIV/0!</v>
      </c>
      <c r="N114">
        <f t="shared" si="5"/>
        <v>185.48099999999999</v>
      </c>
      <c r="O114" t="e">
        <f t="shared" si="6"/>
        <v>#DIV/0!</v>
      </c>
    </row>
    <row r="115" spans="10:15" x14ac:dyDescent="0.2">
      <c r="J115">
        <f t="shared" si="7"/>
        <v>560</v>
      </c>
      <c r="K115" t="e">
        <f>1.2*SQRT(2*J115/(airplane!$B$25*airplane!$B$22))</f>
        <v>#DIV/0!</v>
      </c>
      <c r="L115" t="e">
        <f>1/2*K115^3/(airplane!$B$23*airplane!$B$9*airplane!$B$10*airplane!$B$4)</f>
        <v>#DIV/0!</v>
      </c>
      <c r="N115">
        <f t="shared" si="5"/>
        <v>187.15199999999999</v>
      </c>
      <c r="O115" t="e">
        <f t="shared" si="6"/>
        <v>#DIV/0!</v>
      </c>
    </row>
    <row r="116" spans="10:15" x14ac:dyDescent="0.2">
      <c r="J116">
        <f t="shared" si="7"/>
        <v>565</v>
      </c>
      <c r="K116" t="e">
        <f>1.2*SQRT(2*J116/(airplane!$B$25*airplane!$B$22))</f>
        <v>#DIV/0!</v>
      </c>
      <c r="L116" t="e">
        <f>1/2*K116^3/(airplane!$B$23*airplane!$B$9*airplane!$B$10*airplane!$B$4)</f>
        <v>#DIV/0!</v>
      </c>
      <c r="N116">
        <f t="shared" si="5"/>
        <v>188.82300000000001</v>
      </c>
      <c r="O116" t="e">
        <f t="shared" si="6"/>
        <v>#DIV/0!</v>
      </c>
    </row>
    <row r="117" spans="10:15" x14ac:dyDescent="0.2">
      <c r="J117">
        <f t="shared" si="7"/>
        <v>570</v>
      </c>
      <c r="K117" t="e">
        <f>1.2*SQRT(2*J117/(airplane!$B$25*airplane!$B$22))</f>
        <v>#DIV/0!</v>
      </c>
      <c r="L117" t="e">
        <f>1/2*K117^3/(airplane!$B$23*airplane!$B$9*airplane!$B$10*airplane!$B$4)</f>
        <v>#DIV/0!</v>
      </c>
      <c r="N117">
        <f t="shared" si="5"/>
        <v>190.494</v>
      </c>
      <c r="O117" t="e">
        <f t="shared" si="6"/>
        <v>#DIV/0!</v>
      </c>
    </row>
    <row r="118" spans="10:15" x14ac:dyDescent="0.2">
      <c r="J118">
        <f t="shared" si="7"/>
        <v>575</v>
      </c>
      <c r="K118" t="e">
        <f>1.2*SQRT(2*J118/(airplane!$B$25*airplane!$B$22))</f>
        <v>#DIV/0!</v>
      </c>
      <c r="L118" t="e">
        <f>1/2*K118^3/(airplane!$B$23*airplane!$B$9*airplane!$B$10*airplane!$B$4)</f>
        <v>#DIV/0!</v>
      </c>
      <c r="N118">
        <f t="shared" ref="N118:N181" si="8">J118*0.3342</f>
        <v>192.16499999999999</v>
      </c>
      <c r="O118" t="e">
        <f t="shared" ref="O118:O181" si="9">L118*4.448</f>
        <v>#DIV/0!</v>
      </c>
    </row>
    <row r="119" spans="10:15" x14ac:dyDescent="0.2">
      <c r="J119">
        <f t="shared" si="7"/>
        <v>580</v>
      </c>
      <c r="K119" t="e">
        <f>1.2*SQRT(2*J119/(airplane!$B$25*airplane!$B$22))</f>
        <v>#DIV/0!</v>
      </c>
      <c r="L119" t="e">
        <f>1/2*K119^3/(airplane!$B$23*airplane!$B$9*airplane!$B$10*airplane!$B$4)</f>
        <v>#DIV/0!</v>
      </c>
      <c r="N119">
        <f t="shared" si="8"/>
        <v>193.83599999999998</v>
      </c>
      <c r="O119" t="e">
        <f t="shared" si="9"/>
        <v>#DIV/0!</v>
      </c>
    </row>
    <row r="120" spans="10:15" x14ac:dyDescent="0.2">
      <c r="J120">
        <f t="shared" si="7"/>
        <v>585</v>
      </c>
      <c r="K120" t="e">
        <f>1.2*SQRT(2*J120/(airplane!$B$25*airplane!$B$22))</f>
        <v>#DIV/0!</v>
      </c>
      <c r="L120" t="e">
        <f>1/2*K120^3/(airplane!$B$23*airplane!$B$9*airplane!$B$10*airplane!$B$4)</f>
        <v>#DIV/0!</v>
      </c>
      <c r="N120">
        <f t="shared" si="8"/>
        <v>195.50700000000001</v>
      </c>
      <c r="O120" t="e">
        <f t="shared" si="9"/>
        <v>#DIV/0!</v>
      </c>
    </row>
    <row r="121" spans="10:15" x14ac:dyDescent="0.2">
      <c r="J121">
        <f t="shared" si="7"/>
        <v>590</v>
      </c>
      <c r="K121" t="e">
        <f>1.2*SQRT(2*J121/(airplane!$B$25*airplane!$B$22))</f>
        <v>#DIV/0!</v>
      </c>
      <c r="L121" t="e">
        <f>1/2*K121^3/(airplane!$B$23*airplane!$B$9*airplane!$B$10*airplane!$B$4)</f>
        <v>#DIV/0!</v>
      </c>
      <c r="N121">
        <f t="shared" si="8"/>
        <v>197.178</v>
      </c>
      <c r="O121" t="e">
        <f t="shared" si="9"/>
        <v>#DIV/0!</v>
      </c>
    </row>
    <row r="122" spans="10:15" x14ac:dyDescent="0.2">
      <c r="J122">
        <f t="shared" si="7"/>
        <v>595</v>
      </c>
      <c r="K122" t="e">
        <f>1.2*SQRT(2*J122/(airplane!$B$25*airplane!$B$22))</f>
        <v>#DIV/0!</v>
      </c>
      <c r="L122" t="e">
        <f>1/2*K122^3/(airplane!$B$23*airplane!$B$9*airplane!$B$10*airplane!$B$4)</f>
        <v>#DIV/0!</v>
      </c>
      <c r="N122">
        <f t="shared" si="8"/>
        <v>198.84899999999999</v>
      </c>
      <c r="O122" t="e">
        <f t="shared" si="9"/>
        <v>#DIV/0!</v>
      </c>
    </row>
    <row r="123" spans="10:15" x14ac:dyDescent="0.2">
      <c r="J123">
        <f t="shared" si="7"/>
        <v>600</v>
      </c>
      <c r="K123" t="e">
        <f>1.2*SQRT(2*J123/(airplane!$B$25*airplane!$B$22))</f>
        <v>#DIV/0!</v>
      </c>
      <c r="L123" t="e">
        <f>1/2*K123^3/(airplane!$B$23*airplane!$B$9*airplane!$B$10*airplane!$B$4)</f>
        <v>#DIV/0!</v>
      </c>
      <c r="N123">
        <f t="shared" si="8"/>
        <v>200.52</v>
      </c>
      <c r="O123" t="e">
        <f t="shared" si="9"/>
        <v>#DIV/0!</v>
      </c>
    </row>
    <row r="124" spans="10:15" x14ac:dyDescent="0.2">
      <c r="J124">
        <f t="shared" si="7"/>
        <v>605</v>
      </c>
      <c r="K124" t="e">
        <f>1.2*SQRT(2*J124/(airplane!$B$25*airplane!$B$22))</f>
        <v>#DIV/0!</v>
      </c>
      <c r="L124" t="e">
        <f>1/2*K124^3/(airplane!$B$23*airplane!$B$9*airplane!$B$10*airplane!$B$4)</f>
        <v>#DIV/0!</v>
      </c>
      <c r="N124">
        <f t="shared" si="8"/>
        <v>202.191</v>
      </c>
      <c r="O124" t="e">
        <f t="shared" si="9"/>
        <v>#DIV/0!</v>
      </c>
    </row>
    <row r="125" spans="10:15" x14ac:dyDescent="0.2">
      <c r="J125">
        <f t="shared" si="7"/>
        <v>610</v>
      </c>
      <c r="K125" t="e">
        <f>1.2*SQRT(2*J125/(airplane!$B$25*airplane!$B$22))</f>
        <v>#DIV/0!</v>
      </c>
      <c r="L125" t="e">
        <f>1/2*K125^3/(airplane!$B$23*airplane!$B$9*airplane!$B$10*airplane!$B$4)</f>
        <v>#DIV/0!</v>
      </c>
      <c r="N125">
        <f t="shared" si="8"/>
        <v>203.86199999999999</v>
      </c>
      <c r="O125" t="e">
        <f t="shared" si="9"/>
        <v>#DIV/0!</v>
      </c>
    </row>
    <row r="126" spans="10:15" x14ac:dyDescent="0.2">
      <c r="J126">
        <f t="shared" si="7"/>
        <v>615</v>
      </c>
      <c r="K126" t="e">
        <f>1.2*SQRT(2*J126/(airplane!$B$25*airplane!$B$22))</f>
        <v>#DIV/0!</v>
      </c>
      <c r="L126" t="e">
        <f>1/2*K126^3/(airplane!$B$23*airplane!$B$9*airplane!$B$10*airplane!$B$4)</f>
        <v>#DIV/0!</v>
      </c>
      <c r="N126">
        <f t="shared" si="8"/>
        <v>205.53299999999999</v>
      </c>
      <c r="O126" t="e">
        <f t="shared" si="9"/>
        <v>#DIV/0!</v>
      </c>
    </row>
    <row r="127" spans="10:15" x14ac:dyDescent="0.2">
      <c r="J127">
        <f t="shared" si="7"/>
        <v>620</v>
      </c>
      <c r="K127" t="e">
        <f>1.2*SQRT(2*J127/(airplane!$B$25*airplane!$B$22))</f>
        <v>#DIV/0!</v>
      </c>
      <c r="L127" t="e">
        <f>1/2*K127^3/(airplane!$B$23*airplane!$B$9*airplane!$B$10*airplane!$B$4)</f>
        <v>#DIV/0!</v>
      </c>
      <c r="N127">
        <f t="shared" si="8"/>
        <v>207.20400000000001</v>
      </c>
      <c r="O127" t="e">
        <f t="shared" si="9"/>
        <v>#DIV/0!</v>
      </c>
    </row>
    <row r="128" spans="10:15" x14ac:dyDescent="0.2">
      <c r="J128">
        <f t="shared" si="7"/>
        <v>625</v>
      </c>
      <c r="K128" t="e">
        <f>1.2*SQRT(2*J128/(airplane!$B$25*airplane!$B$22))</f>
        <v>#DIV/0!</v>
      </c>
      <c r="L128" t="e">
        <f>1/2*K128^3/(airplane!$B$23*airplane!$B$9*airplane!$B$10*airplane!$B$4)</f>
        <v>#DIV/0!</v>
      </c>
      <c r="N128">
        <f t="shared" si="8"/>
        <v>208.875</v>
      </c>
      <c r="O128" t="e">
        <f t="shared" si="9"/>
        <v>#DIV/0!</v>
      </c>
    </row>
    <row r="129" spans="10:15" x14ac:dyDescent="0.2">
      <c r="J129">
        <f t="shared" si="7"/>
        <v>630</v>
      </c>
      <c r="K129" t="e">
        <f>1.2*SQRT(2*J129/(airplane!$B$25*airplane!$B$22))</f>
        <v>#DIV/0!</v>
      </c>
      <c r="L129" t="e">
        <f>1/2*K129^3/(airplane!$B$23*airplane!$B$9*airplane!$B$10*airplane!$B$4)</f>
        <v>#DIV/0!</v>
      </c>
      <c r="N129">
        <f t="shared" si="8"/>
        <v>210.54599999999999</v>
      </c>
      <c r="O129" t="e">
        <f t="shared" si="9"/>
        <v>#DIV/0!</v>
      </c>
    </row>
    <row r="130" spans="10:15" x14ac:dyDescent="0.2">
      <c r="J130">
        <f t="shared" si="7"/>
        <v>635</v>
      </c>
      <c r="K130" t="e">
        <f>1.2*SQRT(2*J130/(airplane!$B$25*airplane!$B$22))</f>
        <v>#DIV/0!</v>
      </c>
      <c r="L130" t="e">
        <f>1/2*K130^3/(airplane!$B$23*airplane!$B$9*airplane!$B$10*airplane!$B$4)</f>
        <v>#DIV/0!</v>
      </c>
      <c r="N130">
        <f t="shared" si="8"/>
        <v>212.21699999999998</v>
      </c>
      <c r="O130" t="e">
        <f t="shared" si="9"/>
        <v>#DIV/0!</v>
      </c>
    </row>
    <row r="131" spans="10:15" x14ac:dyDescent="0.2">
      <c r="J131">
        <f t="shared" si="7"/>
        <v>640</v>
      </c>
      <c r="K131" t="e">
        <f>1.2*SQRT(2*J131/(airplane!$B$25*airplane!$B$22))</f>
        <v>#DIV/0!</v>
      </c>
      <c r="L131" t="e">
        <f>1/2*K131^3/(airplane!$B$23*airplane!$B$9*airplane!$B$10*airplane!$B$4)</f>
        <v>#DIV/0!</v>
      </c>
      <c r="N131">
        <f t="shared" si="8"/>
        <v>213.88800000000001</v>
      </c>
      <c r="O131" t="e">
        <f t="shared" si="9"/>
        <v>#DIV/0!</v>
      </c>
    </row>
    <row r="132" spans="10:15" x14ac:dyDescent="0.2">
      <c r="J132">
        <f t="shared" si="7"/>
        <v>645</v>
      </c>
      <c r="K132" t="e">
        <f>1.2*SQRT(2*J132/(airplane!$B$25*airplane!$B$22))</f>
        <v>#DIV/0!</v>
      </c>
      <c r="L132" t="e">
        <f>1/2*K132^3/(airplane!$B$23*airplane!$B$9*airplane!$B$10*airplane!$B$4)</f>
        <v>#DIV/0!</v>
      </c>
      <c r="N132">
        <f t="shared" si="8"/>
        <v>215.559</v>
      </c>
      <c r="O132" t="e">
        <f t="shared" si="9"/>
        <v>#DIV/0!</v>
      </c>
    </row>
    <row r="133" spans="10:15" x14ac:dyDescent="0.2">
      <c r="J133">
        <f t="shared" ref="J133:J196" si="10">J132+5</f>
        <v>650</v>
      </c>
      <c r="K133" t="e">
        <f>1.2*SQRT(2*J133/(airplane!$B$25*airplane!$B$22))</f>
        <v>#DIV/0!</v>
      </c>
      <c r="L133" t="e">
        <f>1/2*K133^3/(airplane!$B$23*airplane!$B$9*airplane!$B$10*airplane!$B$4)</f>
        <v>#DIV/0!</v>
      </c>
      <c r="N133">
        <f t="shared" si="8"/>
        <v>217.23</v>
      </c>
      <c r="O133" t="e">
        <f t="shared" si="9"/>
        <v>#DIV/0!</v>
      </c>
    </row>
    <row r="134" spans="10:15" x14ac:dyDescent="0.2">
      <c r="J134">
        <f t="shared" si="10"/>
        <v>655</v>
      </c>
      <c r="K134" t="e">
        <f>1.2*SQRT(2*J134/(airplane!$B$25*airplane!$B$22))</f>
        <v>#DIV/0!</v>
      </c>
      <c r="L134" t="e">
        <f>1/2*K134^3/(airplane!$B$23*airplane!$B$9*airplane!$B$10*airplane!$B$4)</f>
        <v>#DIV/0!</v>
      </c>
      <c r="N134">
        <f t="shared" si="8"/>
        <v>218.90100000000001</v>
      </c>
      <c r="O134" t="e">
        <f t="shared" si="9"/>
        <v>#DIV/0!</v>
      </c>
    </row>
    <row r="135" spans="10:15" x14ac:dyDescent="0.2">
      <c r="J135">
        <f t="shared" si="10"/>
        <v>660</v>
      </c>
      <c r="K135" t="e">
        <f>1.2*SQRT(2*J135/(airplane!$B$25*airplane!$B$22))</f>
        <v>#DIV/0!</v>
      </c>
      <c r="L135" t="e">
        <f>1/2*K135^3/(airplane!$B$23*airplane!$B$9*airplane!$B$10*airplane!$B$4)</f>
        <v>#DIV/0!</v>
      </c>
      <c r="N135">
        <f t="shared" si="8"/>
        <v>220.572</v>
      </c>
      <c r="O135" t="e">
        <f t="shared" si="9"/>
        <v>#DIV/0!</v>
      </c>
    </row>
    <row r="136" spans="10:15" x14ac:dyDescent="0.2">
      <c r="J136">
        <f t="shared" si="10"/>
        <v>665</v>
      </c>
      <c r="K136" t="e">
        <f>1.2*SQRT(2*J136/(airplane!$B$25*airplane!$B$22))</f>
        <v>#DIV/0!</v>
      </c>
      <c r="L136" t="e">
        <f>1/2*K136^3/(airplane!$B$23*airplane!$B$9*airplane!$B$10*airplane!$B$4)</f>
        <v>#DIV/0!</v>
      </c>
      <c r="N136">
        <f t="shared" si="8"/>
        <v>222.24299999999999</v>
      </c>
      <c r="O136" t="e">
        <f t="shared" si="9"/>
        <v>#DIV/0!</v>
      </c>
    </row>
    <row r="137" spans="10:15" x14ac:dyDescent="0.2">
      <c r="J137">
        <f t="shared" si="10"/>
        <v>670</v>
      </c>
      <c r="K137" t="e">
        <f>1.2*SQRT(2*J137/(airplane!$B$25*airplane!$B$22))</f>
        <v>#DIV/0!</v>
      </c>
      <c r="L137" t="e">
        <f>1/2*K137^3/(airplane!$B$23*airplane!$B$9*airplane!$B$10*airplane!$B$4)</f>
        <v>#DIV/0!</v>
      </c>
      <c r="N137">
        <f t="shared" si="8"/>
        <v>223.91399999999999</v>
      </c>
      <c r="O137" t="e">
        <f t="shared" si="9"/>
        <v>#DIV/0!</v>
      </c>
    </row>
    <row r="138" spans="10:15" x14ac:dyDescent="0.2">
      <c r="J138">
        <f t="shared" si="10"/>
        <v>675</v>
      </c>
      <c r="K138" t="e">
        <f>1.2*SQRT(2*J138/(airplane!$B$25*airplane!$B$22))</f>
        <v>#DIV/0!</v>
      </c>
      <c r="L138" t="e">
        <f>1/2*K138^3/(airplane!$B$23*airplane!$B$9*airplane!$B$10*airplane!$B$4)</f>
        <v>#DIV/0!</v>
      </c>
      <c r="N138">
        <f t="shared" si="8"/>
        <v>225.58500000000001</v>
      </c>
      <c r="O138" t="e">
        <f t="shared" si="9"/>
        <v>#DIV/0!</v>
      </c>
    </row>
    <row r="139" spans="10:15" x14ac:dyDescent="0.2">
      <c r="J139">
        <f t="shared" si="10"/>
        <v>680</v>
      </c>
      <c r="K139" t="e">
        <f>1.2*SQRT(2*J139/(airplane!$B$25*airplane!$B$22))</f>
        <v>#DIV/0!</v>
      </c>
      <c r="L139" t="e">
        <f>1/2*K139^3/(airplane!$B$23*airplane!$B$9*airplane!$B$10*airplane!$B$4)</f>
        <v>#DIV/0!</v>
      </c>
      <c r="N139">
        <f t="shared" si="8"/>
        <v>227.256</v>
      </c>
      <c r="O139" t="e">
        <f t="shared" si="9"/>
        <v>#DIV/0!</v>
      </c>
    </row>
    <row r="140" spans="10:15" x14ac:dyDescent="0.2">
      <c r="J140">
        <f t="shared" si="10"/>
        <v>685</v>
      </c>
      <c r="K140" t="e">
        <f>1.2*SQRT(2*J140/(airplane!$B$25*airplane!$B$22))</f>
        <v>#DIV/0!</v>
      </c>
      <c r="L140" t="e">
        <f>1/2*K140^3/(airplane!$B$23*airplane!$B$9*airplane!$B$10*airplane!$B$4)</f>
        <v>#DIV/0!</v>
      </c>
      <c r="N140">
        <f t="shared" si="8"/>
        <v>228.92699999999999</v>
      </c>
      <c r="O140" t="e">
        <f t="shared" si="9"/>
        <v>#DIV/0!</v>
      </c>
    </row>
    <row r="141" spans="10:15" x14ac:dyDescent="0.2">
      <c r="J141">
        <f t="shared" si="10"/>
        <v>690</v>
      </c>
      <c r="K141" t="e">
        <f>1.2*SQRT(2*J141/(airplane!$B$25*airplane!$B$22))</f>
        <v>#DIV/0!</v>
      </c>
      <c r="L141" t="e">
        <f>1/2*K141^3/(airplane!$B$23*airplane!$B$9*airplane!$B$10*airplane!$B$4)</f>
        <v>#DIV/0!</v>
      </c>
      <c r="N141">
        <f t="shared" si="8"/>
        <v>230.59799999999998</v>
      </c>
      <c r="O141" t="e">
        <f t="shared" si="9"/>
        <v>#DIV/0!</v>
      </c>
    </row>
    <row r="142" spans="10:15" x14ac:dyDescent="0.2">
      <c r="J142">
        <f t="shared" si="10"/>
        <v>695</v>
      </c>
      <c r="K142" t="e">
        <f>1.2*SQRT(2*J142/(airplane!$B$25*airplane!$B$22))</f>
        <v>#DIV/0!</v>
      </c>
      <c r="L142" t="e">
        <f>1/2*K142^3/(airplane!$B$23*airplane!$B$9*airplane!$B$10*airplane!$B$4)</f>
        <v>#DIV/0!</v>
      </c>
      <c r="N142">
        <f t="shared" si="8"/>
        <v>232.26900000000001</v>
      </c>
      <c r="O142" t="e">
        <f t="shared" si="9"/>
        <v>#DIV/0!</v>
      </c>
    </row>
    <row r="143" spans="10:15" x14ac:dyDescent="0.2">
      <c r="J143">
        <f t="shared" si="10"/>
        <v>700</v>
      </c>
      <c r="K143" t="e">
        <f>1.2*SQRT(2*J143/(airplane!$B$25*airplane!$B$22))</f>
        <v>#DIV/0!</v>
      </c>
      <c r="L143" t="e">
        <f>1/2*K143^3/(airplane!$B$23*airplane!$B$9*airplane!$B$10*airplane!$B$4)</f>
        <v>#DIV/0!</v>
      </c>
      <c r="N143">
        <f t="shared" si="8"/>
        <v>233.94</v>
      </c>
      <c r="O143" t="e">
        <f t="shared" si="9"/>
        <v>#DIV/0!</v>
      </c>
    </row>
    <row r="144" spans="10:15" x14ac:dyDescent="0.2">
      <c r="J144">
        <f t="shared" si="10"/>
        <v>705</v>
      </c>
      <c r="K144" t="e">
        <f>1.2*SQRT(2*J144/(airplane!$B$25*airplane!$B$22))</f>
        <v>#DIV/0!</v>
      </c>
      <c r="L144" t="e">
        <f>1/2*K144^3/(airplane!$B$23*airplane!$B$9*airplane!$B$10*airplane!$B$4)</f>
        <v>#DIV/0!</v>
      </c>
      <c r="N144">
        <f t="shared" si="8"/>
        <v>235.61099999999999</v>
      </c>
      <c r="O144" t="e">
        <f t="shared" si="9"/>
        <v>#DIV/0!</v>
      </c>
    </row>
    <row r="145" spans="10:15" x14ac:dyDescent="0.2">
      <c r="J145">
        <f t="shared" si="10"/>
        <v>710</v>
      </c>
      <c r="K145" t="e">
        <f>1.2*SQRT(2*J145/(airplane!$B$25*airplane!$B$22))</f>
        <v>#DIV/0!</v>
      </c>
      <c r="L145" t="e">
        <f>1/2*K145^3/(airplane!$B$23*airplane!$B$9*airplane!$B$10*airplane!$B$4)</f>
        <v>#DIV/0!</v>
      </c>
      <c r="N145">
        <f t="shared" si="8"/>
        <v>237.28200000000001</v>
      </c>
      <c r="O145" t="e">
        <f t="shared" si="9"/>
        <v>#DIV/0!</v>
      </c>
    </row>
    <row r="146" spans="10:15" x14ac:dyDescent="0.2">
      <c r="J146">
        <f t="shared" si="10"/>
        <v>715</v>
      </c>
      <c r="K146" t="e">
        <f>1.2*SQRT(2*J146/(airplane!$B$25*airplane!$B$22))</f>
        <v>#DIV/0!</v>
      </c>
      <c r="L146" t="e">
        <f>1/2*K146^3/(airplane!$B$23*airplane!$B$9*airplane!$B$10*airplane!$B$4)</f>
        <v>#DIV/0!</v>
      </c>
      <c r="N146">
        <f t="shared" si="8"/>
        <v>238.953</v>
      </c>
      <c r="O146" t="e">
        <f t="shared" si="9"/>
        <v>#DIV/0!</v>
      </c>
    </row>
    <row r="147" spans="10:15" x14ac:dyDescent="0.2">
      <c r="J147">
        <f t="shared" si="10"/>
        <v>720</v>
      </c>
      <c r="K147" t="e">
        <f>1.2*SQRT(2*J147/(airplane!$B$25*airplane!$B$22))</f>
        <v>#DIV/0!</v>
      </c>
      <c r="L147" t="e">
        <f>1/2*K147^3/(airplane!$B$23*airplane!$B$9*airplane!$B$10*airplane!$B$4)</f>
        <v>#DIV/0!</v>
      </c>
      <c r="N147">
        <f t="shared" si="8"/>
        <v>240.624</v>
      </c>
      <c r="O147" t="e">
        <f t="shared" si="9"/>
        <v>#DIV/0!</v>
      </c>
    </row>
    <row r="148" spans="10:15" x14ac:dyDescent="0.2">
      <c r="J148">
        <f t="shared" si="10"/>
        <v>725</v>
      </c>
      <c r="K148" t="e">
        <f>1.2*SQRT(2*J148/(airplane!$B$25*airplane!$B$22))</f>
        <v>#DIV/0!</v>
      </c>
      <c r="L148" t="e">
        <f>1/2*K148^3/(airplane!$B$23*airplane!$B$9*airplane!$B$10*airplane!$B$4)</f>
        <v>#DIV/0!</v>
      </c>
      <c r="N148">
        <f t="shared" si="8"/>
        <v>242.29499999999999</v>
      </c>
      <c r="O148" t="e">
        <f t="shared" si="9"/>
        <v>#DIV/0!</v>
      </c>
    </row>
    <row r="149" spans="10:15" x14ac:dyDescent="0.2">
      <c r="J149">
        <f t="shared" si="10"/>
        <v>730</v>
      </c>
      <c r="K149" t="e">
        <f>1.2*SQRT(2*J149/(airplane!$B$25*airplane!$B$22))</f>
        <v>#DIV/0!</v>
      </c>
      <c r="L149" t="e">
        <f>1/2*K149^3/(airplane!$B$23*airplane!$B$9*airplane!$B$10*airplane!$B$4)</f>
        <v>#DIV/0!</v>
      </c>
      <c r="N149">
        <f t="shared" si="8"/>
        <v>243.96600000000001</v>
      </c>
      <c r="O149" t="e">
        <f t="shared" si="9"/>
        <v>#DIV/0!</v>
      </c>
    </row>
    <row r="150" spans="10:15" x14ac:dyDescent="0.2">
      <c r="J150">
        <f t="shared" si="10"/>
        <v>735</v>
      </c>
      <c r="K150" t="e">
        <f>1.2*SQRT(2*J150/(airplane!$B$25*airplane!$B$22))</f>
        <v>#DIV/0!</v>
      </c>
      <c r="L150" t="e">
        <f>1/2*K150^3/(airplane!$B$23*airplane!$B$9*airplane!$B$10*airplane!$B$4)</f>
        <v>#DIV/0!</v>
      </c>
      <c r="N150">
        <f t="shared" si="8"/>
        <v>245.637</v>
      </c>
      <c r="O150" t="e">
        <f t="shared" si="9"/>
        <v>#DIV/0!</v>
      </c>
    </row>
    <row r="151" spans="10:15" x14ac:dyDescent="0.2">
      <c r="J151">
        <f t="shared" si="10"/>
        <v>740</v>
      </c>
      <c r="K151" t="e">
        <f>1.2*SQRT(2*J151/(airplane!$B$25*airplane!$B$22))</f>
        <v>#DIV/0!</v>
      </c>
      <c r="L151" t="e">
        <f>1/2*K151^3/(airplane!$B$23*airplane!$B$9*airplane!$B$10*airplane!$B$4)</f>
        <v>#DIV/0!</v>
      </c>
      <c r="N151">
        <f t="shared" si="8"/>
        <v>247.30799999999999</v>
      </c>
      <c r="O151" t="e">
        <f t="shared" si="9"/>
        <v>#DIV/0!</v>
      </c>
    </row>
    <row r="152" spans="10:15" x14ac:dyDescent="0.2">
      <c r="J152">
        <f t="shared" si="10"/>
        <v>745</v>
      </c>
      <c r="K152" t="e">
        <f>1.2*SQRT(2*J152/(airplane!$B$25*airplane!$B$22))</f>
        <v>#DIV/0!</v>
      </c>
      <c r="L152" t="e">
        <f>1/2*K152^3/(airplane!$B$23*airplane!$B$9*airplane!$B$10*airplane!$B$4)</f>
        <v>#DIV/0!</v>
      </c>
      <c r="N152">
        <f t="shared" si="8"/>
        <v>248.97899999999998</v>
      </c>
      <c r="O152" t="e">
        <f t="shared" si="9"/>
        <v>#DIV/0!</v>
      </c>
    </row>
    <row r="153" spans="10:15" x14ac:dyDescent="0.2">
      <c r="J153">
        <f t="shared" si="10"/>
        <v>750</v>
      </c>
      <c r="K153" t="e">
        <f>1.2*SQRT(2*J153/(airplane!$B$25*airplane!$B$22))</f>
        <v>#DIV/0!</v>
      </c>
      <c r="L153" t="e">
        <f>1/2*K153^3/(airplane!$B$23*airplane!$B$9*airplane!$B$10*airplane!$B$4)</f>
        <v>#DIV/0!</v>
      </c>
      <c r="N153">
        <f t="shared" si="8"/>
        <v>250.65</v>
      </c>
      <c r="O153" t="e">
        <f t="shared" si="9"/>
        <v>#DIV/0!</v>
      </c>
    </row>
    <row r="154" spans="10:15" x14ac:dyDescent="0.2">
      <c r="J154">
        <f t="shared" si="10"/>
        <v>755</v>
      </c>
      <c r="K154" t="e">
        <f>1.2*SQRT(2*J154/(airplane!$B$25*airplane!$B$22))</f>
        <v>#DIV/0!</v>
      </c>
      <c r="L154" t="e">
        <f>1/2*K154^3/(airplane!$B$23*airplane!$B$9*airplane!$B$10*airplane!$B$4)</f>
        <v>#DIV/0!</v>
      </c>
      <c r="N154">
        <f t="shared" si="8"/>
        <v>252.321</v>
      </c>
      <c r="O154" t="e">
        <f t="shared" si="9"/>
        <v>#DIV/0!</v>
      </c>
    </row>
    <row r="155" spans="10:15" x14ac:dyDescent="0.2">
      <c r="J155">
        <f t="shared" si="10"/>
        <v>760</v>
      </c>
      <c r="K155" t="e">
        <f>1.2*SQRT(2*J155/(airplane!$B$25*airplane!$B$22))</f>
        <v>#DIV/0!</v>
      </c>
      <c r="L155" t="e">
        <f>1/2*K155^3/(airplane!$B$23*airplane!$B$9*airplane!$B$10*airplane!$B$4)</f>
        <v>#DIV/0!</v>
      </c>
      <c r="N155">
        <f t="shared" si="8"/>
        <v>253.99199999999999</v>
      </c>
      <c r="O155" t="e">
        <f t="shared" si="9"/>
        <v>#DIV/0!</v>
      </c>
    </row>
    <row r="156" spans="10:15" x14ac:dyDescent="0.2">
      <c r="J156">
        <f t="shared" si="10"/>
        <v>765</v>
      </c>
      <c r="K156" t="e">
        <f>1.2*SQRT(2*J156/(airplane!$B$25*airplane!$B$22))</f>
        <v>#DIV/0!</v>
      </c>
      <c r="L156" t="e">
        <f>1/2*K156^3/(airplane!$B$23*airplane!$B$9*airplane!$B$10*airplane!$B$4)</f>
        <v>#DIV/0!</v>
      </c>
      <c r="N156">
        <f t="shared" si="8"/>
        <v>255.66300000000001</v>
      </c>
      <c r="O156" t="e">
        <f t="shared" si="9"/>
        <v>#DIV/0!</v>
      </c>
    </row>
    <row r="157" spans="10:15" x14ac:dyDescent="0.2">
      <c r="J157">
        <f t="shared" si="10"/>
        <v>770</v>
      </c>
      <c r="K157" t="e">
        <f>1.2*SQRT(2*J157/(airplane!$B$25*airplane!$B$22))</f>
        <v>#DIV/0!</v>
      </c>
      <c r="L157" t="e">
        <f>1/2*K157^3/(airplane!$B$23*airplane!$B$9*airplane!$B$10*airplane!$B$4)</f>
        <v>#DIV/0!</v>
      </c>
      <c r="N157">
        <f t="shared" si="8"/>
        <v>257.334</v>
      </c>
      <c r="O157" t="e">
        <f t="shared" si="9"/>
        <v>#DIV/0!</v>
      </c>
    </row>
    <row r="158" spans="10:15" x14ac:dyDescent="0.2">
      <c r="J158">
        <f t="shared" si="10"/>
        <v>775</v>
      </c>
      <c r="K158" t="e">
        <f>1.2*SQRT(2*J158/(airplane!$B$25*airplane!$B$22))</f>
        <v>#DIV/0!</v>
      </c>
      <c r="L158" t="e">
        <f>1/2*K158^3/(airplane!$B$23*airplane!$B$9*airplane!$B$10*airplane!$B$4)</f>
        <v>#DIV/0!</v>
      </c>
      <c r="N158">
        <f t="shared" si="8"/>
        <v>259.005</v>
      </c>
      <c r="O158" t="e">
        <f t="shared" si="9"/>
        <v>#DIV/0!</v>
      </c>
    </row>
    <row r="159" spans="10:15" x14ac:dyDescent="0.2">
      <c r="J159">
        <f t="shared" si="10"/>
        <v>780</v>
      </c>
      <c r="K159" t="e">
        <f>1.2*SQRT(2*J159/(airplane!$B$25*airplane!$B$22))</f>
        <v>#DIV/0!</v>
      </c>
      <c r="L159" t="e">
        <f>1/2*K159^3/(airplane!$B$23*airplane!$B$9*airplane!$B$10*airplane!$B$4)</f>
        <v>#DIV/0!</v>
      </c>
      <c r="N159">
        <f t="shared" si="8"/>
        <v>260.67599999999999</v>
      </c>
      <c r="O159" t="e">
        <f t="shared" si="9"/>
        <v>#DIV/0!</v>
      </c>
    </row>
    <row r="160" spans="10:15" x14ac:dyDescent="0.2">
      <c r="J160">
        <f t="shared" si="10"/>
        <v>785</v>
      </c>
      <c r="K160" t="e">
        <f>1.2*SQRT(2*J160/(airplane!$B$25*airplane!$B$22))</f>
        <v>#DIV/0!</v>
      </c>
      <c r="L160" t="e">
        <f>1/2*K160^3/(airplane!$B$23*airplane!$B$9*airplane!$B$10*airplane!$B$4)</f>
        <v>#DIV/0!</v>
      </c>
      <c r="N160">
        <f t="shared" si="8"/>
        <v>262.34699999999998</v>
      </c>
      <c r="O160" t="e">
        <f t="shared" si="9"/>
        <v>#DIV/0!</v>
      </c>
    </row>
    <row r="161" spans="10:15" x14ac:dyDescent="0.2">
      <c r="J161">
        <f t="shared" si="10"/>
        <v>790</v>
      </c>
      <c r="K161" t="e">
        <f>1.2*SQRT(2*J161/(airplane!$B$25*airplane!$B$22))</f>
        <v>#DIV/0!</v>
      </c>
      <c r="L161" t="e">
        <f>1/2*K161^3/(airplane!$B$23*airplane!$B$9*airplane!$B$10*airplane!$B$4)</f>
        <v>#DIV/0!</v>
      </c>
      <c r="N161">
        <f t="shared" si="8"/>
        <v>264.01799999999997</v>
      </c>
      <c r="O161" t="e">
        <f t="shared" si="9"/>
        <v>#DIV/0!</v>
      </c>
    </row>
    <row r="162" spans="10:15" x14ac:dyDescent="0.2">
      <c r="J162">
        <f t="shared" si="10"/>
        <v>795</v>
      </c>
      <c r="K162" t="e">
        <f>1.2*SQRT(2*J162/(airplane!$B$25*airplane!$B$22))</f>
        <v>#DIV/0!</v>
      </c>
      <c r="L162" t="e">
        <f>1/2*K162^3/(airplane!$B$23*airplane!$B$9*airplane!$B$10*airplane!$B$4)</f>
        <v>#DIV/0!</v>
      </c>
      <c r="N162">
        <f t="shared" si="8"/>
        <v>265.68900000000002</v>
      </c>
      <c r="O162" t="e">
        <f t="shared" si="9"/>
        <v>#DIV/0!</v>
      </c>
    </row>
    <row r="163" spans="10:15" x14ac:dyDescent="0.2">
      <c r="J163">
        <f t="shared" si="10"/>
        <v>800</v>
      </c>
      <c r="K163" t="e">
        <f>1.2*SQRT(2*J163/(airplane!$B$25*airplane!$B$22))</f>
        <v>#DIV/0!</v>
      </c>
      <c r="L163" t="e">
        <f>1/2*K163^3/(airplane!$B$23*airplane!$B$9*airplane!$B$10*airplane!$B$4)</f>
        <v>#DIV/0!</v>
      </c>
      <c r="N163">
        <f t="shared" si="8"/>
        <v>267.36</v>
      </c>
      <c r="O163" t="e">
        <f t="shared" si="9"/>
        <v>#DIV/0!</v>
      </c>
    </row>
    <row r="164" spans="10:15" x14ac:dyDescent="0.2">
      <c r="J164">
        <f t="shared" si="10"/>
        <v>805</v>
      </c>
      <c r="K164" t="e">
        <f>1.2*SQRT(2*J164/(airplane!$B$25*airplane!$B$22))</f>
        <v>#DIV/0!</v>
      </c>
      <c r="L164" t="e">
        <f>1/2*K164^3/(airplane!$B$23*airplane!$B$9*airplane!$B$10*airplane!$B$4)</f>
        <v>#DIV/0!</v>
      </c>
      <c r="N164">
        <f t="shared" si="8"/>
        <v>269.03100000000001</v>
      </c>
      <c r="O164" t="e">
        <f t="shared" si="9"/>
        <v>#DIV/0!</v>
      </c>
    </row>
    <row r="165" spans="10:15" x14ac:dyDescent="0.2">
      <c r="J165">
        <f t="shared" si="10"/>
        <v>810</v>
      </c>
      <c r="K165" t="e">
        <f>1.2*SQRT(2*J165/(airplane!$B$25*airplane!$B$22))</f>
        <v>#DIV/0!</v>
      </c>
      <c r="L165" t="e">
        <f>1/2*K165^3/(airplane!$B$23*airplane!$B$9*airplane!$B$10*airplane!$B$4)</f>
        <v>#DIV/0!</v>
      </c>
      <c r="N165">
        <f t="shared" si="8"/>
        <v>270.702</v>
      </c>
      <c r="O165" t="e">
        <f t="shared" si="9"/>
        <v>#DIV/0!</v>
      </c>
    </row>
    <row r="166" spans="10:15" x14ac:dyDescent="0.2">
      <c r="J166">
        <f t="shared" si="10"/>
        <v>815</v>
      </c>
      <c r="K166" t="e">
        <f>1.2*SQRT(2*J166/(airplane!$B$25*airplane!$B$22))</f>
        <v>#DIV/0!</v>
      </c>
      <c r="L166" t="e">
        <f>1/2*K166^3/(airplane!$B$23*airplane!$B$9*airplane!$B$10*airplane!$B$4)</f>
        <v>#DIV/0!</v>
      </c>
      <c r="N166">
        <f t="shared" si="8"/>
        <v>272.37299999999999</v>
      </c>
      <c r="O166" t="e">
        <f t="shared" si="9"/>
        <v>#DIV/0!</v>
      </c>
    </row>
    <row r="167" spans="10:15" x14ac:dyDescent="0.2">
      <c r="J167">
        <f t="shared" si="10"/>
        <v>820</v>
      </c>
      <c r="K167" t="e">
        <f>1.2*SQRT(2*J167/(airplane!$B$25*airplane!$B$22))</f>
        <v>#DIV/0!</v>
      </c>
      <c r="L167" t="e">
        <f>1/2*K167^3/(airplane!$B$23*airplane!$B$9*airplane!$B$10*airplane!$B$4)</f>
        <v>#DIV/0!</v>
      </c>
      <c r="N167">
        <f t="shared" si="8"/>
        <v>274.04399999999998</v>
      </c>
      <c r="O167" t="e">
        <f t="shared" si="9"/>
        <v>#DIV/0!</v>
      </c>
    </row>
    <row r="168" spans="10:15" x14ac:dyDescent="0.2">
      <c r="J168">
        <f t="shared" si="10"/>
        <v>825</v>
      </c>
      <c r="K168" t="e">
        <f>1.2*SQRT(2*J168/(airplane!$B$25*airplane!$B$22))</f>
        <v>#DIV/0!</v>
      </c>
      <c r="L168" t="e">
        <f>1/2*K168^3/(airplane!$B$23*airplane!$B$9*airplane!$B$10*airplane!$B$4)</f>
        <v>#DIV/0!</v>
      </c>
      <c r="N168">
        <f t="shared" si="8"/>
        <v>275.71499999999997</v>
      </c>
      <c r="O168" t="e">
        <f t="shared" si="9"/>
        <v>#DIV/0!</v>
      </c>
    </row>
    <row r="169" spans="10:15" x14ac:dyDescent="0.2">
      <c r="J169">
        <f t="shared" si="10"/>
        <v>830</v>
      </c>
      <c r="K169" t="e">
        <f>1.2*SQRT(2*J169/(airplane!$B$25*airplane!$B$22))</f>
        <v>#DIV/0!</v>
      </c>
      <c r="L169" t="e">
        <f>1/2*K169^3/(airplane!$B$23*airplane!$B$9*airplane!$B$10*airplane!$B$4)</f>
        <v>#DIV/0!</v>
      </c>
      <c r="N169">
        <f t="shared" si="8"/>
        <v>277.38600000000002</v>
      </c>
      <c r="O169" t="e">
        <f t="shared" si="9"/>
        <v>#DIV/0!</v>
      </c>
    </row>
    <row r="170" spans="10:15" x14ac:dyDescent="0.2">
      <c r="J170">
        <f t="shared" si="10"/>
        <v>835</v>
      </c>
      <c r="K170" t="e">
        <f>1.2*SQRT(2*J170/(airplane!$B$25*airplane!$B$22))</f>
        <v>#DIV/0!</v>
      </c>
      <c r="L170" t="e">
        <f>1/2*K170^3/(airplane!$B$23*airplane!$B$9*airplane!$B$10*airplane!$B$4)</f>
        <v>#DIV/0!</v>
      </c>
      <c r="N170">
        <f t="shared" si="8"/>
        <v>279.05700000000002</v>
      </c>
      <c r="O170" t="e">
        <f t="shared" si="9"/>
        <v>#DIV/0!</v>
      </c>
    </row>
    <row r="171" spans="10:15" x14ac:dyDescent="0.2">
      <c r="J171">
        <f t="shared" si="10"/>
        <v>840</v>
      </c>
      <c r="K171" t="e">
        <f>1.2*SQRT(2*J171/(airplane!$B$25*airplane!$B$22))</f>
        <v>#DIV/0!</v>
      </c>
      <c r="L171" t="e">
        <f>1/2*K171^3/(airplane!$B$23*airplane!$B$9*airplane!$B$10*airplane!$B$4)</f>
        <v>#DIV/0!</v>
      </c>
      <c r="N171">
        <f t="shared" si="8"/>
        <v>280.72800000000001</v>
      </c>
      <c r="O171" t="e">
        <f t="shared" si="9"/>
        <v>#DIV/0!</v>
      </c>
    </row>
    <row r="172" spans="10:15" x14ac:dyDescent="0.2">
      <c r="J172">
        <f t="shared" si="10"/>
        <v>845</v>
      </c>
      <c r="K172" t="e">
        <f>1.2*SQRT(2*J172/(airplane!$B$25*airplane!$B$22))</f>
        <v>#DIV/0!</v>
      </c>
      <c r="L172" t="e">
        <f>1/2*K172^3/(airplane!$B$23*airplane!$B$9*airplane!$B$10*airplane!$B$4)</f>
        <v>#DIV/0!</v>
      </c>
      <c r="N172">
        <f t="shared" si="8"/>
        <v>282.399</v>
      </c>
      <c r="O172" t="e">
        <f t="shared" si="9"/>
        <v>#DIV/0!</v>
      </c>
    </row>
    <row r="173" spans="10:15" x14ac:dyDescent="0.2">
      <c r="J173">
        <f t="shared" si="10"/>
        <v>850</v>
      </c>
      <c r="K173" t="e">
        <f>1.2*SQRT(2*J173/(airplane!$B$25*airplane!$B$22))</f>
        <v>#DIV/0!</v>
      </c>
      <c r="L173" t="e">
        <f>1/2*K173^3/(airplane!$B$23*airplane!$B$9*airplane!$B$10*airplane!$B$4)</f>
        <v>#DIV/0!</v>
      </c>
      <c r="N173">
        <f t="shared" si="8"/>
        <v>284.07</v>
      </c>
      <c r="O173" t="e">
        <f t="shared" si="9"/>
        <v>#DIV/0!</v>
      </c>
    </row>
    <row r="174" spans="10:15" x14ac:dyDescent="0.2">
      <c r="J174">
        <f t="shared" si="10"/>
        <v>855</v>
      </c>
      <c r="K174" t="e">
        <f>1.2*SQRT(2*J174/(airplane!$B$25*airplane!$B$22))</f>
        <v>#DIV/0!</v>
      </c>
      <c r="L174" t="e">
        <f>1/2*K174^3/(airplane!$B$23*airplane!$B$9*airplane!$B$10*airplane!$B$4)</f>
        <v>#DIV/0!</v>
      </c>
      <c r="N174">
        <f t="shared" si="8"/>
        <v>285.74099999999999</v>
      </c>
      <c r="O174" t="e">
        <f t="shared" si="9"/>
        <v>#DIV/0!</v>
      </c>
    </row>
    <row r="175" spans="10:15" x14ac:dyDescent="0.2">
      <c r="J175">
        <f t="shared" si="10"/>
        <v>860</v>
      </c>
      <c r="K175" t="e">
        <f>1.2*SQRT(2*J175/(airplane!$B$25*airplane!$B$22))</f>
        <v>#DIV/0!</v>
      </c>
      <c r="L175" t="e">
        <f>1/2*K175^3/(airplane!$B$23*airplane!$B$9*airplane!$B$10*airplane!$B$4)</f>
        <v>#DIV/0!</v>
      </c>
      <c r="N175">
        <f t="shared" si="8"/>
        <v>287.41199999999998</v>
      </c>
      <c r="O175" t="e">
        <f t="shared" si="9"/>
        <v>#DIV/0!</v>
      </c>
    </row>
    <row r="176" spans="10:15" x14ac:dyDescent="0.2">
      <c r="J176">
        <f t="shared" si="10"/>
        <v>865</v>
      </c>
      <c r="K176" t="e">
        <f>1.2*SQRT(2*J176/(airplane!$B$25*airplane!$B$22))</f>
        <v>#DIV/0!</v>
      </c>
      <c r="L176" t="e">
        <f>1/2*K176^3/(airplane!$B$23*airplane!$B$9*airplane!$B$10*airplane!$B$4)</f>
        <v>#DIV/0!</v>
      </c>
      <c r="N176">
        <f t="shared" si="8"/>
        <v>289.08299999999997</v>
      </c>
      <c r="O176" t="e">
        <f t="shared" si="9"/>
        <v>#DIV/0!</v>
      </c>
    </row>
    <row r="177" spans="10:15" x14ac:dyDescent="0.2">
      <c r="J177">
        <f t="shared" si="10"/>
        <v>870</v>
      </c>
      <c r="K177" t="e">
        <f>1.2*SQRT(2*J177/(airplane!$B$25*airplane!$B$22))</f>
        <v>#DIV/0!</v>
      </c>
      <c r="L177" t="e">
        <f>1/2*K177^3/(airplane!$B$23*airplane!$B$9*airplane!$B$10*airplane!$B$4)</f>
        <v>#DIV/0!</v>
      </c>
      <c r="N177">
        <f t="shared" si="8"/>
        <v>290.75400000000002</v>
      </c>
      <c r="O177" t="e">
        <f t="shared" si="9"/>
        <v>#DIV/0!</v>
      </c>
    </row>
    <row r="178" spans="10:15" x14ac:dyDescent="0.2">
      <c r="J178">
        <f t="shared" si="10"/>
        <v>875</v>
      </c>
      <c r="K178" t="e">
        <f>1.2*SQRT(2*J178/(airplane!$B$25*airplane!$B$22))</f>
        <v>#DIV/0!</v>
      </c>
      <c r="L178" t="e">
        <f>1/2*K178^3/(airplane!$B$23*airplane!$B$9*airplane!$B$10*airplane!$B$4)</f>
        <v>#DIV/0!</v>
      </c>
      <c r="N178">
        <f t="shared" si="8"/>
        <v>292.42500000000001</v>
      </c>
      <c r="O178" t="e">
        <f t="shared" si="9"/>
        <v>#DIV/0!</v>
      </c>
    </row>
    <row r="179" spans="10:15" x14ac:dyDescent="0.2">
      <c r="J179">
        <f t="shared" si="10"/>
        <v>880</v>
      </c>
      <c r="K179" t="e">
        <f>1.2*SQRT(2*J179/(airplane!$B$25*airplane!$B$22))</f>
        <v>#DIV/0!</v>
      </c>
      <c r="L179" t="e">
        <f>1/2*K179^3/(airplane!$B$23*airplane!$B$9*airplane!$B$10*airplane!$B$4)</f>
        <v>#DIV/0!</v>
      </c>
      <c r="N179">
        <f t="shared" si="8"/>
        <v>294.096</v>
      </c>
      <c r="O179" t="e">
        <f t="shared" si="9"/>
        <v>#DIV/0!</v>
      </c>
    </row>
    <row r="180" spans="10:15" x14ac:dyDescent="0.2">
      <c r="J180">
        <f t="shared" si="10"/>
        <v>885</v>
      </c>
      <c r="K180" t="e">
        <f>1.2*SQRT(2*J180/(airplane!$B$25*airplane!$B$22))</f>
        <v>#DIV/0!</v>
      </c>
      <c r="L180" t="e">
        <f>1/2*K180^3/(airplane!$B$23*airplane!$B$9*airplane!$B$10*airplane!$B$4)</f>
        <v>#DIV/0!</v>
      </c>
      <c r="N180">
        <f t="shared" si="8"/>
        <v>295.767</v>
      </c>
      <c r="O180" t="e">
        <f t="shared" si="9"/>
        <v>#DIV/0!</v>
      </c>
    </row>
    <row r="181" spans="10:15" x14ac:dyDescent="0.2">
      <c r="J181">
        <f t="shared" si="10"/>
        <v>890</v>
      </c>
      <c r="K181" t="e">
        <f>1.2*SQRT(2*J181/(airplane!$B$25*airplane!$B$22))</f>
        <v>#DIV/0!</v>
      </c>
      <c r="L181" t="e">
        <f>1/2*K181^3/(airplane!$B$23*airplane!$B$9*airplane!$B$10*airplane!$B$4)</f>
        <v>#DIV/0!</v>
      </c>
      <c r="N181">
        <f t="shared" si="8"/>
        <v>297.43799999999999</v>
      </c>
      <c r="O181" t="e">
        <f t="shared" si="9"/>
        <v>#DIV/0!</v>
      </c>
    </row>
    <row r="182" spans="10:15" x14ac:dyDescent="0.2">
      <c r="J182">
        <f t="shared" si="10"/>
        <v>895</v>
      </c>
      <c r="K182" t="e">
        <f>1.2*SQRT(2*J182/(airplane!$B$25*airplane!$B$22))</f>
        <v>#DIV/0!</v>
      </c>
      <c r="L182" t="e">
        <f>1/2*K182^3/(airplane!$B$23*airplane!$B$9*airplane!$B$10*airplane!$B$4)</f>
        <v>#DIV/0!</v>
      </c>
      <c r="N182">
        <f t="shared" ref="N182:N245" si="11">J182*0.3342</f>
        <v>299.10899999999998</v>
      </c>
      <c r="O182" t="e">
        <f t="shared" ref="O182:O245" si="12">L182*4.448</f>
        <v>#DIV/0!</v>
      </c>
    </row>
    <row r="183" spans="10:15" x14ac:dyDescent="0.2">
      <c r="J183">
        <f t="shared" si="10"/>
        <v>900</v>
      </c>
      <c r="K183" t="e">
        <f>1.2*SQRT(2*J183/(airplane!$B$25*airplane!$B$22))</f>
        <v>#DIV/0!</v>
      </c>
      <c r="L183" t="e">
        <f>1/2*K183^3/(airplane!$B$23*airplane!$B$9*airplane!$B$10*airplane!$B$4)</f>
        <v>#DIV/0!</v>
      </c>
      <c r="N183">
        <f t="shared" si="11"/>
        <v>300.77999999999997</v>
      </c>
      <c r="O183" t="e">
        <f t="shared" si="12"/>
        <v>#DIV/0!</v>
      </c>
    </row>
    <row r="184" spans="10:15" x14ac:dyDescent="0.2">
      <c r="J184">
        <f t="shared" si="10"/>
        <v>905</v>
      </c>
      <c r="K184" t="e">
        <f>1.2*SQRT(2*J184/(airplane!$B$25*airplane!$B$22))</f>
        <v>#DIV/0!</v>
      </c>
      <c r="L184" t="e">
        <f>1/2*K184^3/(airplane!$B$23*airplane!$B$9*airplane!$B$10*airplane!$B$4)</f>
        <v>#DIV/0!</v>
      </c>
      <c r="N184">
        <f t="shared" si="11"/>
        <v>302.45100000000002</v>
      </c>
      <c r="O184" t="e">
        <f t="shared" si="12"/>
        <v>#DIV/0!</v>
      </c>
    </row>
    <row r="185" spans="10:15" x14ac:dyDescent="0.2">
      <c r="J185">
        <f t="shared" si="10"/>
        <v>910</v>
      </c>
      <c r="K185" t="e">
        <f>1.2*SQRT(2*J185/(airplane!$B$25*airplane!$B$22))</f>
        <v>#DIV/0!</v>
      </c>
      <c r="L185" t="e">
        <f>1/2*K185^3/(airplane!$B$23*airplane!$B$9*airplane!$B$10*airplane!$B$4)</f>
        <v>#DIV/0!</v>
      </c>
      <c r="N185">
        <f t="shared" si="11"/>
        <v>304.12200000000001</v>
      </c>
      <c r="O185" t="e">
        <f t="shared" si="12"/>
        <v>#DIV/0!</v>
      </c>
    </row>
    <row r="186" spans="10:15" x14ac:dyDescent="0.2">
      <c r="J186">
        <f t="shared" si="10"/>
        <v>915</v>
      </c>
      <c r="K186" t="e">
        <f>1.2*SQRT(2*J186/(airplane!$B$25*airplane!$B$22))</f>
        <v>#DIV/0!</v>
      </c>
      <c r="L186" t="e">
        <f>1/2*K186^3/(airplane!$B$23*airplane!$B$9*airplane!$B$10*airplane!$B$4)</f>
        <v>#DIV/0!</v>
      </c>
      <c r="N186">
        <f t="shared" si="11"/>
        <v>305.79300000000001</v>
      </c>
      <c r="O186" t="e">
        <f t="shared" si="12"/>
        <v>#DIV/0!</v>
      </c>
    </row>
    <row r="187" spans="10:15" x14ac:dyDescent="0.2">
      <c r="J187">
        <f t="shared" si="10"/>
        <v>920</v>
      </c>
      <c r="K187" t="e">
        <f>1.2*SQRT(2*J187/(airplane!$B$25*airplane!$B$22))</f>
        <v>#DIV/0!</v>
      </c>
      <c r="L187" t="e">
        <f>1/2*K187^3/(airplane!$B$23*airplane!$B$9*airplane!$B$10*airplane!$B$4)</f>
        <v>#DIV/0!</v>
      </c>
      <c r="N187">
        <f t="shared" si="11"/>
        <v>307.464</v>
      </c>
      <c r="O187" t="e">
        <f t="shared" si="12"/>
        <v>#DIV/0!</v>
      </c>
    </row>
    <row r="188" spans="10:15" x14ac:dyDescent="0.2">
      <c r="J188">
        <f t="shared" si="10"/>
        <v>925</v>
      </c>
      <c r="K188" t="e">
        <f>1.2*SQRT(2*J188/(airplane!$B$25*airplane!$B$22))</f>
        <v>#DIV/0!</v>
      </c>
      <c r="L188" t="e">
        <f>1/2*K188^3/(airplane!$B$23*airplane!$B$9*airplane!$B$10*airplane!$B$4)</f>
        <v>#DIV/0!</v>
      </c>
      <c r="N188">
        <f t="shared" si="11"/>
        <v>309.13499999999999</v>
      </c>
      <c r="O188" t="e">
        <f t="shared" si="12"/>
        <v>#DIV/0!</v>
      </c>
    </row>
    <row r="189" spans="10:15" x14ac:dyDescent="0.2">
      <c r="J189">
        <f t="shared" si="10"/>
        <v>930</v>
      </c>
      <c r="K189" t="e">
        <f>1.2*SQRT(2*J189/(airplane!$B$25*airplane!$B$22))</f>
        <v>#DIV/0!</v>
      </c>
      <c r="L189" t="e">
        <f>1/2*K189^3/(airplane!$B$23*airplane!$B$9*airplane!$B$10*airplane!$B$4)</f>
        <v>#DIV/0!</v>
      </c>
      <c r="N189">
        <f t="shared" si="11"/>
        <v>310.80599999999998</v>
      </c>
      <c r="O189" t="e">
        <f t="shared" si="12"/>
        <v>#DIV/0!</v>
      </c>
    </row>
    <row r="190" spans="10:15" x14ac:dyDescent="0.2">
      <c r="J190">
        <f t="shared" si="10"/>
        <v>935</v>
      </c>
      <c r="K190" t="e">
        <f>1.2*SQRT(2*J190/(airplane!$B$25*airplane!$B$22))</f>
        <v>#DIV/0!</v>
      </c>
      <c r="L190" t="e">
        <f>1/2*K190^3/(airplane!$B$23*airplane!$B$9*airplane!$B$10*airplane!$B$4)</f>
        <v>#DIV/0!</v>
      </c>
      <c r="N190">
        <f t="shared" si="11"/>
        <v>312.47699999999998</v>
      </c>
      <c r="O190" t="e">
        <f t="shared" si="12"/>
        <v>#DIV/0!</v>
      </c>
    </row>
    <row r="191" spans="10:15" x14ac:dyDescent="0.2">
      <c r="J191">
        <f t="shared" si="10"/>
        <v>940</v>
      </c>
      <c r="K191" t="e">
        <f>1.2*SQRT(2*J191/(airplane!$B$25*airplane!$B$22))</f>
        <v>#DIV/0!</v>
      </c>
      <c r="L191" t="e">
        <f>1/2*K191^3/(airplane!$B$23*airplane!$B$9*airplane!$B$10*airplane!$B$4)</f>
        <v>#DIV/0!</v>
      </c>
      <c r="N191">
        <f t="shared" si="11"/>
        <v>314.14800000000002</v>
      </c>
      <c r="O191" t="e">
        <f t="shared" si="12"/>
        <v>#DIV/0!</v>
      </c>
    </row>
    <row r="192" spans="10:15" x14ac:dyDescent="0.2">
      <c r="J192">
        <f t="shared" si="10"/>
        <v>945</v>
      </c>
      <c r="K192" t="e">
        <f>1.2*SQRT(2*J192/(airplane!$B$25*airplane!$B$22))</f>
        <v>#DIV/0!</v>
      </c>
      <c r="L192" t="e">
        <f>1/2*K192^3/(airplane!$B$23*airplane!$B$9*airplane!$B$10*airplane!$B$4)</f>
        <v>#DIV/0!</v>
      </c>
      <c r="N192">
        <f t="shared" si="11"/>
        <v>315.81900000000002</v>
      </c>
      <c r="O192" t="e">
        <f t="shared" si="12"/>
        <v>#DIV/0!</v>
      </c>
    </row>
    <row r="193" spans="10:15" x14ac:dyDescent="0.2">
      <c r="J193">
        <f t="shared" si="10"/>
        <v>950</v>
      </c>
      <c r="K193" t="e">
        <f>1.2*SQRT(2*J193/(airplane!$B$25*airplane!$B$22))</f>
        <v>#DIV/0!</v>
      </c>
      <c r="L193" t="e">
        <f>1/2*K193^3/(airplane!$B$23*airplane!$B$9*airplane!$B$10*airplane!$B$4)</f>
        <v>#DIV/0!</v>
      </c>
      <c r="N193">
        <f t="shared" si="11"/>
        <v>317.49</v>
      </c>
      <c r="O193" t="e">
        <f t="shared" si="12"/>
        <v>#DIV/0!</v>
      </c>
    </row>
    <row r="194" spans="10:15" x14ac:dyDescent="0.2">
      <c r="J194">
        <f t="shared" si="10"/>
        <v>955</v>
      </c>
      <c r="K194" t="e">
        <f>1.2*SQRT(2*J194/(airplane!$B$25*airplane!$B$22))</f>
        <v>#DIV/0!</v>
      </c>
      <c r="L194" t="e">
        <f>1/2*K194^3/(airplane!$B$23*airplane!$B$9*airplane!$B$10*airplane!$B$4)</f>
        <v>#DIV/0!</v>
      </c>
      <c r="N194">
        <f t="shared" si="11"/>
        <v>319.161</v>
      </c>
      <c r="O194" t="e">
        <f t="shared" si="12"/>
        <v>#DIV/0!</v>
      </c>
    </row>
    <row r="195" spans="10:15" x14ac:dyDescent="0.2">
      <c r="J195">
        <f t="shared" si="10"/>
        <v>960</v>
      </c>
      <c r="K195" t="e">
        <f>1.2*SQRT(2*J195/(airplane!$B$25*airplane!$B$22))</f>
        <v>#DIV/0!</v>
      </c>
      <c r="L195" t="e">
        <f>1/2*K195^3/(airplane!$B$23*airplane!$B$9*airplane!$B$10*airplane!$B$4)</f>
        <v>#DIV/0!</v>
      </c>
      <c r="N195">
        <f t="shared" si="11"/>
        <v>320.83199999999999</v>
      </c>
      <c r="O195" t="e">
        <f t="shared" si="12"/>
        <v>#DIV/0!</v>
      </c>
    </row>
    <row r="196" spans="10:15" x14ac:dyDescent="0.2">
      <c r="J196">
        <f t="shared" si="10"/>
        <v>965</v>
      </c>
      <c r="K196" t="e">
        <f>1.2*SQRT(2*J196/(airplane!$B$25*airplane!$B$22))</f>
        <v>#DIV/0!</v>
      </c>
      <c r="L196" t="e">
        <f>1/2*K196^3/(airplane!$B$23*airplane!$B$9*airplane!$B$10*airplane!$B$4)</f>
        <v>#DIV/0!</v>
      </c>
      <c r="N196">
        <f t="shared" si="11"/>
        <v>322.50299999999999</v>
      </c>
      <c r="O196" t="e">
        <f t="shared" si="12"/>
        <v>#DIV/0!</v>
      </c>
    </row>
    <row r="197" spans="10:15" x14ac:dyDescent="0.2">
      <c r="J197">
        <f t="shared" ref="J197:J260" si="13">J196+5</f>
        <v>970</v>
      </c>
      <c r="K197" t="e">
        <f>1.2*SQRT(2*J197/(airplane!$B$25*airplane!$B$22))</f>
        <v>#DIV/0!</v>
      </c>
      <c r="L197" t="e">
        <f>1/2*K197^3/(airplane!$B$23*airplane!$B$9*airplane!$B$10*airplane!$B$4)</f>
        <v>#DIV/0!</v>
      </c>
      <c r="N197">
        <f t="shared" si="11"/>
        <v>324.17399999999998</v>
      </c>
      <c r="O197" t="e">
        <f t="shared" si="12"/>
        <v>#DIV/0!</v>
      </c>
    </row>
    <row r="198" spans="10:15" x14ac:dyDescent="0.2">
      <c r="J198">
        <f t="shared" si="13"/>
        <v>975</v>
      </c>
      <c r="K198" t="e">
        <f>1.2*SQRT(2*J198/(airplane!$B$25*airplane!$B$22))</f>
        <v>#DIV/0!</v>
      </c>
      <c r="L198" t="e">
        <f>1/2*K198^3/(airplane!$B$23*airplane!$B$9*airplane!$B$10*airplane!$B$4)</f>
        <v>#DIV/0!</v>
      </c>
      <c r="N198">
        <f t="shared" si="11"/>
        <v>325.84499999999997</v>
      </c>
      <c r="O198" t="e">
        <f t="shared" si="12"/>
        <v>#DIV/0!</v>
      </c>
    </row>
    <row r="199" spans="10:15" x14ac:dyDescent="0.2">
      <c r="J199">
        <f t="shared" si="13"/>
        <v>980</v>
      </c>
      <c r="K199" t="e">
        <f>1.2*SQRT(2*J199/(airplane!$B$25*airplane!$B$22))</f>
        <v>#DIV/0!</v>
      </c>
      <c r="L199" t="e">
        <f>1/2*K199^3/(airplane!$B$23*airplane!$B$9*airplane!$B$10*airplane!$B$4)</f>
        <v>#DIV/0!</v>
      </c>
      <c r="N199">
        <f t="shared" si="11"/>
        <v>327.51600000000002</v>
      </c>
      <c r="O199" t="e">
        <f t="shared" si="12"/>
        <v>#DIV/0!</v>
      </c>
    </row>
    <row r="200" spans="10:15" x14ac:dyDescent="0.2">
      <c r="J200">
        <f t="shared" si="13"/>
        <v>985</v>
      </c>
      <c r="K200" t="e">
        <f>1.2*SQRT(2*J200/(airplane!$B$25*airplane!$B$22))</f>
        <v>#DIV/0!</v>
      </c>
      <c r="L200" t="e">
        <f>1/2*K200^3/(airplane!$B$23*airplane!$B$9*airplane!$B$10*airplane!$B$4)</f>
        <v>#DIV/0!</v>
      </c>
      <c r="N200">
        <f t="shared" si="11"/>
        <v>329.18700000000001</v>
      </c>
      <c r="O200" t="e">
        <f t="shared" si="12"/>
        <v>#DIV/0!</v>
      </c>
    </row>
    <row r="201" spans="10:15" x14ac:dyDescent="0.2">
      <c r="J201">
        <f t="shared" si="13"/>
        <v>990</v>
      </c>
      <c r="K201" t="e">
        <f>1.2*SQRT(2*J201/(airplane!$B$25*airplane!$B$22))</f>
        <v>#DIV/0!</v>
      </c>
      <c r="L201" t="e">
        <f>1/2*K201^3/(airplane!$B$23*airplane!$B$9*airplane!$B$10*airplane!$B$4)</f>
        <v>#DIV/0!</v>
      </c>
      <c r="N201">
        <f t="shared" si="11"/>
        <v>330.858</v>
      </c>
      <c r="O201" t="e">
        <f t="shared" si="12"/>
        <v>#DIV/0!</v>
      </c>
    </row>
    <row r="202" spans="10:15" x14ac:dyDescent="0.2">
      <c r="J202">
        <f t="shared" si="13"/>
        <v>995</v>
      </c>
      <c r="K202" t="e">
        <f>1.2*SQRT(2*J202/(airplane!$B$25*airplane!$B$22))</f>
        <v>#DIV/0!</v>
      </c>
      <c r="L202" t="e">
        <f>1/2*K202^3/(airplane!$B$23*airplane!$B$9*airplane!$B$10*airplane!$B$4)</f>
        <v>#DIV/0!</v>
      </c>
      <c r="N202">
        <f t="shared" si="11"/>
        <v>332.529</v>
      </c>
      <c r="O202" t="e">
        <f t="shared" si="12"/>
        <v>#DIV/0!</v>
      </c>
    </row>
    <row r="203" spans="10:15" x14ac:dyDescent="0.2">
      <c r="J203">
        <f t="shared" si="13"/>
        <v>1000</v>
      </c>
      <c r="K203" t="e">
        <f>1.2*SQRT(2*J203/(airplane!$B$25*airplane!$B$22))</f>
        <v>#DIV/0!</v>
      </c>
      <c r="L203" t="e">
        <f>1/2*K203^3/(airplane!$B$23*airplane!$B$9*airplane!$B$10*airplane!$B$4)</f>
        <v>#DIV/0!</v>
      </c>
      <c r="N203">
        <f t="shared" si="11"/>
        <v>334.2</v>
      </c>
      <c r="O203" t="e">
        <f t="shared" si="12"/>
        <v>#DIV/0!</v>
      </c>
    </row>
    <row r="204" spans="10:15" x14ac:dyDescent="0.2">
      <c r="J204">
        <f t="shared" si="13"/>
        <v>1005</v>
      </c>
      <c r="K204" t="e">
        <f>1.2*SQRT(2*J204/(airplane!$B$25*airplane!$B$22))</f>
        <v>#DIV/0!</v>
      </c>
      <c r="L204" t="e">
        <f>1/2*K204^3/(airplane!$B$23*airplane!$B$9*airplane!$B$10*airplane!$B$4)</f>
        <v>#DIV/0!</v>
      </c>
      <c r="N204">
        <f t="shared" si="11"/>
        <v>335.87099999999998</v>
      </c>
      <c r="O204" t="e">
        <f t="shared" si="12"/>
        <v>#DIV/0!</v>
      </c>
    </row>
    <row r="205" spans="10:15" x14ac:dyDescent="0.2">
      <c r="J205">
        <f t="shared" si="13"/>
        <v>1010</v>
      </c>
      <c r="K205" t="e">
        <f>1.2*SQRT(2*J205/(airplane!$B$25*airplane!$B$22))</f>
        <v>#DIV/0!</v>
      </c>
      <c r="L205" t="e">
        <f>1/2*K205^3/(airplane!$B$23*airplane!$B$9*airplane!$B$10*airplane!$B$4)</f>
        <v>#DIV/0!</v>
      </c>
      <c r="N205">
        <f t="shared" si="11"/>
        <v>337.54199999999997</v>
      </c>
      <c r="O205" t="e">
        <f t="shared" si="12"/>
        <v>#DIV/0!</v>
      </c>
    </row>
    <row r="206" spans="10:15" x14ac:dyDescent="0.2">
      <c r="J206">
        <f t="shared" si="13"/>
        <v>1015</v>
      </c>
      <c r="K206" t="e">
        <f>1.2*SQRT(2*J206/(airplane!$B$25*airplane!$B$22))</f>
        <v>#DIV/0!</v>
      </c>
      <c r="L206" t="e">
        <f>1/2*K206^3/(airplane!$B$23*airplane!$B$9*airplane!$B$10*airplane!$B$4)</f>
        <v>#DIV/0!</v>
      </c>
      <c r="N206">
        <f t="shared" si="11"/>
        <v>339.21300000000002</v>
      </c>
      <c r="O206" t="e">
        <f t="shared" si="12"/>
        <v>#DIV/0!</v>
      </c>
    </row>
    <row r="207" spans="10:15" x14ac:dyDescent="0.2">
      <c r="J207">
        <f t="shared" si="13"/>
        <v>1020</v>
      </c>
      <c r="K207" t="e">
        <f>1.2*SQRT(2*J207/(airplane!$B$25*airplane!$B$22))</f>
        <v>#DIV/0!</v>
      </c>
      <c r="L207" t="e">
        <f>1/2*K207^3/(airplane!$B$23*airplane!$B$9*airplane!$B$10*airplane!$B$4)</f>
        <v>#DIV/0!</v>
      </c>
      <c r="N207">
        <f t="shared" si="11"/>
        <v>340.88400000000001</v>
      </c>
      <c r="O207" t="e">
        <f t="shared" si="12"/>
        <v>#DIV/0!</v>
      </c>
    </row>
    <row r="208" spans="10:15" x14ac:dyDescent="0.2">
      <c r="J208">
        <f t="shared" si="13"/>
        <v>1025</v>
      </c>
      <c r="K208" t="e">
        <f>1.2*SQRT(2*J208/(airplane!$B$25*airplane!$B$22))</f>
        <v>#DIV/0!</v>
      </c>
      <c r="L208" t="e">
        <f>1/2*K208^3/(airplane!$B$23*airplane!$B$9*airplane!$B$10*airplane!$B$4)</f>
        <v>#DIV/0!</v>
      </c>
      <c r="N208">
        <f t="shared" si="11"/>
        <v>342.55500000000001</v>
      </c>
      <c r="O208" t="e">
        <f t="shared" si="12"/>
        <v>#DIV/0!</v>
      </c>
    </row>
    <row r="209" spans="10:15" x14ac:dyDescent="0.2">
      <c r="J209">
        <f t="shared" si="13"/>
        <v>1030</v>
      </c>
      <c r="K209" t="e">
        <f>1.2*SQRT(2*J209/(airplane!$B$25*airplane!$B$22))</f>
        <v>#DIV/0!</v>
      </c>
      <c r="L209" t="e">
        <f>1/2*K209^3/(airplane!$B$23*airplane!$B$9*airplane!$B$10*airplane!$B$4)</f>
        <v>#DIV/0!</v>
      </c>
      <c r="N209">
        <f t="shared" si="11"/>
        <v>344.226</v>
      </c>
      <c r="O209" t="e">
        <f t="shared" si="12"/>
        <v>#DIV/0!</v>
      </c>
    </row>
    <row r="210" spans="10:15" x14ac:dyDescent="0.2">
      <c r="J210">
        <f t="shared" si="13"/>
        <v>1035</v>
      </c>
      <c r="K210" t="e">
        <f>1.2*SQRT(2*J210/(airplane!$B$25*airplane!$B$22))</f>
        <v>#DIV/0!</v>
      </c>
      <c r="L210" t="e">
        <f>1/2*K210^3/(airplane!$B$23*airplane!$B$9*airplane!$B$10*airplane!$B$4)</f>
        <v>#DIV/0!</v>
      </c>
      <c r="N210">
        <f t="shared" si="11"/>
        <v>345.89699999999999</v>
      </c>
      <c r="O210" t="e">
        <f t="shared" si="12"/>
        <v>#DIV/0!</v>
      </c>
    </row>
    <row r="211" spans="10:15" x14ac:dyDescent="0.2">
      <c r="J211">
        <f t="shared" si="13"/>
        <v>1040</v>
      </c>
      <c r="K211" t="e">
        <f>1.2*SQRT(2*J211/(airplane!$B$25*airplane!$B$22))</f>
        <v>#DIV/0!</v>
      </c>
      <c r="L211" t="e">
        <f>1/2*K211^3/(airplane!$B$23*airplane!$B$9*airplane!$B$10*airplane!$B$4)</f>
        <v>#DIV/0!</v>
      </c>
      <c r="N211">
        <f t="shared" si="11"/>
        <v>347.56799999999998</v>
      </c>
      <c r="O211" t="e">
        <f t="shared" si="12"/>
        <v>#DIV/0!</v>
      </c>
    </row>
    <row r="212" spans="10:15" x14ac:dyDescent="0.2">
      <c r="J212">
        <f t="shared" si="13"/>
        <v>1045</v>
      </c>
      <c r="K212" t="e">
        <f>1.2*SQRT(2*J212/(airplane!$B$25*airplane!$B$22))</f>
        <v>#DIV/0!</v>
      </c>
      <c r="L212" t="e">
        <f>1/2*K212^3/(airplane!$B$23*airplane!$B$9*airplane!$B$10*airplane!$B$4)</f>
        <v>#DIV/0!</v>
      </c>
      <c r="N212">
        <f t="shared" si="11"/>
        <v>349.23899999999998</v>
      </c>
      <c r="O212" t="e">
        <f t="shared" si="12"/>
        <v>#DIV/0!</v>
      </c>
    </row>
    <row r="213" spans="10:15" x14ac:dyDescent="0.2">
      <c r="J213">
        <f t="shared" si="13"/>
        <v>1050</v>
      </c>
      <c r="K213" t="e">
        <f>1.2*SQRT(2*J213/(airplane!$B$25*airplane!$B$22))</f>
        <v>#DIV/0!</v>
      </c>
      <c r="L213" t="e">
        <f>1/2*K213^3/(airplane!$B$23*airplane!$B$9*airplane!$B$10*airplane!$B$4)</f>
        <v>#DIV/0!</v>
      </c>
      <c r="N213">
        <f t="shared" si="11"/>
        <v>350.91</v>
      </c>
      <c r="O213" t="e">
        <f t="shared" si="12"/>
        <v>#DIV/0!</v>
      </c>
    </row>
    <row r="214" spans="10:15" x14ac:dyDescent="0.2">
      <c r="J214">
        <f t="shared" si="13"/>
        <v>1055</v>
      </c>
      <c r="K214" t="e">
        <f>1.2*SQRT(2*J214/(airplane!$B$25*airplane!$B$22))</f>
        <v>#DIV/0!</v>
      </c>
      <c r="L214" t="e">
        <f>1/2*K214^3/(airplane!$B$23*airplane!$B$9*airplane!$B$10*airplane!$B$4)</f>
        <v>#DIV/0!</v>
      </c>
      <c r="N214">
        <f t="shared" si="11"/>
        <v>352.58100000000002</v>
      </c>
      <c r="O214" t="e">
        <f t="shared" si="12"/>
        <v>#DIV/0!</v>
      </c>
    </row>
    <row r="215" spans="10:15" x14ac:dyDescent="0.2">
      <c r="J215">
        <f t="shared" si="13"/>
        <v>1060</v>
      </c>
      <c r="K215" t="e">
        <f>1.2*SQRT(2*J215/(airplane!$B$25*airplane!$B$22))</f>
        <v>#DIV/0!</v>
      </c>
      <c r="L215" t="e">
        <f>1/2*K215^3/(airplane!$B$23*airplane!$B$9*airplane!$B$10*airplane!$B$4)</f>
        <v>#DIV/0!</v>
      </c>
      <c r="N215">
        <f t="shared" si="11"/>
        <v>354.25200000000001</v>
      </c>
      <c r="O215" t="e">
        <f t="shared" si="12"/>
        <v>#DIV/0!</v>
      </c>
    </row>
    <row r="216" spans="10:15" x14ac:dyDescent="0.2">
      <c r="J216">
        <f t="shared" si="13"/>
        <v>1065</v>
      </c>
      <c r="K216" t="e">
        <f>1.2*SQRT(2*J216/(airplane!$B$25*airplane!$B$22))</f>
        <v>#DIV/0!</v>
      </c>
      <c r="L216" t="e">
        <f>1/2*K216^3/(airplane!$B$23*airplane!$B$9*airplane!$B$10*airplane!$B$4)</f>
        <v>#DIV/0!</v>
      </c>
      <c r="N216">
        <f t="shared" si="11"/>
        <v>355.923</v>
      </c>
      <c r="O216" t="e">
        <f t="shared" si="12"/>
        <v>#DIV/0!</v>
      </c>
    </row>
    <row r="217" spans="10:15" x14ac:dyDescent="0.2">
      <c r="J217">
        <f t="shared" si="13"/>
        <v>1070</v>
      </c>
      <c r="K217" t="e">
        <f>1.2*SQRT(2*J217/(airplane!$B$25*airplane!$B$22))</f>
        <v>#DIV/0!</v>
      </c>
      <c r="L217" t="e">
        <f>1/2*K217^3/(airplane!$B$23*airplane!$B$9*airplane!$B$10*airplane!$B$4)</f>
        <v>#DIV/0!</v>
      </c>
      <c r="N217">
        <f t="shared" si="11"/>
        <v>357.59399999999999</v>
      </c>
      <c r="O217" t="e">
        <f t="shared" si="12"/>
        <v>#DIV/0!</v>
      </c>
    </row>
    <row r="218" spans="10:15" x14ac:dyDescent="0.2">
      <c r="J218">
        <f t="shared" si="13"/>
        <v>1075</v>
      </c>
      <c r="K218" t="e">
        <f>1.2*SQRT(2*J218/(airplane!$B$25*airplane!$B$22))</f>
        <v>#DIV/0!</v>
      </c>
      <c r="L218" t="e">
        <f>1/2*K218^3/(airplane!$B$23*airplane!$B$9*airplane!$B$10*airplane!$B$4)</f>
        <v>#DIV/0!</v>
      </c>
      <c r="N218">
        <f t="shared" si="11"/>
        <v>359.26499999999999</v>
      </c>
      <c r="O218" t="e">
        <f t="shared" si="12"/>
        <v>#DIV/0!</v>
      </c>
    </row>
    <row r="219" spans="10:15" x14ac:dyDescent="0.2">
      <c r="J219">
        <f t="shared" si="13"/>
        <v>1080</v>
      </c>
      <c r="K219" t="e">
        <f>1.2*SQRT(2*J219/(airplane!$B$25*airplane!$B$22))</f>
        <v>#DIV/0!</v>
      </c>
      <c r="L219" t="e">
        <f>1/2*K219^3/(airplane!$B$23*airplane!$B$9*airplane!$B$10*airplane!$B$4)</f>
        <v>#DIV/0!</v>
      </c>
      <c r="N219">
        <f t="shared" si="11"/>
        <v>360.93599999999998</v>
      </c>
      <c r="O219" t="e">
        <f t="shared" si="12"/>
        <v>#DIV/0!</v>
      </c>
    </row>
    <row r="220" spans="10:15" x14ac:dyDescent="0.2">
      <c r="J220">
        <f t="shared" si="13"/>
        <v>1085</v>
      </c>
      <c r="K220" t="e">
        <f>1.2*SQRT(2*J220/(airplane!$B$25*airplane!$B$22))</f>
        <v>#DIV/0!</v>
      </c>
      <c r="L220" t="e">
        <f>1/2*K220^3/(airplane!$B$23*airplane!$B$9*airplane!$B$10*airplane!$B$4)</f>
        <v>#DIV/0!</v>
      </c>
      <c r="N220">
        <f t="shared" si="11"/>
        <v>362.60699999999997</v>
      </c>
      <c r="O220" t="e">
        <f t="shared" si="12"/>
        <v>#DIV/0!</v>
      </c>
    </row>
    <row r="221" spans="10:15" x14ac:dyDescent="0.2">
      <c r="J221">
        <f t="shared" si="13"/>
        <v>1090</v>
      </c>
      <c r="K221" t="e">
        <f>1.2*SQRT(2*J221/(airplane!$B$25*airplane!$B$22))</f>
        <v>#DIV/0!</v>
      </c>
      <c r="L221" t="e">
        <f>1/2*K221^3/(airplane!$B$23*airplane!$B$9*airplane!$B$10*airplane!$B$4)</f>
        <v>#DIV/0!</v>
      </c>
      <c r="N221">
        <f t="shared" si="11"/>
        <v>364.27800000000002</v>
      </c>
      <c r="O221" t="e">
        <f t="shared" si="12"/>
        <v>#DIV/0!</v>
      </c>
    </row>
    <row r="222" spans="10:15" x14ac:dyDescent="0.2">
      <c r="J222">
        <f t="shared" si="13"/>
        <v>1095</v>
      </c>
      <c r="K222" t="e">
        <f>1.2*SQRT(2*J222/(airplane!$B$25*airplane!$B$22))</f>
        <v>#DIV/0!</v>
      </c>
      <c r="L222" t="e">
        <f>1/2*K222^3/(airplane!$B$23*airplane!$B$9*airplane!$B$10*airplane!$B$4)</f>
        <v>#DIV/0!</v>
      </c>
      <c r="N222">
        <f t="shared" si="11"/>
        <v>365.94900000000001</v>
      </c>
      <c r="O222" t="e">
        <f t="shared" si="12"/>
        <v>#DIV/0!</v>
      </c>
    </row>
    <row r="223" spans="10:15" x14ac:dyDescent="0.2">
      <c r="J223">
        <f t="shared" si="13"/>
        <v>1100</v>
      </c>
      <c r="K223" t="e">
        <f>1.2*SQRT(2*J223/(airplane!$B$25*airplane!$B$22))</f>
        <v>#DIV/0!</v>
      </c>
      <c r="L223" t="e">
        <f>1/2*K223^3/(airplane!$B$23*airplane!$B$9*airplane!$B$10*airplane!$B$4)</f>
        <v>#DIV/0!</v>
      </c>
      <c r="N223">
        <f t="shared" si="11"/>
        <v>367.62</v>
      </c>
      <c r="O223" t="e">
        <f t="shared" si="12"/>
        <v>#DIV/0!</v>
      </c>
    </row>
    <row r="224" spans="10:15" x14ac:dyDescent="0.2">
      <c r="J224">
        <f t="shared" si="13"/>
        <v>1105</v>
      </c>
      <c r="K224" t="e">
        <f>1.2*SQRT(2*J224/(airplane!$B$25*airplane!$B$22))</f>
        <v>#DIV/0!</v>
      </c>
      <c r="L224" t="e">
        <f>1/2*K224^3/(airplane!$B$23*airplane!$B$9*airplane!$B$10*airplane!$B$4)</f>
        <v>#DIV/0!</v>
      </c>
      <c r="N224">
        <f t="shared" si="11"/>
        <v>369.291</v>
      </c>
      <c r="O224" t="e">
        <f t="shared" si="12"/>
        <v>#DIV/0!</v>
      </c>
    </row>
    <row r="225" spans="10:15" x14ac:dyDescent="0.2">
      <c r="J225">
        <f t="shared" si="13"/>
        <v>1110</v>
      </c>
      <c r="K225" t="e">
        <f>1.2*SQRT(2*J225/(airplane!$B$25*airplane!$B$22))</f>
        <v>#DIV/0!</v>
      </c>
      <c r="L225" t="e">
        <f>1/2*K225^3/(airplane!$B$23*airplane!$B$9*airplane!$B$10*airplane!$B$4)</f>
        <v>#DIV/0!</v>
      </c>
      <c r="N225">
        <f t="shared" si="11"/>
        <v>370.96199999999999</v>
      </c>
      <c r="O225" t="e">
        <f t="shared" si="12"/>
        <v>#DIV/0!</v>
      </c>
    </row>
    <row r="226" spans="10:15" x14ac:dyDescent="0.2">
      <c r="J226">
        <f t="shared" si="13"/>
        <v>1115</v>
      </c>
      <c r="K226" t="e">
        <f>1.2*SQRT(2*J226/(airplane!$B$25*airplane!$B$22))</f>
        <v>#DIV/0!</v>
      </c>
      <c r="L226" t="e">
        <f>1/2*K226^3/(airplane!$B$23*airplane!$B$9*airplane!$B$10*airplane!$B$4)</f>
        <v>#DIV/0!</v>
      </c>
      <c r="N226">
        <f t="shared" si="11"/>
        <v>372.63299999999998</v>
      </c>
      <c r="O226" t="e">
        <f t="shared" si="12"/>
        <v>#DIV/0!</v>
      </c>
    </row>
    <row r="227" spans="10:15" x14ac:dyDescent="0.2">
      <c r="J227">
        <f t="shared" si="13"/>
        <v>1120</v>
      </c>
      <c r="K227" t="e">
        <f>1.2*SQRT(2*J227/(airplane!$B$25*airplane!$B$22))</f>
        <v>#DIV/0!</v>
      </c>
      <c r="L227" t="e">
        <f>1/2*K227^3/(airplane!$B$23*airplane!$B$9*airplane!$B$10*airplane!$B$4)</f>
        <v>#DIV/0!</v>
      </c>
      <c r="N227">
        <f t="shared" si="11"/>
        <v>374.30399999999997</v>
      </c>
      <c r="O227" t="e">
        <f t="shared" si="12"/>
        <v>#DIV/0!</v>
      </c>
    </row>
    <row r="228" spans="10:15" x14ac:dyDescent="0.2">
      <c r="J228">
        <f t="shared" si="13"/>
        <v>1125</v>
      </c>
      <c r="K228" t="e">
        <f>1.2*SQRT(2*J228/(airplane!$B$25*airplane!$B$22))</f>
        <v>#DIV/0!</v>
      </c>
      <c r="L228" t="e">
        <f>1/2*K228^3/(airplane!$B$23*airplane!$B$9*airplane!$B$10*airplane!$B$4)</f>
        <v>#DIV/0!</v>
      </c>
      <c r="N228">
        <f t="shared" si="11"/>
        <v>375.97500000000002</v>
      </c>
      <c r="O228" t="e">
        <f t="shared" si="12"/>
        <v>#DIV/0!</v>
      </c>
    </row>
    <row r="229" spans="10:15" x14ac:dyDescent="0.2">
      <c r="J229">
        <f t="shared" si="13"/>
        <v>1130</v>
      </c>
      <c r="K229" t="e">
        <f>1.2*SQRT(2*J229/(airplane!$B$25*airplane!$B$22))</f>
        <v>#DIV/0!</v>
      </c>
      <c r="L229" t="e">
        <f>1/2*K229^3/(airplane!$B$23*airplane!$B$9*airplane!$B$10*airplane!$B$4)</f>
        <v>#DIV/0!</v>
      </c>
      <c r="N229">
        <f t="shared" si="11"/>
        <v>377.64600000000002</v>
      </c>
      <c r="O229" t="e">
        <f t="shared" si="12"/>
        <v>#DIV/0!</v>
      </c>
    </row>
    <row r="230" spans="10:15" x14ac:dyDescent="0.2">
      <c r="J230">
        <f t="shared" si="13"/>
        <v>1135</v>
      </c>
      <c r="K230" t="e">
        <f>1.2*SQRT(2*J230/(airplane!$B$25*airplane!$B$22))</f>
        <v>#DIV/0!</v>
      </c>
      <c r="L230" t="e">
        <f>1/2*K230^3/(airplane!$B$23*airplane!$B$9*airplane!$B$10*airplane!$B$4)</f>
        <v>#DIV/0!</v>
      </c>
      <c r="N230">
        <f t="shared" si="11"/>
        <v>379.31700000000001</v>
      </c>
      <c r="O230" t="e">
        <f t="shared" si="12"/>
        <v>#DIV/0!</v>
      </c>
    </row>
    <row r="231" spans="10:15" x14ac:dyDescent="0.2">
      <c r="J231">
        <f t="shared" si="13"/>
        <v>1140</v>
      </c>
      <c r="K231" t="e">
        <f>1.2*SQRT(2*J231/(airplane!$B$25*airplane!$B$22))</f>
        <v>#DIV/0!</v>
      </c>
      <c r="L231" t="e">
        <f>1/2*K231^3/(airplane!$B$23*airplane!$B$9*airplane!$B$10*airplane!$B$4)</f>
        <v>#DIV/0!</v>
      </c>
      <c r="N231">
        <f t="shared" si="11"/>
        <v>380.988</v>
      </c>
      <c r="O231" t="e">
        <f t="shared" si="12"/>
        <v>#DIV/0!</v>
      </c>
    </row>
    <row r="232" spans="10:15" x14ac:dyDescent="0.2">
      <c r="J232">
        <f t="shared" si="13"/>
        <v>1145</v>
      </c>
      <c r="K232" t="e">
        <f>1.2*SQRT(2*J232/(airplane!$B$25*airplane!$B$22))</f>
        <v>#DIV/0!</v>
      </c>
      <c r="L232" t="e">
        <f>1/2*K232^3/(airplane!$B$23*airplane!$B$9*airplane!$B$10*airplane!$B$4)</f>
        <v>#DIV/0!</v>
      </c>
      <c r="N232">
        <f t="shared" si="11"/>
        <v>382.65899999999999</v>
      </c>
      <c r="O232" t="e">
        <f t="shared" si="12"/>
        <v>#DIV/0!</v>
      </c>
    </row>
    <row r="233" spans="10:15" x14ac:dyDescent="0.2">
      <c r="J233">
        <f t="shared" si="13"/>
        <v>1150</v>
      </c>
      <c r="K233" t="e">
        <f>1.2*SQRT(2*J233/(airplane!$B$25*airplane!$B$22))</f>
        <v>#DIV/0!</v>
      </c>
      <c r="L233" t="e">
        <f>1/2*K233^3/(airplane!$B$23*airplane!$B$9*airplane!$B$10*airplane!$B$4)</f>
        <v>#DIV/0!</v>
      </c>
      <c r="N233">
        <f t="shared" si="11"/>
        <v>384.33</v>
      </c>
      <c r="O233" t="e">
        <f t="shared" si="12"/>
        <v>#DIV/0!</v>
      </c>
    </row>
    <row r="234" spans="10:15" x14ac:dyDescent="0.2">
      <c r="J234">
        <f t="shared" si="13"/>
        <v>1155</v>
      </c>
      <c r="K234" t="e">
        <f>1.2*SQRT(2*J234/(airplane!$B$25*airplane!$B$22))</f>
        <v>#DIV/0!</v>
      </c>
      <c r="L234" t="e">
        <f>1/2*K234^3/(airplane!$B$23*airplane!$B$9*airplane!$B$10*airplane!$B$4)</f>
        <v>#DIV/0!</v>
      </c>
      <c r="N234">
        <f t="shared" si="11"/>
        <v>386.00099999999998</v>
      </c>
      <c r="O234" t="e">
        <f t="shared" si="12"/>
        <v>#DIV/0!</v>
      </c>
    </row>
    <row r="235" spans="10:15" x14ac:dyDescent="0.2">
      <c r="J235">
        <f t="shared" si="13"/>
        <v>1160</v>
      </c>
      <c r="K235" t="e">
        <f>1.2*SQRT(2*J235/(airplane!$B$25*airplane!$B$22))</f>
        <v>#DIV/0!</v>
      </c>
      <c r="L235" t="e">
        <f>1/2*K235^3/(airplane!$B$23*airplane!$B$9*airplane!$B$10*airplane!$B$4)</f>
        <v>#DIV/0!</v>
      </c>
      <c r="N235">
        <f t="shared" si="11"/>
        <v>387.67199999999997</v>
      </c>
      <c r="O235" t="e">
        <f t="shared" si="12"/>
        <v>#DIV/0!</v>
      </c>
    </row>
    <row r="236" spans="10:15" x14ac:dyDescent="0.2">
      <c r="J236">
        <f t="shared" si="13"/>
        <v>1165</v>
      </c>
      <c r="K236" t="e">
        <f>1.2*SQRT(2*J236/(airplane!$B$25*airplane!$B$22))</f>
        <v>#DIV/0!</v>
      </c>
      <c r="L236" t="e">
        <f>1/2*K236^3/(airplane!$B$23*airplane!$B$9*airplane!$B$10*airplane!$B$4)</f>
        <v>#DIV/0!</v>
      </c>
      <c r="N236">
        <f t="shared" si="11"/>
        <v>389.34300000000002</v>
      </c>
      <c r="O236" t="e">
        <f t="shared" si="12"/>
        <v>#DIV/0!</v>
      </c>
    </row>
    <row r="237" spans="10:15" x14ac:dyDescent="0.2">
      <c r="J237">
        <f t="shared" si="13"/>
        <v>1170</v>
      </c>
      <c r="K237" t="e">
        <f>1.2*SQRT(2*J237/(airplane!$B$25*airplane!$B$22))</f>
        <v>#DIV/0!</v>
      </c>
      <c r="L237" t="e">
        <f>1/2*K237^3/(airplane!$B$23*airplane!$B$9*airplane!$B$10*airplane!$B$4)</f>
        <v>#DIV/0!</v>
      </c>
      <c r="N237">
        <f t="shared" si="11"/>
        <v>391.01400000000001</v>
      </c>
      <c r="O237" t="e">
        <f t="shared" si="12"/>
        <v>#DIV/0!</v>
      </c>
    </row>
    <row r="238" spans="10:15" x14ac:dyDescent="0.2">
      <c r="J238">
        <f t="shared" si="13"/>
        <v>1175</v>
      </c>
      <c r="K238" t="e">
        <f>1.2*SQRT(2*J238/(airplane!$B$25*airplane!$B$22))</f>
        <v>#DIV/0!</v>
      </c>
      <c r="L238" t="e">
        <f>1/2*K238^3/(airplane!$B$23*airplane!$B$9*airplane!$B$10*airplane!$B$4)</f>
        <v>#DIV/0!</v>
      </c>
      <c r="N238">
        <f t="shared" si="11"/>
        <v>392.685</v>
      </c>
      <c r="O238" t="e">
        <f t="shared" si="12"/>
        <v>#DIV/0!</v>
      </c>
    </row>
    <row r="239" spans="10:15" x14ac:dyDescent="0.2">
      <c r="J239">
        <f t="shared" si="13"/>
        <v>1180</v>
      </c>
      <c r="K239" t="e">
        <f>1.2*SQRT(2*J239/(airplane!$B$25*airplane!$B$22))</f>
        <v>#DIV/0!</v>
      </c>
      <c r="L239" t="e">
        <f>1/2*K239^3/(airplane!$B$23*airplane!$B$9*airplane!$B$10*airplane!$B$4)</f>
        <v>#DIV/0!</v>
      </c>
      <c r="N239">
        <f t="shared" si="11"/>
        <v>394.35599999999999</v>
      </c>
      <c r="O239" t="e">
        <f t="shared" si="12"/>
        <v>#DIV/0!</v>
      </c>
    </row>
    <row r="240" spans="10:15" x14ac:dyDescent="0.2">
      <c r="J240">
        <f t="shared" si="13"/>
        <v>1185</v>
      </c>
      <c r="K240" t="e">
        <f>1.2*SQRT(2*J240/(airplane!$B$25*airplane!$B$22))</f>
        <v>#DIV/0!</v>
      </c>
      <c r="L240" t="e">
        <f>1/2*K240^3/(airplane!$B$23*airplane!$B$9*airplane!$B$10*airplane!$B$4)</f>
        <v>#DIV/0!</v>
      </c>
      <c r="N240">
        <f t="shared" si="11"/>
        <v>396.02699999999999</v>
      </c>
      <c r="O240" t="e">
        <f t="shared" si="12"/>
        <v>#DIV/0!</v>
      </c>
    </row>
    <row r="241" spans="10:15" x14ac:dyDescent="0.2">
      <c r="J241">
        <f t="shared" si="13"/>
        <v>1190</v>
      </c>
      <c r="K241" t="e">
        <f>1.2*SQRT(2*J241/(airplane!$B$25*airplane!$B$22))</f>
        <v>#DIV/0!</v>
      </c>
      <c r="L241" t="e">
        <f>1/2*K241^3/(airplane!$B$23*airplane!$B$9*airplane!$B$10*airplane!$B$4)</f>
        <v>#DIV/0!</v>
      </c>
      <c r="N241">
        <f t="shared" si="11"/>
        <v>397.69799999999998</v>
      </c>
      <c r="O241" t="e">
        <f t="shared" si="12"/>
        <v>#DIV/0!</v>
      </c>
    </row>
    <row r="242" spans="10:15" x14ac:dyDescent="0.2">
      <c r="J242">
        <f t="shared" si="13"/>
        <v>1195</v>
      </c>
      <c r="K242" t="e">
        <f>1.2*SQRT(2*J242/(airplane!$B$25*airplane!$B$22))</f>
        <v>#DIV/0!</v>
      </c>
      <c r="L242" t="e">
        <f>1/2*K242^3/(airplane!$B$23*airplane!$B$9*airplane!$B$10*airplane!$B$4)</f>
        <v>#DIV/0!</v>
      </c>
      <c r="N242">
        <f t="shared" si="11"/>
        <v>399.36899999999997</v>
      </c>
      <c r="O242" t="e">
        <f t="shared" si="12"/>
        <v>#DIV/0!</v>
      </c>
    </row>
    <row r="243" spans="10:15" x14ac:dyDescent="0.2">
      <c r="J243">
        <f t="shared" si="13"/>
        <v>1200</v>
      </c>
      <c r="K243" t="e">
        <f>1.2*SQRT(2*J243/(airplane!$B$25*airplane!$B$22))</f>
        <v>#DIV/0!</v>
      </c>
      <c r="L243" t="e">
        <f>1/2*K243^3/(airplane!$B$23*airplane!$B$9*airplane!$B$10*airplane!$B$4)</f>
        <v>#DIV/0!</v>
      </c>
      <c r="N243">
        <f t="shared" si="11"/>
        <v>401.04</v>
      </c>
      <c r="O243" t="e">
        <f t="shared" si="12"/>
        <v>#DIV/0!</v>
      </c>
    </row>
    <row r="244" spans="10:15" x14ac:dyDescent="0.2">
      <c r="J244">
        <f t="shared" si="13"/>
        <v>1205</v>
      </c>
      <c r="K244" t="e">
        <f>1.2*SQRT(2*J244/(airplane!$B$25*airplane!$B$22))</f>
        <v>#DIV/0!</v>
      </c>
      <c r="L244" t="e">
        <f>1/2*K244^3/(airplane!$B$23*airplane!$B$9*airplane!$B$10*airplane!$B$4)</f>
        <v>#DIV/0!</v>
      </c>
      <c r="N244">
        <f t="shared" si="11"/>
        <v>402.71100000000001</v>
      </c>
      <c r="O244" t="e">
        <f t="shared" si="12"/>
        <v>#DIV/0!</v>
      </c>
    </row>
    <row r="245" spans="10:15" x14ac:dyDescent="0.2">
      <c r="J245">
        <f t="shared" si="13"/>
        <v>1210</v>
      </c>
      <c r="K245" t="e">
        <f>1.2*SQRT(2*J245/(airplane!$B$25*airplane!$B$22))</f>
        <v>#DIV/0!</v>
      </c>
      <c r="L245" t="e">
        <f>1/2*K245^3/(airplane!$B$23*airplane!$B$9*airplane!$B$10*airplane!$B$4)</f>
        <v>#DIV/0!</v>
      </c>
      <c r="N245">
        <f t="shared" si="11"/>
        <v>404.38200000000001</v>
      </c>
      <c r="O245" t="e">
        <f t="shared" si="12"/>
        <v>#DIV/0!</v>
      </c>
    </row>
    <row r="246" spans="10:15" x14ac:dyDescent="0.2">
      <c r="J246">
        <f t="shared" si="13"/>
        <v>1215</v>
      </c>
      <c r="K246" t="e">
        <f>1.2*SQRT(2*J246/(airplane!$B$25*airplane!$B$22))</f>
        <v>#DIV/0!</v>
      </c>
      <c r="L246" t="e">
        <f>1/2*K246^3/(airplane!$B$23*airplane!$B$9*airplane!$B$10*airplane!$B$4)</f>
        <v>#DIV/0!</v>
      </c>
      <c r="N246">
        <f t="shared" ref="N246:N297" si="14">J246*0.3342</f>
        <v>406.053</v>
      </c>
      <c r="O246" t="e">
        <f t="shared" ref="O246:O297" si="15">L246*4.448</f>
        <v>#DIV/0!</v>
      </c>
    </row>
    <row r="247" spans="10:15" x14ac:dyDescent="0.2">
      <c r="J247">
        <f t="shared" si="13"/>
        <v>1220</v>
      </c>
      <c r="K247" t="e">
        <f>1.2*SQRT(2*J247/(airplane!$B$25*airplane!$B$22))</f>
        <v>#DIV/0!</v>
      </c>
      <c r="L247" t="e">
        <f>1/2*K247^3/(airplane!$B$23*airplane!$B$9*airplane!$B$10*airplane!$B$4)</f>
        <v>#DIV/0!</v>
      </c>
      <c r="N247">
        <f t="shared" si="14"/>
        <v>407.72399999999999</v>
      </c>
      <c r="O247" t="e">
        <f t="shared" si="15"/>
        <v>#DIV/0!</v>
      </c>
    </row>
    <row r="248" spans="10:15" x14ac:dyDescent="0.2">
      <c r="J248">
        <f t="shared" si="13"/>
        <v>1225</v>
      </c>
      <c r="K248" t="e">
        <f>1.2*SQRT(2*J248/(airplane!$B$25*airplane!$B$22))</f>
        <v>#DIV/0!</v>
      </c>
      <c r="L248" t="e">
        <f>1/2*K248^3/(airplane!$B$23*airplane!$B$9*airplane!$B$10*airplane!$B$4)</f>
        <v>#DIV/0!</v>
      </c>
      <c r="N248">
        <f t="shared" si="14"/>
        <v>409.39499999999998</v>
      </c>
      <c r="O248" t="e">
        <f t="shared" si="15"/>
        <v>#DIV/0!</v>
      </c>
    </row>
    <row r="249" spans="10:15" x14ac:dyDescent="0.2">
      <c r="J249">
        <f t="shared" si="13"/>
        <v>1230</v>
      </c>
      <c r="K249" t="e">
        <f>1.2*SQRT(2*J249/(airplane!$B$25*airplane!$B$22))</f>
        <v>#DIV/0!</v>
      </c>
      <c r="L249" t="e">
        <f>1/2*K249^3/(airplane!$B$23*airplane!$B$9*airplane!$B$10*airplane!$B$4)</f>
        <v>#DIV/0!</v>
      </c>
      <c r="N249">
        <f t="shared" si="14"/>
        <v>411.06599999999997</v>
      </c>
      <c r="O249" t="e">
        <f t="shared" si="15"/>
        <v>#DIV/0!</v>
      </c>
    </row>
    <row r="250" spans="10:15" x14ac:dyDescent="0.2">
      <c r="J250">
        <f t="shared" si="13"/>
        <v>1235</v>
      </c>
      <c r="K250" t="e">
        <f>1.2*SQRT(2*J250/(airplane!$B$25*airplane!$B$22))</f>
        <v>#DIV/0!</v>
      </c>
      <c r="L250" t="e">
        <f>1/2*K250^3/(airplane!$B$23*airplane!$B$9*airplane!$B$10*airplane!$B$4)</f>
        <v>#DIV/0!</v>
      </c>
      <c r="N250">
        <f t="shared" si="14"/>
        <v>412.73700000000002</v>
      </c>
      <c r="O250" t="e">
        <f t="shared" si="15"/>
        <v>#DIV/0!</v>
      </c>
    </row>
    <row r="251" spans="10:15" x14ac:dyDescent="0.2">
      <c r="J251">
        <f t="shared" si="13"/>
        <v>1240</v>
      </c>
      <c r="K251" t="e">
        <f>1.2*SQRT(2*J251/(airplane!$B$25*airplane!$B$22))</f>
        <v>#DIV/0!</v>
      </c>
      <c r="L251" t="e">
        <f>1/2*K251^3/(airplane!$B$23*airplane!$B$9*airplane!$B$10*airplane!$B$4)</f>
        <v>#DIV/0!</v>
      </c>
      <c r="N251">
        <f t="shared" si="14"/>
        <v>414.40800000000002</v>
      </c>
      <c r="O251" t="e">
        <f t="shared" si="15"/>
        <v>#DIV/0!</v>
      </c>
    </row>
    <row r="252" spans="10:15" x14ac:dyDescent="0.2">
      <c r="J252">
        <f t="shared" si="13"/>
        <v>1245</v>
      </c>
      <c r="K252" t="e">
        <f>1.2*SQRT(2*J252/(airplane!$B$25*airplane!$B$22))</f>
        <v>#DIV/0!</v>
      </c>
      <c r="L252" t="e">
        <f>1/2*K252^3/(airplane!$B$23*airplane!$B$9*airplane!$B$10*airplane!$B$4)</f>
        <v>#DIV/0!</v>
      </c>
      <c r="N252">
        <f t="shared" si="14"/>
        <v>416.07900000000001</v>
      </c>
      <c r="O252" t="e">
        <f t="shared" si="15"/>
        <v>#DIV/0!</v>
      </c>
    </row>
    <row r="253" spans="10:15" x14ac:dyDescent="0.2">
      <c r="J253">
        <f t="shared" si="13"/>
        <v>1250</v>
      </c>
      <c r="K253" t="e">
        <f>1.2*SQRT(2*J253/(airplane!$B$25*airplane!$B$22))</f>
        <v>#DIV/0!</v>
      </c>
      <c r="L253" t="e">
        <f>1/2*K253^3/(airplane!$B$23*airplane!$B$9*airplane!$B$10*airplane!$B$4)</f>
        <v>#DIV/0!</v>
      </c>
      <c r="N253">
        <f t="shared" si="14"/>
        <v>417.75</v>
      </c>
      <c r="O253" t="e">
        <f t="shared" si="15"/>
        <v>#DIV/0!</v>
      </c>
    </row>
    <row r="254" spans="10:15" x14ac:dyDescent="0.2">
      <c r="J254">
        <f t="shared" si="13"/>
        <v>1255</v>
      </c>
      <c r="K254" t="e">
        <f>1.2*SQRT(2*J254/(airplane!$B$25*airplane!$B$22))</f>
        <v>#DIV/0!</v>
      </c>
      <c r="L254" t="e">
        <f>1/2*K254^3/(airplane!$B$23*airplane!$B$9*airplane!$B$10*airplane!$B$4)</f>
        <v>#DIV/0!</v>
      </c>
      <c r="N254">
        <f t="shared" si="14"/>
        <v>419.42099999999999</v>
      </c>
      <c r="O254" t="e">
        <f t="shared" si="15"/>
        <v>#DIV/0!</v>
      </c>
    </row>
    <row r="255" spans="10:15" x14ac:dyDescent="0.2">
      <c r="J255">
        <f t="shared" si="13"/>
        <v>1260</v>
      </c>
      <c r="K255" t="e">
        <f>1.2*SQRT(2*J255/(airplane!$B$25*airplane!$B$22))</f>
        <v>#DIV/0!</v>
      </c>
      <c r="L255" t="e">
        <f>1/2*K255^3/(airplane!$B$23*airplane!$B$9*airplane!$B$10*airplane!$B$4)</f>
        <v>#DIV/0!</v>
      </c>
      <c r="N255">
        <f t="shared" si="14"/>
        <v>421.09199999999998</v>
      </c>
      <c r="O255" t="e">
        <f t="shared" si="15"/>
        <v>#DIV/0!</v>
      </c>
    </row>
    <row r="256" spans="10:15" x14ac:dyDescent="0.2">
      <c r="J256">
        <f t="shared" si="13"/>
        <v>1265</v>
      </c>
      <c r="K256" t="e">
        <f>1.2*SQRT(2*J256/(airplane!$B$25*airplane!$B$22))</f>
        <v>#DIV/0!</v>
      </c>
      <c r="L256" t="e">
        <f>1/2*K256^3/(airplane!$B$23*airplane!$B$9*airplane!$B$10*airplane!$B$4)</f>
        <v>#DIV/0!</v>
      </c>
      <c r="N256">
        <f t="shared" si="14"/>
        <v>422.76299999999998</v>
      </c>
      <c r="O256" t="e">
        <f t="shared" si="15"/>
        <v>#DIV/0!</v>
      </c>
    </row>
    <row r="257" spans="10:15" x14ac:dyDescent="0.2">
      <c r="J257">
        <f t="shared" si="13"/>
        <v>1270</v>
      </c>
      <c r="K257" t="e">
        <f>1.2*SQRT(2*J257/(airplane!$B$25*airplane!$B$22))</f>
        <v>#DIV/0!</v>
      </c>
      <c r="L257" t="e">
        <f>1/2*K257^3/(airplane!$B$23*airplane!$B$9*airplane!$B$10*airplane!$B$4)</f>
        <v>#DIV/0!</v>
      </c>
      <c r="N257">
        <f t="shared" si="14"/>
        <v>424.43399999999997</v>
      </c>
      <c r="O257" t="e">
        <f t="shared" si="15"/>
        <v>#DIV/0!</v>
      </c>
    </row>
    <row r="258" spans="10:15" x14ac:dyDescent="0.2">
      <c r="J258">
        <f t="shared" si="13"/>
        <v>1275</v>
      </c>
      <c r="K258" t="e">
        <f>1.2*SQRT(2*J258/(airplane!$B$25*airplane!$B$22))</f>
        <v>#DIV/0!</v>
      </c>
      <c r="L258" t="e">
        <f>1/2*K258^3/(airplane!$B$23*airplane!$B$9*airplane!$B$10*airplane!$B$4)</f>
        <v>#DIV/0!</v>
      </c>
      <c r="N258">
        <f t="shared" si="14"/>
        <v>426.10500000000002</v>
      </c>
      <c r="O258" t="e">
        <f t="shared" si="15"/>
        <v>#DIV/0!</v>
      </c>
    </row>
    <row r="259" spans="10:15" x14ac:dyDescent="0.2">
      <c r="J259">
        <f t="shared" si="13"/>
        <v>1280</v>
      </c>
      <c r="K259" t="e">
        <f>1.2*SQRT(2*J259/(airplane!$B$25*airplane!$B$22))</f>
        <v>#DIV/0!</v>
      </c>
      <c r="L259" t="e">
        <f>1/2*K259^3/(airplane!$B$23*airplane!$B$9*airplane!$B$10*airplane!$B$4)</f>
        <v>#DIV/0!</v>
      </c>
      <c r="N259">
        <f t="shared" si="14"/>
        <v>427.77600000000001</v>
      </c>
      <c r="O259" t="e">
        <f t="shared" si="15"/>
        <v>#DIV/0!</v>
      </c>
    </row>
    <row r="260" spans="10:15" x14ac:dyDescent="0.2">
      <c r="J260">
        <f t="shared" si="13"/>
        <v>1285</v>
      </c>
      <c r="K260" t="e">
        <f>1.2*SQRT(2*J260/(airplane!$B$25*airplane!$B$22))</f>
        <v>#DIV/0!</v>
      </c>
      <c r="L260" t="e">
        <f>1/2*K260^3/(airplane!$B$23*airplane!$B$9*airplane!$B$10*airplane!$B$4)</f>
        <v>#DIV/0!</v>
      </c>
      <c r="N260">
        <f t="shared" si="14"/>
        <v>429.447</v>
      </c>
      <c r="O260" t="e">
        <f t="shared" si="15"/>
        <v>#DIV/0!</v>
      </c>
    </row>
    <row r="261" spans="10:15" x14ac:dyDescent="0.2">
      <c r="J261">
        <f t="shared" ref="J261:J297" si="16">J260+5</f>
        <v>1290</v>
      </c>
      <c r="K261" t="e">
        <f>1.2*SQRT(2*J261/(airplane!$B$25*airplane!$B$22))</f>
        <v>#DIV/0!</v>
      </c>
      <c r="L261" t="e">
        <f>1/2*K261^3/(airplane!$B$23*airplane!$B$9*airplane!$B$10*airplane!$B$4)</f>
        <v>#DIV/0!</v>
      </c>
      <c r="N261">
        <f t="shared" si="14"/>
        <v>431.11799999999999</v>
      </c>
      <c r="O261" t="e">
        <f t="shared" si="15"/>
        <v>#DIV/0!</v>
      </c>
    </row>
    <row r="262" spans="10:15" x14ac:dyDescent="0.2">
      <c r="J262">
        <f t="shared" si="16"/>
        <v>1295</v>
      </c>
      <c r="K262" t="e">
        <f>1.2*SQRT(2*J262/(airplane!$B$25*airplane!$B$22))</f>
        <v>#DIV/0!</v>
      </c>
      <c r="L262" t="e">
        <f>1/2*K262^3/(airplane!$B$23*airplane!$B$9*airplane!$B$10*airplane!$B$4)</f>
        <v>#DIV/0!</v>
      </c>
      <c r="N262">
        <f t="shared" si="14"/>
        <v>432.78899999999999</v>
      </c>
      <c r="O262" t="e">
        <f t="shared" si="15"/>
        <v>#DIV/0!</v>
      </c>
    </row>
    <row r="263" spans="10:15" x14ac:dyDescent="0.2">
      <c r="J263">
        <f t="shared" si="16"/>
        <v>1300</v>
      </c>
      <c r="K263" t="e">
        <f>1.2*SQRT(2*J263/(airplane!$B$25*airplane!$B$22))</f>
        <v>#DIV/0!</v>
      </c>
      <c r="L263" t="e">
        <f>1/2*K263^3/(airplane!$B$23*airplane!$B$9*airplane!$B$10*airplane!$B$4)</f>
        <v>#DIV/0!</v>
      </c>
      <c r="N263">
        <f t="shared" si="14"/>
        <v>434.46</v>
      </c>
      <c r="O263" t="e">
        <f t="shared" si="15"/>
        <v>#DIV/0!</v>
      </c>
    </row>
    <row r="264" spans="10:15" x14ac:dyDescent="0.2">
      <c r="J264">
        <f t="shared" si="16"/>
        <v>1305</v>
      </c>
      <c r="K264" t="e">
        <f>1.2*SQRT(2*J264/(airplane!$B$25*airplane!$B$22))</f>
        <v>#DIV/0!</v>
      </c>
      <c r="L264" t="e">
        <f>1/2*K264^3/(airplane!$B$23*airplane!$B$9*airplane!$B$10*airplane!$B$4)</f>
        <v>#DIV/0!</v>
      </c>
      <c r="N264">
        <f t="shared" si="14"/>
        <v>436.13099999999997</v>
      </c>
      <c r="O264" t="e">
        <f t="shared" si="15"/>
        <v>#DIV/0!</v>
      </c>
    </row>
    <row r="265" spans="10:15" x14ac:dyDescent="0.2">
      <c r="J265">
        <f t="shared" si="16"/>
        <v>1310</v>
      </c>
      <c r="K265" t="e">
        <f>1.2*SQRT(2*J265/(airplane!$B$25*airplane!$B$22))</f>
        <v>#DIV/0!</v>
      </c>
      <c r="L265" t="e">
        <f>1/2*K265^3/(airplane!$B$23*airplane!$B$9*airplane!$B$10*airplane!$B$4)</f>
        <v>#DIV/0!</v>
      </c>
      <c r="N265">
        <f t="shared" si="14"/>
        <v>437.80200000000002</v>
      </c>
      <c r="O265" t="e">
        <f t="shared" si="15"/>
        <v>#DIV/0!</v>
      </c>
    </row>
    <row r="266" spans="10:15" x14ac:dyDescent="0.2">
      <c r="J266">
        <f t="shared" si="16"/>
        <v>1315</v>
      </c>
      <c r="K266" t="e">
        <f>1.2*SQRT(2*J266/(airplane!$B$25*airplane!$B$22))</f>
        <v>#DIV/0!</v>
      </c>
      <c r="L266" t="e">
        <f>1/2*K266^3/(airplane!$B$23*airplane!$B$9*airplane!$B$10*airplane!$B$4)</f>
        <v>#DIV/0!</v>
      </c>
      <c r="N266">
        <f t="shared" si="14"/>
        <v>439.47300000000001</v>
      </c>
      <c r="O266" t="e">
        <f t="shared" si="15"/>
        <v>#DIV/0!</v>
      </c>
    </row>
    <row r="267" spans="10:15" x14ac:dyDescent="0.2">
      <c r="J267">
        <f t="shared" si="16"/>
        <v>1320</v>
      </c>
      <c r="K267" t="e">
        <f>1.2*SQRT(2*J267/(airplane!$B$25*airplane!$B$22))</f>
        <v>#DIV/0!</v>
      </c>
      <c r="L267" t="e">
        <f>1/2*K267^3/(airplane!$B$23*airplane!$B$9*airplane!$B$10*airplane!$B$4)</f>
        <v>#DIV/0!</v>
      </c>
      <c r="N267">
        <f t="shared" si="14"/>
        <v>441.14400000000001</v>
      </c>
      <c r="O267" t="e">
        <f t="shared" si="15"/>
        <v>#DIV/0!</v>
      </c>
    </row>
    <row r="268" spans="10:15" x14ac:dyDescent="0.2">
      <c r="J268">
        <f t="shared" si="16"/>
        <v>1325</v>
      </c>
      <c r="K268" t="e">
        <f>1.2*SQRT(2*J268/(airplane!$B$25*airplane!$B$22))</f>
        <v>#DIV/0!</v>
      </c>
      <c r="L268" t="e">
        <f>1/2*K268^3/(airplane!$B$23*airplane!$B$9*airplane!$B$10*airplane!$B$4)</f>
        <v>#DIV/0!</v>
      </c>
      <c r="N268">
        <f t="shared" si="14"/>
        <v>442.815</v>
      </c>
      <c r="O268" t="e">
        <f t="shared" si="15"/>
        <v>#DIV/0!</v>
      </c>
    </row>
    <row r="269" spans="10:15" x14ac:dyDescent="0.2">
      <c r="J269">
        <f t="shared" si="16"/>
        <v>1330</v>
      </c>
      <c r="K269" t="e">
        <f>1.2*SQRT(2*J269/(airplane!$B$25*airplane!$B$22))</f>
        <v>#DIV/0!</v>
      </c>
      <c r="L269" t="e">
        <f>1/2*K269^3/(airplane!$B$23*airplane!$B$9*airplane!$B$10*airplane!$B$4)</f>
        <v>#DIV/0!</v>
      </c>
      <c r="N269">
        <f t="shared" si="14"/>
        <v>444.48599999999999</v>
      </c>
      <c r="O269" t="e">
        <f t="shared" si="15"/>
        <v>#DIV/0!</v>
      </c>
    </row>
    <row r="270" spans="10:15" x14ac:dyDescent="0.2">
      <c r="J270">
        <f t="shared" si="16"/>
        <v>1335</v>
      </c>
      <c r="K270" t="e">
        <f>1.2*SQRT(2*J270/(airplane!$B$25*airplane!$B$22))</f>
        <v>#DIV/0!</v>
      </c>
      <c r="L270" t="e">
        <f>1/2*K270^3/(airplane!$B$23*airplane!$B$9*airplane!$B$10*airplane!$B$4)</f>
        <v>#DIV/0!</v>
      </c>
      <c r="N270">
        <f t="shared" si="14"/>
        <v>446.15699999999998</v>
      </c>
      <c r="O270" t="e">
        <f t="shared" si="15"/>
        <v>#DIV/0!</v>
      </c>
    </row>
    <row r="271" spans="10:15" x14ac:dyDescent="0.2">
      <c r="J271">
        <f t="shared" si="16"/>
        <v>1340</v>
      </c>
      <c r="K271" t="e">
        <f>1.2*SQRT(2*J271/(airplane!$B$25*airplane!$B$22))</f>
        <v>#DIV/0!</v>
      </c>
      <c r="L271" t="e">
        <f>1/2*K271^3/(airplane!$B$23*airplane!$B$9*airplane!$B$10*airplane!$B$4)</f>
        <v>#DIV/0!</v>
      </c>
      <c r="N271">
        <f t="shared" si="14"/>
        <v>447.82799999999997</v>
      </c>
      <c r="O271" t="e">
        <f t="shared" si="15"/>
        <v>#DIV/0!</v>
      </c>
    </row>
    <row r="272" spans="10:15" x14ac:dyDescent="0.2">
      <c r="J272">
        <f t="shared" si="16"/>
        <v>1345</v>
      </c>
      <c r="K272" t="e">
        <f>1.2*SQRT(2*J272/(airplane!$B$25*airplane!$B$22))</f>
        <v>#DIV/0!</v>
      </c>
      <c r="L272" t="e">
        <f>1/2*K272^3/(airplane!$B$23*airplane!$B$9*airplane!$B$10*airplane!$B$4)</f>
        <v>#DIV/0!</v>
      </c>
      <c r="N272">
        <f t="shared" si="14"/>
        <v>449.49900000000002</v>
      </c>
      <c r="O272" t="e">
        <f t="shared" si="15"/>
        <v>#DIV/0!</v>
      </c>
    </row>
    <row r="273" spans="10:15" x14ac:dyDescent="0.2">
      <c r="J273">
        <f t="shared" si="16"/>
        <v>1350</v>
      </c>
      <c r="K273" t="e">
        <f>1.2*SQRT(2*J273/(airplane!$B$25*airplane!$B$22))</f>
        <v>#DIV/0!</v>
      </c>
      <c r="L273" t="e">
        <f>1/2*K273^3/(airplane!$B$23*airplane!$B$9*airplane!$B$10*airplane!$B$4)</f>
        <v>#DIV/0!</v>
      </c>
      <c r="N273">
        <f t="shared" si="14"/>
        <v>451.17</v>
      </c>
      <c r="O273" t="e">
        <f t="shared" si="15"/>
        <v>#DIV/0!</v>
      </c>
    </row>
    <row r="274" spans="10:15" x14ac:dyDescent="0.2">
      <c r="J274">
        <f t="shared" si="16"/>
        <v>1355</v>
      </c>
      <c r="K274" t="e">
        <f>1.2*SQRT(2*J274/(airplane!$B$25*airplane!$B$22))</f>
        <v>#DIV/0!</v>
      </c>
      <c r="L274" t="e">
        <f>1/2*K274^3/(airplane!$B$23*airplane!$B$9*airplane!$B$10*airplane!$B$4)</f>
        <v>#DIV/0!</v>
      </c>
      <c r="N274">
        <f t="shared" si="14"/>
        <v>452.84100000000001</v>
      </c>
      <c r="O274" t="e">
        <f t="shared" si="15"/>
        <v>#DIV/0!</v>
      </c>
    </row>
    <row r="275" spans="10:15" x14ac:dyDescent="0.2">
      <c r="J275">
        <f t="shared" si="16"/>
        <v>1360</v>
      </c>
      <c r="K275" t="e">
        <f>1.2*SQRT(2*J275/(airplane!$B$25*airplane!$B$22))</f>
        <v>#DIV/0!</v>
      </c>
      <c r="L275" t="e">
        <f>1/2*K275^3/(airplane!$B$23*airplane!$B$9*airplane!$B$10*airplane!$B$4)</f>
        <v>#DIV/0!</v>
      </c>
      <c r="N275">
        <f t="shared" si="14"/>
        <v>454.512</v>
      </c>
      <c r="O275" t="e">
        <f t="shared" si="15"/>
        <v>#DIV/0!</v>
      </c>
    </row>
    <row r="276" spans="10:15" x14ac:dyDescent="0.2">
      <c r="J276">
        <f t="shared" si="16"/>
        <v>1365</v>
      </c>
      <c r="K276" t="e">
        <f>1.2*SQRT(2*J276/(airplane!$B$25*airplane!$B$22))</f>
        <v>#DIV/0!</v>
      </c>
      <c r="L276" t="e">
        <f>1/2*K276^3/(airplane!$B$23*airplane!$B$9*airplane!$B$10*airplane!$B$4)</f>
        <v>#DIV/0!</v>
      </c>
      <c r="N276">
        <f t="shared" si="14"/>
        <v>456.18299999999999</v>
      </c>
      <c r="O276" t="e">
        <f t="shared" si="15"/>
        <v>#DIV/0!</v>
      </c>
    </row>
    <row r="277" spans="10:15" x14ac:dyDescent="0.2">
      <c r="J277">
        <f t="shared" si="16"/>
        <v>1370</v>
      </c>
      <c r="K277" t="e">
        <f>1.2*SQRT(2*J277/(airplane!$B$25*airplane!$B$22))</f>
        <v>#DIV/0!</v>
      </c>
      <c r="L277" t="e">
        <f>1/2*K277^3/(airplane!$B$23*airplane!$B$9*airplane!$B$10*airplane!$B$4)</f>
        <v>#DIV/0!</v>
      </c>
      <c r="N277">
        <f t="shared" si="14"/>
        <v>457.85399999999998</v>
      </c>
      <c r="O277" t="e">
        <f t="shared" si="15"/>
        <v>#DIV/0!</v>
      </c>
    </row>
    <row r="278" spans="10:15" x14ac:dyDescent="0.2">
      <c r="J278">
        <f t="shared" si="16"/>
        <v>1375</v>
      </c>
      <c r="K278" t="e">
        <f>1.2*SQRT(2*J278/(airplane!$B$25*airplane!$B$22))</f>
        <v>#DIV/0!</v>
      </c>
      <c r="L278" t="e">
        <f>1/2*K278^3/(airplane!$B$23*airplane!$B$9*airplane!$B$10*airplane!$B$4)</f>
        <v>#DIV/0!</v>
      </c>
      <c r="N278">
        <f t="shared" si="14"/>
        <v>459.52499999999998</v>
      </c>
      <c r="O278" t="e">
        <f t="shared" si="15"/>
        <v>#DIV/0!</v>
      </c>
    </row>
    <row r="279" spans="10:15" x14ac:dyDescent="0.2">
      <c r="J279">
        <f t="shared" si="16"/>
        <v>1380</v>
      </c>
      <c r="K279" t="e">
        <f>1.2*SQRT(2*J279/(airplane!$B$25*airplane!$B$22))</f>
        <v>#DIV/0!</v>
      </c>
      <c r="L279" t="e">
        <f>1/2*K279^3/(airplane!$B$23*airplane!$B$9*airplane!$B$10*airplane!$B$4)</f>
        <v>#DIV/0!</v>
      </c>
      <c r="N279">
        <f t="shared" si="14"/>
        <v>461.19599999999997</v>
      </c>
      <c r="O279" t="e">
        <f t="shared" si="15"/>
        <v>#DIV/0!</v>
      </c>
    </row>
    <row r="280" spans="10:15" x14ac:dyDescent="0.2">
      <c r="J280">
        <f t="shared" si="16"/>
        <v>1385</v>
      </c>
      <c r="K280" t="e">
        <f>1.2*SQRT(2*J280/(airplane!$B$25*airplane!$B$22))</f>
        <v>#DIV/0!</v>
      </c>
      <c r="L280" t="e">
        <f>1/2*K280^3/(airplane!$B$23*airplane!$B$9*airplane!$B$10*airplane!$B$4)</f>
        <v>#DIV/0!</v>
      </c>
      <c r="N280">
        <f t="shared" si="14"/>
        <v>462.86700000000002</v>
      </c>
      <c r="O280" t="e">
        <f t="shared" si="15"/>
        <v>#DIV/0!</v>
      </c>
    </row>
    <row r="281" spans="10:15" x14ac:dyDescent="0.2">
      <c r="J281">
        <f t="shared" si="16"/>
        <v>1390</v>
      </c>
      <c r="K281" t="e">
        <f>1.2*SQRT(2*J281/(airplane!$B$25*airplane!$B$22))</f>
        <v>#DIV/0!</v>
      </c>
      <c r="L281" t="e">
        <f>1/2*K281^3/(airplane!$B$23*airplane!$B$9*airplane!$B$10*airplane!$B$4)</f>
        <v>#DIV/0!</v>
      </c>
      <c r="N281">
        <f t="shared" si="14"/>
        <v>464.53800000000001</v>
      </c>
      <c r="O281" t="e">
        <f t="shared" si="15"/>
        <v>#DIV/0!</v>
      </c>
    </row>
    <row r="282" spans="10:15" x14ac:dyDescent="0.2">
      <c r="J282">
        <f t="shared" si="16"/>
        <v>1395</v>
      </c>
      <c r="K282" t="e">
        <f>1.2*SQRT(2*J282/(airplane!$B$25*airplane!$B$22))</f>
        <v>#DIV/0!</v>
      </c>
      <c r="L282" t="e">
        <f>1/2*K282^3/(airplane!$B$23*airplane!$B$9*airplane!$B$10*airplane!$B$4)</f>
        <v>#DIV/0!</v>
      </c>
      <c r="N282">
        <f t="shared" si="14"/>
        <v>466.209</v>
      </c>
      <c r="O282" t="e">
        <f t="shared" si="15"/>
        <v>#DIV/0!</v>
      </c>
    </row>
    <row r="283" spans="10:15" x14ac:dyDescent="0.2">
      <c r="J283">
        <f t="shared" si="16"/>
        <v>1400</v>
      </c>
      <c r="K283" t="e">
        <f>1.2*SQRT(2*J283/(airplane!$B$25*airplane!$B$22))</f>
        <v>#DIV/0!</v>
      </c>
      <c r="L283" t="e">
        <f>1/2*K283^3/(airplane!$B$23*airplane!$B$9*airplane!$B$10*airplane!$B$4)</f>
        <v>#DIV/0!</v>
      </c>
      <c r="N283">
        <f t="shared" si="14"/>
        <v>467.88</v>
      </c>
      <c r="O283" t="e">
        <f t="shared" si="15"/>
        <v>#DIV/0!</v>
      </c>
    </row>
    <row r="284" spans="10:15" x14ac:dyDescent="0.2">
      <c r="J284">
        <f t="shared" si="16"/>
        <v>1405</v>
      </c>
      <c r="K284" t="e">
        <f>1.2*SQRT(2*J284/(airplane!$B$25*airplane!$B$22))</f>
        <v>#DIV/0!</v>
      </c>
      <c r="L284" t="e">
        <f>1/2*K284^3/(airplane!$B$23*airplane!$B$9*airplane!$B$10*airplane!$B$4)</f>
        <v>#DIV/0!</v>
      </c>
      <c r="N284">
        <f t="shared" si="14"/>
        <v>469.55099999999999</v>
      </c>
      <c r="O284" t="e">
        <f t="shared" si="15"/>
        <v>#DIV/0!</v>
      </c>
    </row>
    <row r="285" spans="10:15" x14ac:dyDescent="0.2">
      <c r="J285">
        <f t="shared" si="16"/>
        <v>1410</v>
      </c>
      <c r="K285" t="e">
        <f>1.2*SQRT(2*J285/(airplane!$B$25*airplane!$B$22))</f>
        <v>#DIV/0!</v>
      </c>
      <c r="L285" t="e">
        <f>1/2*K285^3/(airplane!$B$23*airplane!$B$9*airplane!$B$10*airplane!$B$4)</f>
        <v>#DIV/0!</v>
      </c>
      <c r="N285">
        <f t="shared" si="14"/>
        <v>471.22199999999998</v>
      </c>
      <c r="O285" t="e">
        <f t="shared" si="15"/>
        <v>#DIV/0!</v>
      </c>
    </row>
    <row r="286" spans="10:15" x14ac:dyDescent="0.2">
      <c r="J286">
        <f t="shared" si="16"/>
        <v>1415</v>
      </c>
      <c r="K286" t="e">
        <f>1.2*SQRT(2*J286/(airplane!$B$25*airplane!$B$22))</f>
        <v>#DIV/0!</v>
      </c>
      <c r="L286" t="e">
        <f>1/2*K286^3/(airplane!$B$23*airplane!$B$9*airplane!$B$10*airplane!$B$4)</f>
        <v>#DIV/0!</v>
      </c>
      <c r="N286">
        <f t="shared" si="14"/>
        <v>472.89299999999997</v>
      </c>
      <c r="O286" t="e">
        <f t="shared" si="15"/>
        <v>#DIV/0!</v>
      </c>
    </row>
    <row r="287" spans="10:15" x14ac:dyDescent="0.2">
      <c r="J287">
        <f t="shared" si="16"/>
        <v>1420</v>
      </c>
      <c r="K287" t="e">
        <f>1.2*SQRT(2*J287/(airplane!$B$25*airplane!$B$22))</f>
        <v>#DIV/0!</v>
      </c>
      <c r="L287" t="e">
        <f>1/2*K287^3/(airplane!$B$23*airplane!$B$9*airplane!$B$10*airplane!$B$4)</f>
        <v>#DIV/0!</v>
      </c>
      <c r="N287">
        <f t="shared" si="14"/>
        <v>474.56400000000002</v>
      </c>
      <c r="O287" t="e">
        <f t="shared" si="15"/>
        <v>#DIV/0!</v>
      </c>
    </row>
    <row r="288" spans="10:15" x14ac:dyDescent="0.2">
      <c r="J288">
        <f t="shared" si="16"/>
        <v>1425</v>
      </c>
      <c r="K288" t="e">
        <f>1.2*SQRT(2*J288/(airplane!$B$25*airplane!$B$22))</f>
        <v>#DIV/0!</v>
      </c>
      <c r="L288" t="e">
        <f>1/2*K288^3/(airplane!$B$23*airplane!$B$9*airplane!$B$10*airplane!$B$4)</f>
        <v>#DIV/0!</v>
      </c>
      <c r="N288">
        <f t="shared" si="14"/>
        <v>476.23500000000001</v>
      </c>
      <c r="O288" t="e">
        <f t="shared" si="15"/>
        <v>#DIV/0!</v>
      </c>
    </row>
    <row r="289" spans="10:15" x14ac:dyDescent="0.2">
      <c r="J289">
        <f t="shared" si="16"/>
        <v>1430</v>
      </c>
      <c r="K289" t="e">
        <f>1.2*SQRT(2*J289/(airplane!$B$25*airplane!$B$22))</f>
        <v>#DIV/0!</v>
      </c>
      <c r="L289" t="e">
        <f>1/2*K289^3/(airplane!$B$23*airplane!$B$9*airplane!$B$10*airplane!$B$4)</f>
        <v>#DIV/0!</v>
      </c>
      <c r="N289">
        <f t="shared" si="14"/>
        <v>477.90600000000001</v>
      </c>
      <c r="O289" t="e">
        <f t="shared" si="15"/>
        <v>#DIV/0!</v>
      </c>
    </row>
    <row r="290" spans="10:15" x14ac:dyDescent="0.2">
      <c r="J290">
        <f t="shared" si="16"/>
        <v>1435</v>
      </c>
      <c r="K290" t="e">
        <f>1.2*SQRT(2*J290/(airplane!$B$25*airplane!$B$22))</f>
        <v>#DIV/0!</v>
      </c>
      <c r="L290" t="e">
        <f>1/2*K290^3/(airplane!$B$23*airplane!$B$9*airplane!$B$10*airplane!$B$4)</f>
        <v>#DIV/0!</v>
      </c>
      <c r="N290">
        <f t="shared" si="14"/>
        <v>479.577</v>
      </c>
      <c r="O290" t="e">
        <f t="shared" si="15"/>
        <v>#DIV/0!</v>
      </c>
    </row>
    <row r="291" spans="10:15" x14ac:dyDescent="0.2">
      <c r="J291">
        <f t="shared" si="16"/>
        <v>1440</v>
      </c>
      <c r="K291" t="e">
        <f>1.2*SQRT(2*J291/(airplane!$B$25*airplane!$B$22))</f>
        <v>#DIV/0!</v>
      </c>
      <c r="L291" t="e">
        <f>1/2*K291^3/(airplane!$B$23*airplane!$B$9*airplane!$B$10*airplane!$B$4)</f>
        <v>#DIV/0!</v>
      </c>
      <c r="N291">
        <f t="shared" si="14"/>
        <v>481.24799999999999</v>
      </c>
      <c r="O291" t="e">
        <f t="shared" si="15"/>
        <v>#DIV/0!</v>
      </c>
    </row>
    <row r="292" spans="10:15" x14ac:dyDescent="0.2">
      <c r="J292">
        <f t="shared" si="16"/>
        <v>1445</v>
      </c>
      <c r="K292" t="e">
        <f>1.2*SQRT(2*J292/(airplane!$B$25*airplane!$B$22))</f>
        <v>#DIV/0!</v>
      </c>
      <c r="L292" t="e">
        <f>1/2*K292^3/(airplane!$B$23*airplane!$B$9*airplane!$B$10*airplane!$B$4)</f>
        <v>#DIV/0!</v>
      </c>
      <c r="N292">
        <f t="shared" si="14"/>
        <v>482.91899999999998</v>
      </c>
      <c r="O292" t="e">
        <f t="shared" si="15"/>
        <v>#DIV/0!</v>
      </c>
    </row>
    <row r="293" spans="10:15" x14ac:dyDescent="0.2">
      <c r="J293">
        <f t="shared" si="16"/>
        <v>1450</v>
      </c>
      <c r="K293" t="e">
        <f>1.2*SQRT(2*J293/(airplane!$B$25*airplane!$B$22))</f>
        <v>#DIV/0!</v>
      </c>
      <c r="L293" t="e">
        <f>1/2*K293^3/(airplane!$B$23*airplane!$B$9*airplane!$B$10*airplane!$B$4)</f>
        <v>#DIV/0!</v>
      </c>
      <c r="N293">
        <f t="shared" si="14"/>
        <v>484.59</v>
      </c>
      <c r="O293" t="e">
        <f t="shared" si="15"/>
        <v>#DIV/0!</v>
      </c>
    </row>
    <row r="294" spans="10:15" x14ac:dyDescent="0.2">
      <c r="J294">
        <f t="shared" si="16"/>
        <v>1455</v>
      </c>
      <c r="K294" t="e">
        <f>1.2*SQRT(2*J294/(airplane!$B$25*airplane!$B$22))</f>
        <v>#DIV/0!</v>
      </c>
      <c r="L294" t="e">
        <f>1/2*K294^3/(airplane!$B$23*airplane!$B$9*airplane!$B$10*airplane!$B$4)</f>
        <v>#DIV/0!</v>
      </c>
      <c r="N294">
        <f t="shared" si="14"/>
        <v>486.26100000000002</v>
      </c>
      <c r="O294" t="e">
        <f t="shared" si="15"/>
        <v>#DIV/0!</v>
      </c>
    </row>
    <row r="295" spans="10:15" x14ac:dyDescent="0.2">
      <c r="J295">
        <f t="shared" si="16"/>
        <v>1460</v>
      </c>
      <c r="K295" t="e">
        <f>1.2*SQRT(2*J295/(airplane!$B$25*airplane!$B$22))</f>
        <v>#DIV/0!</v>
      </c>
      <c r="L295" t="e">
        <f>1/2*K295^3/(airplane!$B$23*airplane!$B$9*airplane!$B$10*airplane!$B$4)</f>
        <v>#DIV/0!</v>
      </c>
      <c r="N295">
        <f t="shared" si="14"/>
        <v>487.93200000000002</v>
      </c>
      <c r="O295" t="e">
        <f t="shared" si="15"/>
        <v>#DIV/0!</v>
      </c>
    </row>
    <row r="296" spans="10:15" x14ac:dyDescent="0.2">
      <c r="J296">
        <f t="shared" si="16"/>
        <v>1465</v>
      </c>
      <c r="K296" t="e">
        <f>1.2*SQRT(2*J296/(airplane!$B$25*airplane!$B$22))</f>
        <v>#DIV/0!</v>
      </c>
      <c r="L296" t="e">
        <f>1/2*K296^3/(airplane!$B$23*airplane!$B$9*airplane!$B$10*airplane!$B$4)</f>
        <v>#DIV/0!</v>
      </c>
      <c r="N296">
        <f t="shared" si="14"/>
        <v>489.60300000000001</v>
      </c>
      <c r="O296" t="e">
        <f t="shared" si="15"/>
        <v>#DIV/0!</v>
      </c>
    </row>
    <row r="297" spans="10:15" x14ac:dyDescent="0.2">
      <c r="J297">
        <f t="shared" si="16"/>
        <v>1470</v>
      </c>
      <c r="K297" t="e">
        <f>1.2*SQRT(2*J297/(airplane!$B$25*airplane!$B$22))</f>
        <v>#DIV/0!</v>
      </c>
      <c r="L297" t="e">
        <f>1/2*K297^3/(airplane!$B$23*airplane!$B$9*airplane!$B$10*airplane!$B$4)</f>
        <v>#DIV/0!</v>
      </c>
      <c r="N297">
        <f t="shared" si="14"/>
        <v>491.274</v>
      </c>
      <c r="O297" t="e">
        <f t="shared" si="15"/>
        <v>#DIV/0!</v>
      </c>
    </row>
  </sheetData>
  <phoneticPr fontId="5" type="noConversion"/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Equation.3" shapeId="4099" r:id="rId4">
          <objectPr defaultSize="0" autoPict="0" r:id="rId5">
            <anchor moveWithCells="1" sizeWithCells="1">
              <from>
                <xdr:col>0</xdr:col>
                <xdr:colOff>596900</xdr:colOff>
                <xdr:row>21</xdr:row>
                <xdr:rowOff>63500</xdr:rowOff>
              </from>
              <to>
                <xdr:col>5</xdr:col>
                <xdr:colOff>342900</xdr:colOff>
                <xdr:row>26</xdr:row>
                <xdr:rowOff>139700</xdr:rowOff>
              </to>
            </anchor>
          </objectPr>
        </oleObject>
      </mc:Choice>
      <mc:Fallback>
        <oleObject progId="Equation.3" shapeId="4099" r:id="rId4"/>
      </mc:Fallback>
    </mc:AlternateContent>
    <mc:AlternateContent xmlns:mc="http://schemas.openxmlformats.org/markup-compatibility/2006">
      <mc:Choice Requires="x14">
        <oleObject progId="Equation.3" shapeId="4102" r:id="rId6">
          <objectPr defaultSize="0" autoPict="0" r:id="rId7">
            <anchor moveWithCells="1" sizeWithCells="1">
              <from>
                <xdr:col>0</xdr:col>
                <xdr:colOff>444500</xdr:colOff>
                <xdr:row>27</xdr:row>
                <xdr:rowOff>101600</xdr:rowOff>
              </from>
              <to>
                <xdr:col>9</xdr:col>
                <xdr:colOff>266700</xdr:colOff>
                <xdr:row>32</xdr:row>
                <xdr:rowOff>76200</xdr:rowOff>
              </to>
            </anchor>
          </objectPr>
        </oleObject>
      </mc:Choice>
      <mc:Fallback>
        <oleObject progId="Equation.3" shapeId="4102" r:id="rId6"/>
      </mc:Fallback>
    </mc:AlternateContent>
  </oleObject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I1:N324"/>
  <sheetViews>
    <sheetView topLeftCell="A287" workbookViewId="0">
      <selection activeCell="I326" sqref="I326"/>
    </sheetView>
  </sheetViews>
  <sheetFormatPr baseColWidth="10" defaultColWidth="8.83203125" defaultRowHeight="15" x14ac:dyDescent="0.2"/>
  <cols>
    <col min="9" max="9" width="14.5" customWidth="1"/>
  </cols>
  <sheetData>
    <row r="1" spans="9:14" x14ac:dyDescent="0.2">
      <c r="I1" t="s">
        <v>23</v>
      </c>
      <c r="J1" t="s">
        <v>58</v>
      </c>
      <c r="K1" t="s">
        <v>25</v>
      </c>
      <c r="M1" t="s">
        <v>23</v>
      </c>
      <c r="N1" t="s">
        <v>25</v>
      </c>
    </row>
    <row r="2" spans="9:14" x14ac:dyDescent="0.2">
      <c r="I2" t="s">
        <v>16</v>
      </c>
      <c r="M2" t="s">
        <v>66</v>
      </c>
      <c r="N2" t="s">
        <v>65</v>
      </c>
    </row>
    <row r="3" spans="9:14" x14ac:dyDescent="0.2">
      <c r="I3">
        <v>0</v>
      </c>
      <c r="J3">
        <f>SQRT(2*I3/airplane!$B$31/airplane!$B$33)</f>
        <v>0</v>
      </c>
      <c r="K3">
        <f>J3/(airplane!$B$32*airplane!$B$10*airplane!$B$9*airplane!$B$12*SQRT(airplane!$B$31))</f>
        <v>0</v>
      </c>
      <c r="M3">
        <f>I3*0.3342</f>
        <v>0</v>
      </c>
      <c r="N3">
        <f>K3*4.448</f>
        <v>0</v>
      </c>
    </row>
    <row r="4" spans="9:14" x14ac:dyDescent="0.2">
      <c r="I4">
        <f>I3+5</f>
        <v>5</v>
      </c>
      <c r="J4">
        <f>SQRT(2*I4/airplane!$B$31/airplane!$B$33)</f>
        <v>3.0545433842726939</v>
      </c>
      <c r="K4">
        <f>J4/(airplane!$B$32*airplane!$B$10*airplane!$B$9*airplane!$B$12*SQRT(airplane!$B$31))</f>
        <v>0.64300675293406007</v>
      </c>
      <c r="M4">
        <f t="shared" ref="M4:M36" si="0">I4*0.3342</f>
        <v>1.671</v>
      </c>
      <c r="N4">
        <f t="shared" ref="N4:N36" si="1">K4*4.448</f>
        <v>2.8600940370506995</v>
      </c>
    </row>
    <row r="5" spans="9:14" x14ac:dyDescent="0.2">
      <c r="I5">
        <f t="shared" ref="I5:I68" si="2">I4+5</f>
        <v>10</v>
      </c>
      <c r="J5">
        <f>SQRT(2*I5/airplane!$B$31/airplane!$B$33)</f>
        <v>4.3197766808954565</v>
      </c>
      <c r="K5">
        <f>J5/(airplane!$B$32*airplane!$B$10*airplane!$B$9*airplane!$B$12*SQRT(airplane!$B$31))</f>
        <v>0.90934887069683368</v>
      </c>
      <c r="M5">
        <f t="shared" si="0"/>
        <v>3.3420000000000001</v>
      </c>
      <c r="N5">
        <f t="shared" si="1"/>
        <v>4.044783776859517</v>
      </c>
    </row>
    <row r="6" spans="9:14" x14ac:dyDescent="0.2">
      <c r="I6">
        <f t="shared" si="2"/>
        <v>15</v>
      </c>
      <c r="J6">
        <f>SQRT(2*I6/airplane!$B$31/airplane!$B$33)</f>
        <v>5.2906243354836917</v>
      </c>
      <c r="K6">
        <f>J6/(airplane!$B$32*airplane!$B$10*airplane!$B$9*airplane!$B$12*SQRT(airplane!$B$31))</f>
        <v>1.1137203656916805</v>
      </c>
      <c r="M6">
        <f t="shared" si="0"/>
        <v>5.0129999999999999</v>
      </c>
      <c r="N6">
        <f t="shared" si="1"/>
        <v>4.9538281865965956</v>
      </c>
    </row>
    <row r="7" spans="9:14" x14ac:dyDescent="0.2">
      <c r="I7">
        <f t="shared" si="2"/>
        <v>20</v>
      </c>
      <c r="J7">
        <f>SQRT(2*I7/airplane!$B$31/airplane!$B$33)</f>
        <v>6.1090867685453878</v>
      </c>
      <c r="K7">
        <f>J7/(airplane!$B$32*airplane!$B$10*airplane!$B$9*airplane!$B$12*SQRT(airplane!$B$31))</f>
        <v>1.2860135058681201</v>
      </c>
      <c r="M7">
        <f t="shared" si="0"/>
        <v>6.6840000000000002</v>
      </c>
      <c r="N7">
        <f t="shared" si="1"/>
        <v>5.7201880741013991</v>
      </c>
    </row>
    <row r="8" spans="9:14" x14ac:dyDescent="0.2">
      <c r="I8">
        <f t="shared" si="2"/>
        <v>25</v>
      </c>
      <c r="J8">
        <f>SQRT(2*I8/airplane!$B$31/airplane!$B$33)</f>
        <v>6.8301666474560063</v>
      </c>
      <c r="K8">
        <f>J8/(airplane!$B$32*airplane!$B$10*airplane!$B$9*airplane!$B$12*SQRT(airplane!$B$31))</f>
        <v>1.4378068095519707</v>
      </c>
      <c r="M8">
        <f t="shared" si="0"/>
        <v>8.3550000000000004</v>
      </c>
      <c r="N8">
        <f t="shared" si="1"/>
        <v>6.3953646888871667</v>
      </c>
    </row>
    <row r="9" spans="9:14" x14ac:dyDescent="0.2">
      <c r="I9">
        <f t="shared" si="2"/>
        <v>30</v>
      </c>
      <c r="J9">
        <f>SQRT(2*I9/airplane!$B$31/airplane!$B$33)</f>
        <v>7.4820726886621802</v>
      </c>
      <c r="K9">
        <f>J9/(airplane!$B$32*airplane!$B$10*airplane!$B$9*airplane!$B$12*SQRT(airplane!$B$31))</f>
        <v>1.5750384458522975</v>
      </c>
      <c r="M9">
        <f t="shared" si="0"/>
        <v>10.026</v>
      </c>
      <c r="N9">
        <f t="shared" si="1"/>
        <v>7.0057710071510195</v>
      </c>
    </row>
    <row r="10" spans="9:14" x14ac:dyDescent="0.2">
      <c r="I10">
        <f t="shared" si="2"/>
        <v>35</v>
      </c>
      <c r="J10">
        <f>SQRT(2*I10/airplane!$B$31/airplane!$B$33)</f>
        <v>8.0815621636431523</v>
      </c>
      <c r="K10">
        <f>J10/(airplane!$B$32*airplane!$B$10*airplane!$B$9*airplane!$B$12*SQRT(airplane!$B$31))</f>
        <v>1.7012359595986748</v>
      </c>
      <c r="M10">
        <f t="shared" si="0"/>
        <v>11.696999999999999</v>
      </c>
      <c r="N10">
        <f t="shared" si="1"/>
        <v>7.5670975482949059</v>
      </c>
    </row>
    <row r="11" spans="9:14" x14ac:dyDescent="0.2">
      <c r="I11">
        <f t="shared" si="2"/>
        <v>40</v>
      </c>
      <c r="J11">
        <f>SQRT(2*I11/airplane!$B$31/airplane!$B$33)</f>
        <v>8.639553361790913</v>
      </c>
      <c r="K11">
        <f>J11/(airplane!$B$32*airplane!$B$10*airplane!$B$9*airplane!$B$12*SQRT(airplane!$B$31))</f>
        <v>1.8186977413936674</v>
      </c>
      <c r="M11">
        <f t="shared" si="0"/>
        <v>13.368</v>
      </c>
      <c r="N11">
        <f t="shared" si="1"/>
        <v>8.0895675537190339</v>
      </c>
    </row>
    <row r="12" spans="9:14" x14ac:dyDescent="0.2">
      <c r="I12">
        <f t="shared" si="2"/>
        <v>45</v>
      </c>
      <c r="J12">
        <f>SQRT(2*I12/airplane!$B$31/airplane!$B$33)</f>
        <v>9.163630152818083</v>
      </c>
      <c r="K12">
        <f>J12/(airplane!$B$32*airplane!$B$10*airplane!$B$9*airplane!$B$12*SQRT(airplane!$B$31))</f>
        <v>1.9290202588021805</v>
      </c>
      <c r="M12">
        <f t="shared" si="0"/>
        <v>15.039</v>
      </c>
      <c r="N12">
        <f t="shared" si="1"/>
        <v>8.5802821111520995</v>
      </c>
    </row>
    <row r="13" spans="9:14" x14ac:dyDescent="0.2">
      <c r="I13">
        <f t="shared" si="2"/>
        <v>50</v>
      </c>
      <c r="J13">
        <f>SQRT(2*I13/airplane!$B$31/airplane!$B$33)</f>
        <v>9.6593143061006579</v>
      </c>
      <c r="K13">
        <f>J13/(airplane!$B$32*airplane!$B$10*airplane!$B$9*airplane!$B$12*SQRT(airplane!$B$31))</f>
        <v>2.0333658901407867</v>
      </c>
      <c r="M13">
        <f t="shared" si="0"/>
        <v>16.71</v>
      </c>
      <c r="N13">
        <f t="shared" si="1"/>
        <v>9.0444114793462198</v>
      </c>
    </row>
    <row r="14" spans="9:14" x14ac:dyDescent="0.2">
      <c r="I14">
        <f t="shared" si="2"/>
        <v>55</v>
      </c>
      <c r="J14">
        <f>SQRT(2*I14/airplane!$B$31/airplane!$B$33)</f>
        <v>10.130774311494898</v>
      </c>
      <c r="K14">
        <f>J14/(airplane!$B$32*airplane!$B$10*airplane!$B$9*airplane!$B$12*SQRT(airplane!$B$31))</f>
        <v>2.1326121371470337</v>
      </c>
      <c r="M14">
        <f t="shared" si="0"/>
        <v>18.381</v>
      </c>
      <c r="N14">
        <f t="shared" si="1"/>
        <v>9.4858587860300059</v>
      </c>
    </row>
    <row r="15" spans="9:14" x14ac:dyDescent="0.2">
      <c r="I15">
        <f t="shared" si="2"/>
        <v>60</v>
      </c>
      <c r="J15">
        <f>SQRT(2*I15/airplane!$B$31/airplane!$B$33)</f>
        <v>10.581248670967383</v>
      </c>
      <c r="K15">
        <f>J15/(airplane!$B$32*airplane!$B$10*airplane!$B$9*airplane!$B$12*SQRT(airplane!$B$31))</f>
        <v>2.2274407313833611</v>
      </c>
      <c r="M15">
        <f t="shared" si="0"/>
        <v>20.052</v>
      </c>
      <c r="N15">
        <f t="shared" si="1"/>
        <v>9.9076563731931913</v>
      </c>
    </row>
    <row r="16" spans="9:14" x14ac:dyDescent="0.2">
      <c r="I16">
        <f t="shared" si="2"/>
        <v>65</v>
      </c>
      <c r="J16">
        <f>SQRT(2*I16/airplane!$B$31/airplane!$B$33)</f>
        <v>11.013312795124502</v>
      </c>
      <c r="K16">
        <f>J16/(airplane!$B$32*airplane!$B$10*airplane!$B$9*airplane!$B$12*SQRT(airplane!$B$31))</f>
        <v>2.3183938181733588</v>
      </c>
      <c r="M16">
        <f t="shared" si="0"/>
        <v>21.722999999999999</v>
      </c>
      <c r="N16">
        <f t="shared" si="1"/>
        <v>10.312215703235101</v>
      </c>
    </row>
    <row r="17" spans="9:14" x14ac:dyDescent="0.2">
      <c r="I17">
        <f t="shared" si="2"/>
        <v>70</v>
      </c>
      <c r="J17">
        <f>SQRT(2*I17/airplane!$B$31/airplane!$B$33)</f>
        <v>11.429054816985399</v>
      </c>
      <c r="K17">
        <f>J17/(airplane!$B$32*airplane!$B$10*airplane!$B$9*airplane!$B$12*SQRT(airplane!$B$31))</f>
        <v>2.4059109668612524</v>
      </c>
      <c r="M17">
        <f t="shared" si="0"/>
        <v>23.393999999999998</v>
      </c>
      <c r="N17">
        <f t="shared" si="1"/>
        <v>10.701491980598851</v>
      </c>
    </row>
    <row r="18" spans="9:14" x14ac:dyDescent="0.2">
      <c r="I18">
        <f t="shared" si="2"/>
        <v>75</v>
      </c>
      <c r="J18">
        <f>SQRT(2*I18/airplane!$B$31/airplane!$B$33)</f>
        <v>11.830195657556187</v>
      </c>
      <c r="K18">
        <f>J18/(airplane!$B$32*airplane!$B$10*airplane!$B$9*airplane!$B$12*SQRT(airplane!$B$31))</f>
        <v>2.4903544456125219</v>
      </c>
      <c r="M18">
        <f t="shared" si="0"/>
        <v>25.065000000000001</v>
      </c>
      <c r="N18">
        <f t="shared" si="1"/>
        <v>11.077096574084498</v>
      </c>
    </row>
    <row r="19" spans="9:14" x14ac:dyDescent="0.2">
      <c r="I19">
        <f t="shared" si="2"/>
        <v>80</v>
      </c>
      <c r="J19">
        <f>SQRT(2*I19/airplane!$B$31/airplane!$B$33)</f>
        <v>12.218173537090776</v>
      </c>
      <c r="K19">
        <f>J19/(airplane!$B$32*airplane!$B$10*airplane!$B$9*airplane!$B$12*SQRT(airplane!$B$31))</f>
        <v>2.5720270117362403</v>
      </c>
      <c r="M19">
        <f t="shared" si="0"/>
        <v>26.736000000000001</v>
      </c>
      <c r="N19">
        <f t="shared" si="1"/>
        <v>11.440376148202798</v>
      </c>
    </row>
    <row r="20" spans="9:14" x14ac:dyDescent="0.2">
      <c r="I20">
        <f t="shared" si="2"/>
        <v>85</v>
      </c>
      <c r="J20">
        <f>SQRT(2*I20/airplane!$B$31/airplane!$B$33)</f>
        <v>12.594205011387952</v>
      </c>
      <c r="K20">
        <f>J20/(airplane!$B$32*airplane!$B$10*airplane!$B$9*airplane!$B$12*SQRT(airplane!$B$31))</f>
        <v>2.6511847603325682</v>
      </c>
      <c r="M20">
        <f t="shared" si="0"/>
        <v>28.407</v>
      </c>
      <c r="N20">
        <f t="shared" si="1"/>
        <v>11.792469813959265</v>
      </c>
    </row>
    <row r="21" spans="9:14" x14ac:dyDescent="0.2">
      <c r="I21">
        <f t="shared" si="2"/>
        <v>90</v>
      </c>
      <c r="J21">
        <f>SQRT(2*I21/airplane!$B$31/airplane!$B$33)</f>
        <v>12.95933004268637</v>
      </c>
      <c r="K21">
        <f>J21/(airplane!$B$32*airplane!$B$10*airplane!$B$9*airplane!$B$12*SQRT(airplane!$B$31))</f>
        <v>2.7280466120905014</v>
      </c>
      <c r="M21">
        <f t="shared" si="0"/>
        <v>30.077999999999999</v>
      </c>
      <c r="N21">
        <f t="shared" si="1"/>
        <v>12.134351330578552</v>
      </c>
    </row>
    <row r="22" spans="9:14" x14ac:dyDescent="0.2">
      <c r="I22">
        <f t="shared" si="2"/>
        <v>95</v>
      </c>
      <c r="J22">
        <f>SQRT(2*I22/airplane!$B$31/airplane!$B$33)</f>
        <v>13.3144459307054</v>
      </c>
      <c r="K22">
        <f>J22/(airplane!$B$32*airplane!$B$10*airplane!$B$9*airplane!$B$12*SQRT(airplane!$B$31))</f>
        <v>2.8028014560537935</v>
      </c>
      <c r="M22">
        <f t="shared" si="0"/>
        <v>31.748999999999999</v>
      </c>
      <c r="N22">
        <f t="shared" si="1"/>
        <v>12.466860876527274</v>
      </c>
    </row>
    <row r="23" spans="9:14" x14ac:dyDescent="0.2">
      <c r="I23">
        <f t="shared" si="2"/>
        <v>100</v>
      </c>
      <c r="J23">
        <f>SQRT(2*I23/airplane!$B$31/airplane!$B$33)</f>
        <v>13.660333294912013</v>
      </c>
      <c r="K23">
        <f>J23/(airplane!$B$32*airplane!$B$10*airplane!$B$9*airplane!$B$12*SQRT(airplane!$B$31))</f>
        <v>2.8756136191039414</v>
      </c>
      <c r="M23">
        <f t="shared" si="0"/>
        <v>33.42</v>
      </c>
      <c r="N23">
        <f t="shared" si="1"/>
        <v>12.790729377774333</v>
      </c>
    </row>
    <row r="24" spans="9:14" x14ac:dyDescent="0.2">
      <c r="I24">
        <f t="shared" si="2"/>
        <v>105</v>
      </c>
      <c r="J24">
        <f>SQRT(2*I24/airplane!$B$31/airplane!$B$33)</f>
        <v>13.997676271956205</v>
      </c>
      <c r="K24">
        <f>J24/(airplane!$B$32*airplane!$B$10*airplane!$B$9*airplane!$B$12*SQRT(airplane!$B$31))</f>
        <v>2.9466271176880987</v>
      </c>
      <c r="M24">
        <f t="shared" si="0"/>
        <v>35.091000000000001</v>
      </c>
      <c r="N24">
        <f t="shared" si="1"/>
        <v>13.106597419476664</v>
      </c>
    </row>
    <row r="25" spans="9:14" x14ac:dyDescent="0.2">
      <c r="I25">
        <f t="shared" si="2"/>
        <v>110</v>
      </c>
      <c r="J25">
        <f>SQRT(2*I25/airplane!$B$31/airplane!$B$33)</f>
        <v>14.327078428657039</v>
      </c>
      <c r="K25">
        <f>J25/(airplane!$B$32*airplane!$B$10*airplane!$B$9*airplane!$B$12*SQRT(airplane!$B$31))</f>
        <v>3.0159690076348058</v>
      </c>
      <c r="M25">
        <f t="shared" si="0"/>
        <v>36.762</v>
      </c>
      <c r="N25">
        <f t="shared" si="1"/>
        <v>13.415030145959618</v>
      </c>
    </row>
    <row r="26" spans="9:14" x14ac:dyDescent="0.2">
      <c r="I26">
        <f t="shared" si="2"/>
        <v>115</v>
      </c>
      <c r="J26">
        <f>SQRT(2*I26/airplane!$B$31/airplane!$B$33)</f>
        <v>14.649075451621304</v>
      </c>
      <c r="K26">
        <f>J26/(airplane!$B$32*airplane!$B$10*airplane!$B$9*airplane!$B$12*SQRT(airplane!$B$31))</f>
        <v>3.0837520554241187</v>
      </c>
      <c r="M26">
        <f t="shared" si="0"/>
        <v>38.433</v>
      </c>
      <c r="N26">
        <f t="shared" si="1"/>
        <v>13.716529142526481</v>
      </c>
    </row>
    <row r="27" spans="9:14" x14ac:dyDescent="0.2">
      <c r="I27">
        <f t="shared" si="2"/>
        <v>120</v>
      </c>
      <c r="J27">
        <f>SQRT(2*I27/airplane!$B$31/airplane!$B$33)</f>
        <v>14.96414537732436</v>
      </c>
      <c r="K27">
        <f>J27/(airplane!$B$32*airplane!$B$10*airplane!$B$9*airplane!$B$12*SQRT(airplane!$B$31))</f>
        <v>3.1500768917045949</v>
      </c>
      <c r="M27">
        <f t="shared" si="0"/>
        <v>40.103999999999999</v>
      </c>
      <c r="N27">
        <f t="shared" si="1"/>
        <v>14.011542014302039</v>
      </c>
    </row>
    <row r="28" spans="9:14" x14ac:dyDescent="0.2">
      <c r="I28">
        <f t="shared" si="2"/>
        <v>125</v>
      </c>
      <c r="J28">
        <f>SQRT(2*I28/airplane!$B$31/airplane!$B$33)</f>
        <v>15.272716921363472</v>
      </c>
      <c r="K28">
        <f>J28/(airplane!$B$32*airplane!$B$10*airplane!$B$9*airplane!$B$12*SQRT(airplane!$B$31))</f>
        <v>3.2150337646703009</v>
      </c>
      <c r="M28">
        <f t="shared" si="0"/>
        <v>41.774999999999999</v>
      </c>
      <c r="N28">
        <f t="shared" si="1"/>
        <v>14.3004701852535</v>
      </c>
    </row>
    <row r="29" spans="9:14" x14ac:dyDescent="0.2">
      <c r="I29">
        <f t="shared" si="2"/>
        <v>130</v>
      </c>
      <c r="J29">
        <f>SQRT(2*I29/airplane!$B$31/airplane!$B$33)</f>
        <v>15.575176321522211</v>
      </c>
      <c r="K29">
        <f>J29/(airplane!$B$32*airplane!$B$10*airplane!$B$9*airplane!$B$12*SQRT(airplane!$B$31))</f>
        <v>3.2787039805827067</v>
      </c>
      <c r="M29">
        <f t="shared" si="0"/>
        <v>43.445999999999998</v>
      </c>
      <c r="N29">
        <f t="shared" si="1"/>
        <v>14.58367530563188</v>
      </c>
    </row>
    <row r="30" spans="9:14" x14ac:dyDescent="0.2">
      <c r="I30">
        <f t="shared" si="2"/>
        <v>135</v>
      </c>
      <c r="J30">
        <f>SQRT(2*I30/airplane!$B$31/airplane!$B$33)</f>
        <v>15.871873006451075</v>
      </c>
      <c r="K30">
        <f>J30/(airplane!$B$32*airplane!$B$10*airplane!$B$9*airplane!$B$12*SQRT(airplane!$B$31))</f>
        <v>3.3411610970750414</v>
      </c>
      <c r="M30">
        <f t="shared" si="0"/>
        <v>45.116999999999997</v>
      </c>
      <c r="N30">
        <f t="shared" si="1"/>
        <v>14.861484559789785</v>
      </c>
    </row>
    <row r="31" spans="9:14" x14ac:dyDescent="0.2">
      <c r="I31">
        <f>I30+5</f>
        <v>140</v>
      </c>
      <c r="J31">
        <f>SQRT(2*I31/airplane!$B$31/airplane!$B$33)</f>
        <v>16.163124327286305</v>
      </c>
      <c r="K31">
        <f>J31/(airplane!$B$32*airplane!$B$10*airplane!$B$9*airplane!$B$12*SQRT(airplane!$B$31))</f>
        <v>3.4024719191973496</v>
      </c>
      <c r="M31">
        <f t="shared" si="0"/>
        <v>46.787999999999997</v>
      </c>
      <c r="N31">
        <f t="shared" si="1"/>
        <v>15.134195096589812</v>
      </c>
    </row>
    <row r="32" spans="9:14" x14ac:dyDescent="0.2">
      <c r="I32">
        <f t="shared" si="2"/>
        <v>145</v>
      </c>
      <c r="J32">
        <f>SQRT(2*I32/airplane!$B$31/airplane!$B$33)</f>
        <v>16.449219534850837</v>
      </c>
      <c r="K32">
        <f>J32/(airplane!$B$32*airplane!$B$10*airplane!$B$9*airplane!$B$12*SQRT(airplane!$B$31))</f>
        <v>3.4626973366503311</v>
      </c>
      <c r="M32">
        <f t="shared" si="0"/>
        <v>48.458999999999996</v>
      </c>
      <c r="N32">
        <f t="shared" si="1"/>
        <v>15.402077753420674</v>
      </c>
    </row>
    <row r="33" spans="9:14" x14ac:dyDescent="0.2">
      <c r="I33">
        <f t="shared" si="2"/>
        <v>150</v>
      </c>
      <c r="J33">
        <f>SQRT(2*I33/airplane!$B$31/airplane!$B$33)</f>
        <v>16.730423144443254</v>
      </c>
      <c r="K33">
        <f>J33/(airplane!$B$32*airplane!$B$10*airplane!$B$9*airplane!$B$12*SQRT(airplane!$B$31))</f>
        <v>3.5218930321013588</v>
      </c>
      <c r="M33">
        <f t="shared" si="0"/>
        <v>50.13</v>
      </c>
      <c r="N33">
        <f t="shared" si="1"/>
        <v>15.665380206786846</v>
      </c>
    </row>
    <row r="34" spans="9:14" x14ac:dyDescent="0.2">
      <c r="I34">
        <f t="shared" si="2"/>
        <v>155</v>
      </c>
      <c r="J34">
        <f>SQRT(2*I34/airplane!$B$31/airplane!$B$33)</f>
        <v>17.006977799671716</v>
      </c>
      <c r="K34">
        <f>J34/(airplane!$B$32*airplane!$B$10*airplane!$B$9*airplane!$B$12*SQRT(airplane!$B$31))</f>
        <v>3.5801100840453088</v>
      </c>
      <c r="M34">
        <f t="shared" si="0"/>
        <v>51.801000000000002</v>
      </c>
      <c r="N34">
        <f t="shared" si="1"/>
        <v>15.924329653833535</v>
      </c>
    </row>
    <row r="35" spans="9:14" x14ac:dyDescent="0.2">
      <c r="I35">
        <f t="shared" si="2"/>
        <v>160</v>
      </c>
      <c r="J35">
        <f>SQRT(2*I35/airplane!$B$31/airplane!$B$33)</f>
        <v>17.279106723581826</v>
      </c>
      <c r="K35">
        <f>J35/(airplane!$B$32*airplane!$B$10*airplane!$B$9*airplane!$B$12*SQRT(airplane!$B$31))</f>
        <v>3.6373954827873347</v>
      </c>
      <c r="M35">
        <f t="shared" si="0"/>
        <v>53.472000000000001</v>
      </c>
      <c r="N35">
        <f t="shared" si="1"/>
        <v>16.179135107438068</v>
      </c>
    </row>
    <row r="36" spans="9:14" x14ac:dyDescent="0.2">
      <c r="I36">
        <f t="shared" si="2"/>
        <v>165</v>
      </c>
      <c r="J36">
        <f>SQRT(2*I36/airplane!$B$31/airplane!$B$33)</f>
        <v>17.547015827522774</v>
      </c>
      <c r="K36">
        <f>J36/(airplane!$B$32*airplane!$B$10*airplane!$B$9*airplane!$B$12*SQRT(airplane!$B$31))</f>
        <v>3.6937925743767086</v>
      </c>
      <c r="M36">
        <f t="shared" si="0"/>
        <v>55.143000000000001</v>
      </c>
      <c r="N36">
        <f t="shared" si="1"/>
        <v>16.429989370827602</v>
      </c>
    </row>
    <row r="37" spans="9:14" x14ac:dyDescent="0.2">
      <c r="I37">
        <f t="shared" si="2"/>
        <v>170</v>
      </c>
      <c r="J37">
        <f>SQRT(2*I37/airplane!$B$31/airplane!$B$33)</f>
        <v>17.810895534412044</v>
      </c>
      <c r="K37">
        <f>J37/(airplane!$B$32*airplane!$B$10*airplane!$B$9*airplane!$B$12*SQRT(airplane!$B$31))</f>
        <v>3.7493414444191822</v>
      </c>
      <c r="M37">
        <f>I37*0.3342</f>
        <v>56.814</v>
      </c>
      <c r="N37">
        <f>K37*4.448</f>
        <v>16.677070744776525</v>
      </c>
    </row>
    <row r="38" spans="9:14" x14ac:dyDescent="0.2">
      <c r="I38">
        <f t="shared" si="2"/>
        <v>175</v>
      </c>
      <c r="J38">
        <f>SQRT(2*I38/airplane!$B$31/airplane!$B$33)</f>
        <v>18.070922362296368</v>
      </c>
      <c r="K38">
        <f>J38/(airplane!$B$32*airplane!$B$10*airplane!$B$9*airplane!$B$12*SQRT(airplane!$B$31))</f>
        <v>3.804079251429723</v>
      </c>
      <c r="M38">
        <f t="shared" ref="M38:M101" si="3">I38*0.3342</f>
        <v>58.484999999999999</v>
      </c>
      <c r="N38">
        <f t="shared" ref="N38:N101" si="4">K38*4.448</f>
        <v>16.920544510359409</v>
      </c>
    </row>
    <row r="39" spans="9:14" x14ac:dyDescent="0.2">
      <c r="I39">
        <f t="shared" si="2"/>
        <v>180</v>
      </c>
      <c r="J39">
        <f>SQRT(2*I39/airplane!$B$31/airplane!$B$33)</f>
        <v>18.327260305636166</v>
      </c>
      <c r="K39">
        <f>J39/(airplane!$B$32*airplane!$B$10*airplane!$B$9*airplane!$B$12*SQRT(airplane!$B$31))</f>
        <v>3.8580405176043611</v>
      </c>
      <c r="M39">
        <f t="shared" si="3"/>
        <v>60.155999999999999</v>
      </c>
      <c r="N39">
        <f t="shared" si="4"/>
        <v>17.160564222304199</v>
      </c>
    </row>
    <row r="40" spans="9:14" x14ac:dyDescent="0.2">
      <c r="I40">
        <f t="shared" si="2"/>
        <v>185</v>
      </c>
      <c r="J40">
        <f>SQRT(2*I40/airplane!$B$31/airplane!$B$33)</f>
        <v>18.58006204502426</v>
      </c>
      <c r="K40">
        <f>J40/(airplane!$B$32*airplane!$B$10*airplane!$B$9*airplane!$B$12*SQRT(airplane!$B$31))</f>
        <v>3.9112573834760256</v>
      </c>
      <c r="M40">
        <f t="shared" si="3"/>
        <v>61.826999999999998</v>
      </c>
      <c r="N40">
        <f t="shared" si="4"/>
        <v>17.397272841701362</v>
      </c>
    </row>
    <row r="41" spans="9:14" x14ac:dyDescent="0.2">
      <c r="I41">
        <f t="shared" si="2"/>
        <v>190</v>
      </c>
      <c r="J41">
        <f>SQRT(2*I41/airplane!$B$31/airplane!$B$33)</f>
        <v>18.829470010686844</v>
      </c>
      <c r="K41">
        <f>J41/(airplane!$B$32*airplane!$B$10*airplane!$B$9*airplane!$B$12*SQRT(airplane!$B$31))</f>
        <v>3.9637598317903335</v>
      </c>
      <c r="M41">
        <f t="shared" si="3"/>
        <v>63.497999999999998</v>
      </c>
      <c r="N41">
        <f t="shared" si="4"/>
        <v>17.630803731803404</v>
      </c>
    </row>
    <row r="42" spans="9:14" x14ac:dyDescent="0.2">
      <c r="I42">
        <f t="shared" si="2"/>
        <v>195</v>
      </c>
      <c r="J42">
        <f>SQRT(2*I42/airplane!$B$31/airplane!$B$33)</f>
        <v>19.075617320804046</v>
      </c>
      <c r="K42">
        <f>J42/(airplane!$B$32*airplane!$B$10*airplane!$B$9*airplane!$B$12*SQRT(airplane!$B$31))</f>
        <v>4.0155758850298593</v>
      </c>
      <c r="M42">
        <f t="shared" si="3"/>
        <v>65.168999999999997</v>
      </c>
      <c r="N42">
        <f t="shared" si="4"/>
        <v>17.861281536612815</v>
      </c>
    </row>
    <row r="43" spans="9:14" x14ac:dyDescent="0.2">
      <c r="I43">
        <f t="shared" si="2"/>
        <v>200</v>
      </c>
      <c r="J43">
        <f>SQRT(2*I43/airplane!$B$31/airplane!$B$33)</f>
        <v>19.318628612201316</v>
      </c>
      <c r="K43">
        <f>J43/(airplane!$B$32*airplane!$B$10*airplane!$B$9*airplane!$B$12*SQRT(airplane!$B$31))</f>
        <v>4.0667317802815734</v>
      </c>
      <c r="M43">
        <f t="shared" si="3"/>
        <v>66.84</v>
      </c>
      <c r="N43">
        <f t="shared" si="4"/>
        <v>18.08882295869244</v>
      </c>
    </row>
    <row r="44" spans="9:14" x14ac:dyDescent="0.2">
      <c r="I44">
        <f t="shared" si="2"/>
        <v>205</v>
      </c>
      <c r="J44">
        <f>SQRT(2*I44/airplane!$B$31/airplane!$B$33)</f>
        <v>19.558620778126649</v>
      </c>
      <c r="K44">
        <f>J44/(airplane!$B$32*airplane!$B$10*airplane!$B$9*airplane!$B$12*SQRT(airplane!$B$31))</f>
        <v>4.1172521245450762</v>
      </c>
      <c r="M44">
        <f t="shared" si="3"/>
        <v>68.510999999999996</v>
      </c>
      <c r="N44">
        <f t="shared" si="4"/>
        <v>18.313537449976501</v>
      </c>
    </row>
    <row r="45" spans="9:14" x14ac:dyDescent="0.2">
      <c r="I45">
        <f t="shared" si="2"/>
        <v>210</v>
      </c>
      <c r="J45">
        <f>SQRT(2*I45/airplane!$B$31/airplane!$B$33)</f>
        <v>19.79570362550853</v>
      </c>
      <c r="K45">
        <f>J45/(airplane!$B$32*airplane!$B$10*airplane!$B$9*airplane!$B$12*SQRT(airplane!$B$31))</f>
        <v>4.1671600330908518</v>
      </c>
      <c r="M45">
        <f t="shared" si="3"/>
        <v>70.182000000000002</v>
      </c>
      <c r="N45">
        <f t="shared" si="4"/>
        <v>18.535527827188112</v>
      </c>
    </row>
    <row r="46" spans="9:14" x14ac:dyDescent="0.2">
      <c r="I46">
        <f t="shared" si="2"/>
        <v>215</v>
      </c>
      <c r="J46">
        <f>SQRT(2*I46/airplane!$B$31/airplane!$B$33)</f>
        <v>20.029980462181577</v>
      </c>
      <c r="K46">
        <f>J46/(airplane!$B$32*airplane!$B$10*airplane!$B$9*airplane!$B$12*SQRT(airplane!$B$31))</f>
        <v>4.2164772530761452</v>
      </c>
      <c r="M46">
        <f t="shared" si="3"/>
        <v>71.852999999999994</v>
      </c>
      <c r="N46">
        <f t="shared" si="4"/>
        <v>18.754890821682697</v>
      </c>
    </row>
    <row r="47" spans="9:14" x14ac:dyDescent="0.2">
      <c r="I47">
        <f t="shared" si="2"/>
        <v>220</v>
      </c>
      <c r="J47">
        <f>SQRT(2*I47/airplane!$B$31/airplane!$B$33)</f>
        <v>20.261548622989796</v>
      </c>
      <c r="K47">
        <f>J47/(airplane!$B$32*airplane!$B$10*airplane!$B$9*airplane!$B$12*SQRT(airplane!$B$31))</f>
        <v>4.2652242742940674</v>
      </c>
      <c r="M47">
        <f t="shared" si="3"/>
        <v>73.524000000000001</v>
      </c>
      <c r="N47">
        <f t="shared" si="4"/>
        <v>18.971717572060012</v>
      </c>
    </row>
    <row r="48" spans="9:14" x14ac:dyDescent="0.2">
      <c r="I48">
        <f t="shared" si="2"/>
        <v>225</v>
      </c>
      <c r="J48">
        <f>SQRT(2*I48/airplane!$B$31/airplane!$B$33)</f>
        <v>20.490499942368018</v>
      </c>
      <c r="K48">
        <f>J48/(airplane!$B$32*airplane!$B$10*airplane!$B$9*airplane!$B$12*SQRT(airplane!$B$31))</f>
        <v>4.3134204286559124</v>
      </c>
      <c r="M48">
        <f t="shared" si="3"/>
        <v>75.194999999999993</v>
      </c>
      <c r="N48">
        <f t="shared" si="4"/>
        <v>19.1860940666615</v>
      </c>
    </row>
    <row r="49" spans="9:14" x14ac:dyDescent="0.2">
      <c r="I49">
        <f t="shared" si="2"/>
        <v>230</v>
      </c>
      <c r="J49">
        <f>SQRT(2*I49/airplane!$B$31/airplane!$B$33)</f>
        <v>20.716921179909619</v>
      </c>
      <c r="K49">
        <f>J49/(airplane!$B$32*airplane!$B$10*airplane!$B$9*airplane!$B$12*SQRT(airplane!$B$31))</f>
        <v>4.3610839797766969</v>
      </c>
      <c r="M49">
        <f t="shared" si="3"/>
        <v>76.866</v>
      </c>
      <c r="N49">
        <f t="shared" si="4"/>
        <v>19.398101542046749</v>
      </c>
    </row>
    <row r="50" spans="9:14" x14ac:dyDescent="0.2">
      <c r="I50">
        <f t="shared" si="2"/>
        <v>235</v>
      </c>
      <c r="J50">
        <f>SQRT(2*I50/airplane!$B$31/airplane!$B$33)</f>
        <v>20.940894404513671</v>
      </c>
      <c r="K50">
        <f>J50/(airplane!$B$32*airplane!$B$10*airplane!$B$9*airplane!$B$12*SQRT(airplane!$B$31))</f>
        <v>4.4082322038413269</v>
      </c>
      <c r="M50">
        <f t="shared" si="3"/>
        <v>78.537000000000006</v>
      </c>
      <c r="N50">
        <f t="shared" si="4"/>
        <v>19.607816842686223</v>
      </c>
    </row>
    <row r="51" spans="9:14" x14ac:dyDescent="0.2">
      <c r="I51">
        <f t="shared" si="2"/>
        <v>240</v>
      </c>
      <c r="J51">
        <f>SQRT(2*I51/airplane!$B$31/airplane!$B$33)</f>
        <v>21.162497341934767</v>
      </c>
      <c r="K51">
        <f>J51/(airplane!$B$32*airplane!$B$10*airplane!$B$9*airplane!$B$12*SQRT(airplane!$B$31))</f>
        <v>4.4548814627667221</v>
      </c>
      <c r="M51">
        <f t="shared" si="3"/>
        <v>80.207999999999998</v>
      </c>
      <c r="N51">
        <f t="shared" si="4"/>
        <v>19.815312746386383</v>
      </c>
    </row>
    <row r="52" spans="9:14" x14ac:dyDescent="0.2">
      <c r="I52">
        <f t="shared" si="2"/>
        <v>245</v>
      </c>
      <c r="J52">
        <f>SQRT(2*I52/airplane!$B$31/airplane!$B$33)</f>
        <v>21.38180368990886</v>
      </c>
      <c r="K52">
        <f>J52/(airplane!$B$32*airplane!$B$10*airplane!$B$9*airplane!$B$12*SQRT(airplane!$B$31))</f>
        <v>4.5010472705384208</v>
      </c>
      <c r="M52">
        <f t="shared" si="3"/>
        <v>81.879000000000005</v>
      </c>
      <c r="N52">
        <f t="shared" si="4"/>
        <v>20.020658259354896</v>
      </c>
    </row>
    <row r="53" spans="9:14" x14ac:dyDescent="0.2">
      <c r="I53">
        <f>I52+5</f>
        <v>250</v>
      </c>
      <c r="J53">
        <f>SQRT(2*I53/airplane!$B$31/airplane!$B$33)</f>
        <v>21.598883404477284</v>
      </c>
      <c r="K53">
        <f>J53/(airplane!$B$32*airplane!$B$10*airplane!$B$9*airplane!$B$12*SQRT(airplane!$B$31))</f>
        <v>4.5467443534841694</v>
      </c>
      <c r="M53">
        <f t="shared" si="3"/>
        <v>83.55</v>
      </c>
      <c r="N53">
        <f t="shared" si="4"/>
        <v>20.223918884297586</v>
      </c>
    </row>
    <row r="54" spans="9:14" x14ac:dyDescent="0.2">
      <c r="I54">
        <f t="shared" si="2"/>
        <v>255</v>
      </c>
      <c r="J54">
        <f>SQRT(2*I54/airplane!$B$31/airplane!$B$33)</f>
        <v>21.813802960662503</v>
      </c>
      <c r="K54">
        <f>J54/(airplane!$B$32*airplane!$B$10*airplane!$B$9*airplane!$B$12*SQRT(airplane!$B$31))</f>
        <v>4.591986705148325</v>
      </c>
      <c r="M54">
        <f t="shared" si="3"/>
        <v>85.221000000000004</v>
      </c>
      <c r="N54">
        <f t="shared" si="4"/>
        <v>20.425156864499751</v>
      </c>
    </row>
    <row r="55" spans="9:14" x14ac:dyDescent="0.2">
      <c r="I55">
        <f t="shared" si="2"/>
        <v>260</v>
      </c>
      <c r="J55">
        <f>SQRT(2*I55/airplane!$B$31/airplane!$B$33)</f>
        <v>22.026625590249004</v>
      </c>
      <c r="K55">
        <f>J55/(airplane!$B$32*airplane!$B$10*airplane!$B$9*airplane!$B$12*SQRT(airplane!$B$31))</f>
        <v>4.6367876363467175</v>
      </c>
      <c r="M55">
        <f t="shared" si="3"/>
        <v>86.891999999999996</v>
      </c>
      <c r="N55">
        <f t="shared" si="4"/>
        <v>20.624431406470201</v>
      </c>
    </row>
    <row r="56" spans="9:14" x14ac:dyDescent="0.2">
      <c r="I56">
        <f t="shared" si="2"/>
        <v>265</v>
      </c>
      <c r="J56">
        <f>SQRT(2*I56/airplane!$B$31/airplane!$B$33)</f>
        <v>22.237411499080022</v>
      </c>
      <c r="K56">
        <f>J56/(airplane!$B$32*airplane!$B$10*airplane!$B$9*airplane!$B$12*SQRT(airplane!$B$31))</f>
        <v>4.6811598209094054</v>
      </c>
      <c r="M56">
        <f t="shared" si="3"/>
        <v>88.563000000000002</v>
      </c>
      <c r="N56">
        <f t="shared" si="4"/>
        <v>20.821798883405037</v>
      </c>
    </row>
    <row r="57" spans="9:14" x14ac:dyDescent="0.2">
      <c r="I57">
        <f t="shared" si="2"/>
        <v>270</v>
      </c>
      <c r="J57">
        <f>SQRT(2*I57/airplane!$B$31/airplane!$B$33)</f>
        <v>22.446218065986539</v>
      </c>
      <c r="K57">
        <f>J57/(airplane!$B$32*airplane!$B$10*airplane!$B$9*airplane!$B$12*SQRT(airplane!$B$31))</f>
        <v>4.7251153375568924</v>
      </c>
      <c r="M57">
        <f t="shared" si="3"/>
        <v>90.233999999999995</v>
      </c>
      <c r="N57">
        <f t="shared" si="4"/>
        <v>21.017313021453059</v>
      </c>
    </row>
    <row r="58" spans="9:14" x14ac:dyDescent="0.2">
      <c r="I58">
        <f t="shared" si="2"/>
        <v>275</v>
      </c>
      <c r="J58">
        <f>SQRT(2*I58/airplane!$B$31/airplane!$B$33)</f>
        <v>22.65310002521122</v>
      </c>
      <c r="K58">
        <f>J58/(airplane!$B$32*airplane!$B$10*airplane!$B$9*airplane!$B$12*SQRT(airplane!$B$31))</f>
        <v>4.7686657083018709</v>
      </c>
      <c r="M58">
        <f t="shared" si="3"/>
        <v>91.905000000000001</v>
      </c>
      <c r="N58">
        <f t="shared" si="4"/>
        <v>21.211025070526723</v>
      </c>
    </row>
    <row r="59" spans="9:14" x14ac:dyDescent="0.2">
      <c r="I59">
        <f t="shared" si="2"/>
        <v>280</v>
      </c>
      <c r="J59">
        <f>SQRT(2*I59/airplane!$B$31/airplane!$B$33)</f>
        <v>22.858109633970798</v>
      </c>
      <c r="K59">
        <f>J59/(airplane!$B$32*airplane!$B$10*airplane!$B$9*airplane!$B$12*SQRT(airplane!$B$31))</f>
        <v>4.8118219337225048</v>
      </c>
      <c r="M59">
        <f t="shared" si="3"/>
        <v>93.575999999999993</v>
      </c>
      <c r="N59">
        <f t="shared" si="4"/>
        <v>21.402983961197702</v>
      </c>
    </row>
    <row r="60" spans="9:14" x14ac:dyDescent="0.2">
      <c r="I60">
        <f t="shared" si="2"/>
        <v>285</v>
      </c>
      <c r="J60">
        <f>SQRT(2*I60/airplane!$B$31/airplane!$B$33)</f>
        <v>23.061296826610441</v>
      </c>
      <c r="K60">
        <f>J60/(airplane!$B$32*airplane!$B$10*airplane!$B$9*airplane!$B$12*SQRT(airplane!$B$31))</f>
        <v>4.8545945254131988</v>
      </c>
      <c r="M60">
        <f t="shared" si="3"/>
        <v>95.247</v>
      </c>
      <c r="N60">
        <f t="shared" si="4"/>
        <v>21.59323644903791</v>
      </c>
    </row>
    <row r="61" spans="9:14" x14ac:dyDescent="0.2">
      <c r="I61">
        <f t="shared" si="2"/>
        <v>290</v>
      </c>
      <c r="J61">
        <f>SQRT(2*I61/airplane!$B$31/airplane!$B$33)</f>
        <v>23.262709356638506</v>
      </c>
      <c r="K61">
        <f>J61/(airplane!$B$32*airplane!$B$10*airplane!$B$9*airplane!$B$12*SQRT(airplane!$B$31))</f>
        <v>4.8969935358840928</v>
      </c>
      <c r="M61">
        <f t="shared" si="3"/>
        <v>96.917999999999992</v>
      </c>
      <c r="N61">
        <f t="shared" si="4"/>
        <v>21.781827247612448</v>
      </c>
    </row>
    <row r="62" spans="9:14" x14ac:dyDescent="0.2">
      <c r="I62">
        <f t="shared" si="2"/>
        <v>295</v>
      </c>
      <c r="J62">
        <f>SQRT(2*I62/airplane!$B$31/airplane!$B$33)</f>
        <v>23.462392927786393</v>
      </c>
      <c r="K62">
        <f>J62/(airplane!$B$32*airplane!$B$10*airplane!$B$9*airplane!$B$12*SQRT(airplane!$B$31))</f>
        <v>4.9390285861502567</v>
      </c>
      <c r="M62">
        <f t="shared" si="3"/>
        <v>98.588999999999999</v>
      </c>
      <c r="N62">
        <f t="shared" si="4"/>
        <v>21.968799151196343</v>
      </c>
    </row>
    <row r="63" spans="9:14" x14ac:dyDescent="0.2">
      <c r="I63">
        <f t="shared" si="2"/>
        <v>300</v>
      </c>
      <c r="J63">
        <f>SQRT(2*I63/airplane!$B$31/airplane!$B$33)</f>
        <v>23.660391315112374</v>
      </c>
      <c r="K63">
        <f>J63/(airplane!$B$32*airplane!$B$10*airplane!$B$9*airplane!$B$12*SQRT(airplane!$B$31))</f>
        <v>4.9807088912250439</v>
      </c>
      <c r="M63">
        <f t="shared" si="3"/>
        <v>100.26</v>
      </c>
      <c r="N63">
        <f t="shared" si="4"/>
        <v>22.154193148168996</v>
      </c>
    </row>
    <row r="64" spans="9:14" x14ac:dyDescent="0.2">
      <c r="I64">
        <f t="shared" si="2"/>
        <v>305</v>
      </c>
      <c r="J64">
        <f>SQRT(2*I64/airplane!$B$31/airplane!$B$33)</f>
        <v>23.856746477058625</v>
      </c>
      <c r="K64">
        <f>J64/(airplane!$B$32*airplane!$B$10*airplane!$B$9*airplane!$B$12*SQRT(airplane!$B$31))</f>
        <v>5.0220432837090332</v>
      </c>
      <c r="M64">
        <f t="shared" si="3"/>
        <v>101.931</v>
      </c>
      <c r="N64">
        <f t="shared" si="4"/>
        <v>22.338048525937783</v>
      </c>
    </row>
    <row r="65" spans="9:14" x14ac:dyDescent="0.2">
      <c r="I65">
        <f t="shared" si="2"/>
        <v>310</v>
      </c>
      <c r="J65">
        <f>SQRT(2*I65/airplane!$B$31/airplane!$B$33)</f>
        <v>24.051498659273879</v>
      </c>
      <c r="K65">
        <f>J65/(airplane!$B$32*airplane!$B$10*airplane!$B$9*airplane!$B$12*SQRT(airplane!$B$31))</f>
        <v>5.0630402356455564</v>
      </c>
      <c r="M65">
        <f t="shared" si="3"/>
        <v>103.602</v>
      </c>
      <c r="N65">
        <f t="shared" si="4"/>
        <v>22.520402968151437</v>
      </c>
    </row>
    <row r="66" spans="9:14" x14ac:dyDescent="0.2">
      <c r="I66">
        <f t="shared" si="2"/>
        <v>315</v>
      </c>
      <c r="J66">
        <f>SQRT(2*I66/airplane!$B$31/airplane!$B$33)</f>
        <v>24.244686490929457</v>
      </c>
      <c r="K66">
        <f>J66/(airplane!$B$32*airplane!$B$10*airplane!$B$9*airplane!$B$12*SQRT(airplane!$B$31))</f>
        <v>5.1037078787960244</v>
      </c>
      <c r="M66">
        <f t="shared" si="3"/>
        <v>105.273</v>
      </c>
      <c r="N66">
        <f t="shared" si="4"/>
        <v>22.701292644884717</v>
      </c>
    </row>
    <row r="67" spans="9:14" x14ac:dyDescent="0.2">
      <c r="I67">
        <f t="shared" si="2"/>
        <v>320</v>
      </c>
      <c r="J67">
        <f>SQRT(2*I67/airplane!$B$31/airplane!$B$33)</f>
        <v>24.436347074181551</v>
      </c>
      <c r="K67">
        <f>J67/(airplane!$B$32*airplane!$B$10*airplane!$B$9*airplane!$B$12*SQRT(airplane!$B$31))</f>
        <v>5.1440540234724805</v>
      </c>
      <c r="M67">
        <f t="shared" si="3"/>
        <v>106.944</v>
      </c>
      <c r="N67">
        <f t="shared" si="4"/>
        <v>22.880752296405596</v>
      </c>
    </row>
    <row r="68" spans="9:14" x14ac:dyDescent="0.2">
      <c r="I68">
        <f t="shared" si="2"/>
        <v>325</v>
      </c>
      <c r="J68">
        <f>SQRT(2*I68/airplane!$B$31/airplane!$B$33)</f>
        <v>24.626516067366602</v>
      </c>
      <c r="K68">
        <f>J68/(airplane!$B$32*airplane!$B$10*airplane!$B$9*airplane!$B$12*SQRT(airplane!$B$31))</f>
        <v>5.1840861760509176</v>
      </c>
      <c r="M68">
        <f t="shared" si="3"/>
        <v>108.61499999999999</v>
      </c>
      <c r="N68">
        <f t="shared" si="4"/>
        <v>23.058815311074483</v>
      </c>
    </row>
    <row r="69" spans="9:14" x14ac:dyDescent="0.2">
      <c r="I69">
        <f t="shared" ref="I69:I132" si="5">I68+5</f>
        <v>330</v>
      </c>
      <c r="J69">
        <f>SQRT(2*I69/airplane!$B$31/airplane!$B$33)</f>
        <v>24.815227762458065</v>
      </c>
      <c r="K69">
        <f>J69/(airplane!$B$32*airplane!$B$10*airplane!$B$9*airplane!$B$12*SQRT(airplane!$B$31))</f>
        <v>5.2238115552765709</v>
      </c>
      <c r="M69">
        <f t="shared" si="3"/>
        <v>110.286</v>
      </c>
      <c r="N69">
        <f t="shared" si="4"/>
        <v>23.23551379787019</v>
      </c>
    </row>
    <row r="70" spans="9:14" x14ac:dyDescent="0.2">
      <c r="I70">
        <f t="shared" si="5"/>
        <v>335</v>
      </c>
      <c r="J70">
        <f>SQRT(2*I70/airplane!$B$31/airplane!$B$33)</f>
        <v>25.002515157261151</v>
      </c>
      <c r="K70">
        <f>J70/(airplane!$B$32*airplane!$B$10*airplane!$B$9*airplane!$B$12*SQRT(airplane!$B$31))</f>
        <v>5.2632371074615127</v>
      </c>
      <c r="M70">
        <f t="shared" si="3"/>
        <v>111.95699999999999</v>
      </c>
      <c r="N70">
        <f t="shared" si="4"/>
        <v>23.41087865398881</v>
      </c>
    </row>
    <row r="71" spans="9:14" x14ac:dyDescent="0.2">
      <c r="I71">
        <f t="shared" si="5"/>
        <v>340</v>
      </c>
      <c r="J71">
        <f>SQRT(2*I71/airplane!$B$31/airplane!$B$33)</f>
        <v>25.188410022775905</v>
      </c>
      <c r="K71">
        <f>J71/(airplane!$B$32*airplane!$B$10*airplane!$B$9*airplane!$B$12*SQRT(airplane!$B$31))</f>
        <v>5.3023695206651364</v>
      </c>
      <c r="M71">
        <f t="shared" si="3"/>
        <v>113.628</v>
      </c>
      <c r="N71">
        <f t="shared" si="4"/>
        <v>23.58493962791853</v>
      </c>
    </row>
    <row r="72" spans="9:14" x14ac:dyDescent="0.2">
      <c r="I72">
        <f t="shared" si="5"/>
        <v>345</v>
      </c>
      <c r="J72">
        <f>SQRT(2*I72/airplane!$B$31/airplane!$B$33)</f>
        <v>25.372942966118096</v>
      </c>
      <c r="K72">
        <f>J72/(airplane!$B$32*airplane!$B$10*airplane!$B$9*airplane!$B$12*SQRT(airplane!$B$31))</f>
        <v>5.3412152379395303</v>
      </c>
      <c r="M72">
        <f t="shared" si="3"/>
        <v>115.29899999999999</v>
      </c>
      <c r="N72">
        <f t="shared" si="4"/>
        <v>23.757725378355033</v>
      </c>
    </row>
    <row r="73" spans="9:14" x14ac:dyDescent="0.2">
      <c r="I73">
        <f t="shared" si="5"/>
        <v>350</v>
      </c>
      <c r="J73">
        <f>SQRT(2*I73/airplane!$B$31/airplane!$B$33)</f>
        <v>25.556143489350774</v>
      </c>
      <c r="K73">
        <f>J73/(airplane!$B$32*airplane!$B$10*airplane!$B$9*airplane!$B$12*SQRT(airplane!$B$31))</f>
        <v>5.3797804697140057</v>
      </c>
      <c r="M73">
        <f t="shared" si="3"/>
        <v>116.97</v>
      </c>
      <c r="N73">
        <f t="shared" si="4"/>
        <v>23.929263529287901</v>
      </c>
    </row>
    <row r="74" spans="9:14" x14ac:dyDescent="0.2">
      <c r="I74">
        <f t="shared" si="5"/>
        <v>355</v>
      </c>
      <c r="J74">
        <f>SQRT(2*I74/airplane!$B$31/airplane!$B$33)</f>
        <v>25.738040044546707</v>
      </c>
      <c r="K74">
        <f>J74/(airplane!$B$32*airplane!$B$10*airplane!$B$9*airplane!$B$12*SQRT(airplane!$B$31))</f>
        <v>5.4180712053861972</v>
      </c>
      <c r="M74">
        <f t="shared" si="3"/>
        <v>118.64100000000001</v>
      </c>
      <c r="N74">
        <f t="shared" si="4"/>
        <v>24.099580721557807</v>
      </c>
    </row>
    <row r="75" spans="9:14" x14ac:dyDescent="0.2">
      <c r="I75">
        <f t="shared" si="5"/>
        <v>360</v>
      </c>
      <c r="J75">
        <f>SQRT(2*I75/airplane!$B$31/airplane!$B$33)</f>
        <v>25.918660085372739</v>
      </c>
      <c r="K75">
        <f>J75/(airplane!$B$32*airplane!$B$10*airplane!$B$9*airplane!$B$12*SQRT(airplane!$B$31))</f>
        <v>5.4560932241810027</v>
      </c>
      <c r="M75">
        <f t="shared" si="3"/>
        <v>120.312</v>
      </c>
      <c r="N75">
        <f t="shared" si="4"/>
        <v>24.268702661157104</v>
      </c>
    </row>
    <row r="76" spans="9:14" x14ac:dyDescent="0.2">
      <c r="I76">
        <f t="shared" si="5"/>
        <v>365</v>
      </c>
      <c r="J76">
        <f>SQRT(2*I76/airplane!$B$31/airplane!$B$33)</f>
        <v>26.098030115460787</v>
      </c>
      <c r="K76">
        <f>J76/(airplane!$B$32*airplane!$B$10*airplane!$B$9*airplane!$B$12*SQRT(airplane!$B$31))</f>
        <v>5.4938521053330742</v>
      </c>
      <c r="M76">
        <f t="shared" si="3"/>
        <v>121.983</v>
      </c>
      <c r="N76">
        <f t="shared" si="4"/>
        <v>24.436654164521517</v>
      </c>
    </row>
    <row r="77" spans="9:14" x14ac:dyDescent="0.2">
      <c r="I77">
        <f t="shared" si="5"/>
        <v>370</v>
      </c>
      <c r="J77">
        <f>SQRT(2*I77/airplane!$B$31/airplane!$B$33)</f>
        <v>26.276175733806895</v>
      </c>
      <c r="K77">
        <f>J77/(airplane!$B$32*airplane!$B$10*airplane!$B$9*airplane!$B$12*SQRT(airplane!$B$31))</f>
        <v>5.5313532376437013</v>
      </c>
      <c r="M77">
        <f t="shared" si="3"/>
        <v>123.654</v>
      </c>
      <c r="N77">
        <f t="shared" si="4"/>
        <v>24.603459201039186</v>
      </c>
    </row>
    <row r="78" spans="9:14" x14ac:dyDescent="0.2">
      <c r="I78">
        <f t="shared" si="5"/>
        <v>375</v>
      </c>
      <c r="J78">
        <f>SQRT(2*I78/airplane!$B$31/airplane!$B$33)</f>
        <v>26.453121677418459</v>
      </c>
      <c r="K78">
        <f>J78/(airplane!$B$32*airplane!$B$10*airplane!$B$9*airplane!$B$12*SQRT(airplane!$B$31))</f>
        <v>5.5686018284584025</v>
      </c>
      <c r="M78">
        <f t="shared" si="3"/>
        <v>125.325</v>
      </c>
      <c r="N78">
        <f t="shared" si="4"/>
        <v>24.769140932982975</v>
      </c>
    </row>
    <row r="79" spans="9:14" x14ac:dyDescent="0.2">
      <c r="I79">
        <f t="shared" si="5"/>
        <v>380</v>
      </c>
      <c r="J79">
        <f>SQRT(2*I79/airplane!$B$31/airplane!$B$33)</f>
        <v>26.6288918614108</v>
      </c>
      <c r="K79">
        <f>J79/(airplane!$B$32*airplane!$B$10*airplane!$B$9*airplane!$B$12*SQRT(airplane!$B$31))</f>
        <v>5.605602912107587</v>
      </c>
      <c r="M79">
        <f t="shared" si="3"/>
        <v>126.996</v>
      </c>
      <c r="N79">
        <f t="shared" si="4"/>
        <v>24.933721753054549</v>
      </c>
    </row>
    <row r="80" spans="9:14" x14ac:dyDescent="0.2">
      <c r="I80">
        <f t="shared" si="5"/>
        <v>385</v>
      </c>
      <c r="J80">
        <f>SQRT(2*I80/airplane!$B$31/airplane!$B$33)</f>
        <v>26.803509416737104</v>
      </c>
      <c r="K80">
        <f>J80/(airplane!$B$32*airplane!$B$10*airplane!$B$9*airplane!$B$12*SQRT(airplane!$B$31))</f>
        <v>5.6423613578490226</v>
      </c>
      <c r="M80">
        <f t="shared" si="3"/>
        <v>128.667</v>
      </c>
      <c r="N80">
        <f t="shared" si="4"/>
        <v>25.097223319712455</v>
      </c>
    </row>
    <row r="81" spans="9:14" x14ac:dyDescent="0.2">
      <c r="I81">
        <f t="shared" si="5"/>
        <v>390</v>
      </c>
      <c r="J81">
        <f>SQRT(2*I81/airplane!$B$31/airplane!$B$33)</f>
        <v>26.976996725720202</v>
      </c>
      <c r="K81">
        <f>J81/(airplane!$B$32*airplane!$B$10*airplane!$B$9*airplane!$B$12*SQRT(airplane!$B$31))</f>
        <v>5.6788818773475702</v>
      </c>
      <c r="M81">
        <f t="shared" si="3"/>
        <v>130.33799999999999</v>
      </c>
      <c r="N81">
        <f t="shared" si="4"/>
        <v>25.259666590441995</v>
      </c>
    </row>
    <row r="82" spans="9:14" x14ac:dyDescent="0.2">
      <c r="I82">
        <f t="shared" si="5"/>
        <v>395</v>
      </c>
      <c r="J82">
        <f>SQRT(2*I82/airplane!$B$31/airplane!$B$33)</f>
        <v>27.149375455540827</v>
      </c>
      <c r="K82">
        <f>J82/(airplane!$B$32*airplane!$B$10*airplane!$B$9*airplane!$B$12*SQRT(airplane!$B$31))</f>
        <v>5.7151690317247379</v>
      </c>
      <c r="M82">
        <f t="shared" si="3"/>
        <v>132.00899999999999</v>
      </c>
      <c r="N82">
        <f t="shared" si="4"/>
        <v>25.421071853111638</v>
      </c>
    </row>
    <row r="83" spans="9:14" x14ac:dyDescent="0.2">
      <c r="I83">
        <f t="shared" si="5"/>
        <v>400</v>
      </c>
      <c r="J83">
        <f>SQRT(2*I83/airplane!$B$31/airplane!$B$33)</f>
        <v>27.320666589824025</v>
      </c>
      <c r="K83">
        <f>J83/(airplane!$B$32*airplane!$B$10*airplane!$B$9*airplane!$B$12*SQRT(airplane!$B$31))</f>
        <v>5.7512272382078828</v>
      </c>
      <c r="M83">
        <f t="shared" si="3"/>
        <v>133.68</v>
      </c>
      <c r="N83">
        <f t="shared" si="4"/>
        <v>25.581458755548667</v>
      </c>
    </row>
    <row r="84" spans="9:14" x14ac:dyDescent="0.2">
      <c r="I84">
        <f t="shared" si="5"/>
        <v>405</v>
      </c>
      <c r="J84">
        <f>SQRT(2*I84/airplane!$B$31/airplane!$B$33)</f>
        <v>27.490890458454246</v>
      </c>
      <c r="K84">
        <f>J84/(airplane!$B$32*airplane!$B$10*airplane!$B$9*airplane!$B$12*SQRT(airplane!$B$31))</f>
        <v>5.7870607764065403</v>
      </c>
      <c r="M84">
        <f t="shared" si="3"/>
        <v>135.351</v>
      </c>
      <c r="N84">
        <f t="shared" si="4"/>
        <v>25.740846333456293</v>
      </c>
    </row>
    <row r="85" spans="9:14" x14ac:dyDescent="0.2">
      <c r="I85">
        <f t="shared" si="5"/>
        <v>410</v>
      </c>
      <c r="J85">
        <f>SQRT(2*I85/airplane!$B$31/airplane!$B$33)</f>
        <v>27.660066765738925</v>
      </c>
      <c r="K85">
        <f>J85/(airplane!$B$32*airplane!$B$10*airplane!$B$9*airplane!$B$12*SQRT(airplane!$B$31))</f>
        <v>5.8226737942410862</v>
      </c>
      <c r="M85">
        <f t="shared" si="3"/>
        <v>137.02199999999999</v>
      </c>
      <c r="N85">
        <f t="shared" si="4"/>
        <v>25.899253036784355</v>
      </c>
    </row>
    <row r="86" spans="9:14" x14ac:dyDescent="0.2">
      <c r="I86">
        <f t="shared" si="5"/>
        <v>415</v>
      </c>
      <c r="J86">
        <f>SQRT(2*I86/airplane!$B$31/airplane!$B$33)</f>
        <v>27.828214617031019</v>
      </c>
      <c r="K86">
        <f>J86/(airplane!$B$32*airplane!$B$10*airplane!$B$9*airplane!$B$12*SQRT(airplane!$B$31))</f>
        <v>5.8580703135470031</v>
      </c>
      <c r="M86">
        <f t="shared" si="3"/>
        <v>138.69300000000001</v>
      </c>
      <c r="N86">
        <f t="shared" si="4"/>
        <v>26.056696754657072</v>
      </c>
    </row>
    <row r="87" spans="9:14" x14ac:dyDescent="0.2">
      <c r="I87">
        <f t="shared" si="5"/>
        <v>420</v>
      </c>
      <c r="J87">
        <f>SQRT(2*I87/airplane!$B$31/airplane!$B$33)</f>
        <v>27.995352543912411</v>
      </c>
      <c r="K87">
        <f>J87/(airplane!$B$32*airplane!$B$10*airplane!$B$9*airplane!$B$12*SQRT(airplane!$B$31))</f>
        <v>5.8932542353761974</v>
      </c>
      <c r="M87">
        <f t="shared" si="3"/>
        <v>140.364</v>
      </c>
      <c r="N87">
        <f t="shared" si="4"/>
        <v>26.213194838953328</v>
      </c>
    </row>
    <row r="88" spans="9:14" x14ac:dyDescent="0.2">
      <c r="I88">
        <f t="shared" si="5"/>
        <v>425</v>
      </c>
      <c r="J88">
        <f>SQRT(2*I88/airplane!$B$31/airplane!$B$33)</f>
        <v>28.161498528031977</v>
      </c>
      <c r="K88">
        <f>J88/(airplane!$B$32*airplane!$B$10*airplane!$B$9*airplane!$B$12*SQRT(airplane!$B$31))</f>
        <v>5.9282293450151116</v>
      </c>
      <c r="M88">
        <f t="shared" si="3"/>
        <v>142.035</v>
      </c>
      <c r="N88">
        <f t="shared" si="4"/>
        <v>26.368764126627219</v>
      </c>
    </row>
    <row r="89" spans="9:14" x14ac:dyDescent="0.2">
      <c r="I89">
        <f t="shared" si="5"/>
        <v>430</v>
      </c>
      <c r="J89">
        <f>SQRT(2*I89/airplane!$B$31/airplane!$B$33)</f>
        <v>28.326670023685299</v>
      </c>
      <c r="K89">
        <f>J89/(airplane!$B$32*airplane!$B$10*airplane!$B$9*airplane!$B$12*SQRT(airplane!$B$31))</f>
        <v>5.9629993167379363</v>
      </c>
      <c r="M89">
        <f t="shared" si="3"/>
        <v>143.70599999999999</v>
      </c>
      <c r="N89">
        <f t="shared" si="4"/>
        <v>26.523420960850341</v>
      </c>
    </row>
    <row r="90" spans="9:14" x14ac:dyDescent="0.2">
      <c r="I90">
        <f t="shared" si="5"/>
        <v>435</v>
      </c>
      <c r="J90">
        <f>SQRT(2*I90/airplane!$B$31/airplane!$B$33)</f>
        <v>28.490883979216147</v>
      </c>
      <c r="K90">
        <f>J90/(airplane!$B$32*airplane!$B$10*airplane!$B$9*airplane!$B$12*SQRT(airplane!$B$31))</f>
        <v>5.9975677183118075</v>
      </c>
      <c r="M90">
        <f t="shared" si="3"/>
        <v>145.37700000000001</v>
      </c>
      <c r="N90">
        <f t="shared" si="4"/>
        <v>26.677181211050922</v>
      </c>
    </row>
    <row r="91" spans="9:14" x14ac:dyDescent="0.2">
      <c r="I91">
        <f t="shared" si="5"/>
        <v>440</v>
      </c>
      <c r="J91">
        <f>SQRT(2*I91/airplane!$B$31/airplane!$B$33)</f>
        <v>28.654156857314078</v>
      </c>
      <c r="K91">
        <f>J91/(airplane!$B$32*airplane!$B$10*airplane!$B$9*airplane!$B$12*SQRT(airplane!$B$31))</f>
        <v>6.0319380152696116</v>
      </c>
      <c r="M91">
        <f t="shared" si="3"/>
        <v>147.048</v>
      </c>
      <c r="N91">
        <f t="shared" si="4"/>
        <v>26.830060291919235</v>
      </c>
    </row>
    <row r="92" spans="9:14" x14ac:dyDescent="0.2">
      <c r="I92">
        <f t="shared" si="5"/>
        <v>445</v>
      </c>
      <c r="J92">
        <f>SQRT(2*I92/airplane!$B$31/airplane!$B$33)</f>
        <v>28.816504654276923</v>
      </c>
      <c r="K92">
        <f>J92/(airplane!$B$32*airplane!$B$10*airplane!$B$9*airplane!$B$12*SQRT(airplane!$B$31))</f>
        <v>6.0661135749649056</v>
      </c>
      <c r="M92">
        <f t="shared" si="3"/>
        <v>148.71899999999999</v>
      </c>
      <c r="N92">
        <f t="shared" si="4"/>
        <v>26.982073181443901</v>
      </c>
    </row>
    <row r="93" spans="9:14" x14ac:dyDescent="0.2">
      <c r="I93">
        <f t="shared" si="5"/>
        <v>450</v>
      </c>
      <c r="J93">
        <f>SQRT(2*I93/airplane!$B$31/airplane!$B$33)</f>
        <v>28.977942918301974</v>
      </c>
      <c r="K93">
        <f>J93/(airplane!$B$32*airplane!$B$10*airplane!$B$9*airplane!$B$12*SQRT(airplane!$B$31))</f>
        <v>6.1000976704223602</v>
      </c>
      <c r="M93">
        <f t="shared" si="3"/>
        <v>150.38999999999999</v>
      </c>
      <c r="N93">
        <f t="shared" si="4"/>
        <v>27.133234438038659</v>
      </c>
    </row>
    <row r="94" spans="9:14" x14ac:dyDescent="0.2">
      <c r="I94">
        <f t="shared" si="5"/>
        <v>455</v>
      </c>
      <c r="J94">
        <f>SQRT(2*I94/airplane!$B$31/airplane!$B$33)</f>
        <v>29.138486766865086</v>
      </c>
      <c r="K94">
        <f>J94/(airplane!$B$32*airplane!$B$10*airplane!$B$9*airplane!$B$12*SQRT(airplane!$B$31))</f>
        <v>6.1338934839962063</v>
      </c>
      <c r="M94">
        <f t="shared" si="3"/>
        <v>152.06100000000001</v>
      </c>
      <c r="N94">
        <f t="shared" si="4"/>
        <v>27.283558216815127</v>
      </c>
    </row>
    <row r="95" spans="9:14" x14ac:dyDescent="0.2">
      <c r="I95">
        <f t="shared" si="5"/>
        <v>460</v>
      </c>
      <c r="J95">
        <f>SQRT(2*I95/airplane!$B$31/airplane!$B$33)</f>
        <v>29.298150903242608</v>
      </c>
      <c r="K95">
        <f>J95/(airplane!$B$32*airplane!$B$10*airplane!$B$9*airplane!$B$12*SQRT(airplane!$B$31))</f>
        <v>6.1675041108482374</v>
      </c>
      <c r="M95">
        <f t="shared" si="3"/>
        <v>153.732</v>
      </c>
      <c r="N95">
        <f t="shared" si="4"/>
        <v>27.433058285052962</v>
      </c>
    </row>
    <row r="96" spans="9:14" x14ac:dyDescent="0.2">
      <c r="I96">
        <f t="shared" si="5"/>
        <v>465</v>
      </c>
      <c r="J96">
        <f>SQRT(2*I96/airplane!$B$31/airplane!$B$33)</f>
        <v>29.456949632227364</v>
      </c>
      <c r="K96">
        <f>J96/(airplane!$B$32*airplane!$B$10*airplane!$B$9*airplane!$B$12*SQRT(airplane!$B$31))</f>
        <v>6.200932562256158</v>
      </c>
      <c r="M96">
        <f t="shared" si="3"/>
        <v>155.40299999999999</v>
      </c>
      <c r="N96">
        <f t="shared" si="4"/>
        <v>27.581748036915393</v>
      </c>
    </row>
    <row r="97" spans="9:14" x14ac:dyDescent="0.2">
      <c r="I97">
        <f t="shared" si="5"/>
        <v>470</v>
      </c>
      <c r="J97">
        <f>SQRT(2*I97/airplane!$B$31/airplane!$B$33)</f>
        <v>29.614896875086089</v>
      </c>
      <c r="K97">
        <f>J97/(airplane!$B$32*airplane!$B$10*airplane!$B$9*airplane!$B$12*SQRT(airplane!$B$31))</f>
        <v>6.2341817687622418</v>
      </c>
      <c r="M97">
        <f t="shared" si="3"/>
        <v>157.07400000000001</v>
      </c>
      <c r="N97">
        <f t="shared" si="4"/>
        <v>27.729640507454455</v>
      </c>
    </row>
    <row r="98" spans="9:14" x14ac:dyDescent="0.2">
      <c r="I98">
        <f t="shared" si="5"/>
        <v>475</v>
      </c>
      <c r="J98">
        <f>SQRT(2*I98/airplane!$B$31/airplane!$B$33)</f>
        <v>29.772006183802731</v>
      </c>
      <c r="K98">
        <f>J98/(airplane!$B$32*airplane!$B$10*airplane!$B$9*airplane!$B$12*SQRT(airplane!$B$31))</f>
        <v>6.2672545831716722</v>
      </c>
      <c r="M98">
        <f t="shared" si="3"/>
        <v>158.745</v>
      </c>
      <c r="N98">
        <f t="shared" si="4"/>
        <v>27.8767483859476</v>
      </c>
    </row>
    <row r="99" spans="9:14" x14ac:dyDescent="0.2">
      <c r="I99">
        <f t="shared" si="5"/>
        <v>480</v>
      </c>
      <c r="J99">
        <f>SQRT(2*I99/airplane!$B$31/airplane!$B$33)</f>
        <v>29.928290754648721</v>
      </c>
      <c r="K99">
        <f>J99/(airplane!$B$32*airplane!$B$10*airplane!$B$9*airplane!$B$12*SQRT(airplane!$B$31))</f>
        <v>6.3001537834091899</v>
      </c>
      <c r="M99">
        <f t="shared" si="3"/>
        <v>160.416</v>
      </c>
      <c r="N99">
        <f t="shared" si="4"/>
        <v>28.023084028604078</v>
      </c>
    </row>
    <row r="100" spans="9:14" x14ac:dyDescent="0.2">
      <c r="I100">
        <f t="shared" si="5"/>
        <v>485</v>
      </c>
      <c r="J100">
        <f>SQRT(2*I100/airplane!$B$31/airplane!$B$33)</f>
        <v>30.083763441118801</v>
      </c>
      <c r="K100">
        <f>J100/(airplane!$B$32*airplane!$B$10*airplane!$B$9*airplane!$B$12*SQRT(airplane!$B$31))</f>
        <v>6.3328820752421988</v>
      </c>
      <c r="M100">
        <f t="shared" si="3"/>
        <v>162.08699999999999</v>
      </c>
      <c r="N100">
        <f t="shared" si="4"/>
        <v>28.168659470677301</v>
      </c>
    </row>
    <row r="101" spans="9:14" x14ac:dyDescent="0.2">
      <c r="I101">
        <f t="shared" si="5"/>
        <v>490</v>
      </c>
      <c r="J101">
        <f>SQRT(2*I101/airplane!$B$31/airplane!$B$33)</f>
        <v>30.238436766268197</v>
      </c>
      <c r="K101">
        <f>J101/(airplane!$B$32*airplane!$B$10*airplane!$B$9*airplane!$B$12*SQRT(airplane!$B$31))</f>
        <v>6.3654420948778361</v>
      </c>
      <c r="M101">
        <f t="shared" si="3"/>
        <v>163.75800000000001</v>
      </c>
      <c r="N101">
        <f t="shared" si="4"/>
        <v>28.313486438016618</v>
      </c>
    </row>
    <row r="102" spans="9:14" x14ac:dyDescent="0.2">
      <c r="I102">
        <f t="shared" si="5"/>
        <v>495</v>
      </c>
      <c r="J102">
        <f>SQRT(2*I102/airplane!$B$31/airplane!$B$33)</f>
        <v>30.392322934484692</v>
      </c>
      <c r="K102">
        <f>J102/(airplane!$B$32*airplane!$B$10*airplane!$B$9*airplane!$B$12*SQRT(airplane!$B$31))</f>
        <v>6.3978364114411006</v>
      </c>
      <c r="M102">
        <f t="shared" ref="M102:M165" si="6">I102*0.3342</f>
        <v>165.429</v>
      </c>
      <c r="N102">
        <f t="shared" ref="N102:N165" si="7">K102*4.448</f>
        <v>28.457576358090019</v>
      </c>
    </row>
    <row r="103" spans="9:14" x14ac:dyDescent="0.2">
      <c r="I103">
        <f t="shared" si="5"/>
        <v>500</v>
      </c>
      <c r="J103">
        <f>SQRT(2*I103/airplane!$B$31/airplane!$B$33)</f>
        <v>30.545433842726943</v>
      </c>
      <c r="K103">
        <f>J103/(airplane!$B$32*airplane!$B$10*airplane!$B$9*airplane!$B$12*SQRT(airplane!$B$31))</f>
        <v>6.4300675293406018</v>
      </c>
      <c r="M103">
        <f t="shared" si="6"/>
        <v>167.1</v>
      </c>
      <c r="N103">
        <f t="shared" si="7"/>
        <v>28.600940370507001</v>
      </c>
    </row>
    <row r="104" spans="9:14" x14ac:dyDescent="0.2">
      <c r="I104">
        <f t="shared" si="5"/>
        <v>505</v>
      </c>
      <c r="J104">
        <f>SQRT(2*I104/airplane!$B$31/airplane!$B$33)</f>
        <v>30.69778109125825</v>
      </c>
      <c r="K104">
        <f>J104/(airplane!$B$32*airplane!$B$10*airplane!$B$9*airplane!$B$12*SQRT(airplane!$B$31))</f>
        <v>6.4621378905281146</v>
      </c>
      <c r="M104">
        <f t="shared" si="6"/>
        <v>168.77099999999999</v>
      </c>
      <c r="N104">
        <f t="shared" si="7"/>
        <v>28.743589337069057</v>
      </c>
    </row>
    <row r="105" spans="9:14" x14ac:dyDescent="0.2">
      <c r="I105">
        <f t="shared" si="5"/>
        <v>510</v>
      </c>
      <c r="J105">
        <f>SQRT(2*I105/airplane!$B$31/airplane!$B$33)</f>
        <v>30.849375993903287</v>
      </c>
      <c r="K105">
        <f>J105/(airplane!$B$32*airplane!$B$10*airplane!$B$9*airplane!$B$12*SQRT(airplane!$B$31))</f>
        <v>6.4940498766577042</v>
      </c>
      <c r="M105">
        <f t="shared" si="6"/>
        <v>170.44200000000001</v>
      </c>
      <c r="N105">
        <f t="shared" si="7"/>
        <v>28.88553385137347</v>
      </c>
    </row>
    <row r="106" spans="9:14" x14ac:dyDescent="0.2">
      <c r="I106">
        <f t="shared" si="5"/>
        <v>515</v>
      </c>
      <c r="J106">
        <f>SQRT(2*I106/airplane!$B$31/airplane!$B$33)</f>
        <v>31.00022958785339</v>
      </c>
      <c r="K106">
        <f>J106/(airplane!$B$32*airplane!$B$10*airplane!$B$9*airplane!$B$12*SQRT(airplane!$B$31))</f>
        <v>6.5258058111498203</v>
      </c>
      <c r="M106">
        <f t="shared" si="6"/>
        <v>172.113</v>
      </c>
      <c r="N106">
        <f t="shared" si="7"/>
        <v>29.026784247994403</v>
      </c>
    </row>
    <row r="107" spans="9:14" x14ac:dyDescent="0.2">
      <c r="I107">
        <f t="shared" si="5"/>
        <v>520</v>
      </c>
      <c r="J107">
        <f>SQRT(2*I107/airplane!$B$31/airplane!$B$33)</f>
        <v>31.150352643044421</v>
      </c>
      <c r="K107">
        <f>J107/(airplane!$B$32*airplane!$B$10*airplane!$B$9*airplane!$B$12*SQRT(airplane!$B$31))</f>
        <v>6.5574079611654135</v>
      </c>
      <c r="M107">
        <f t="shared" si="6"/>
        <v>173.78399999999999</v>
      </c>
      <c r="N107">
        <f t="shared" si="7"/>
        <v>29.16735061126376</v>
      </c>
    </row>
    <row r="108" spans="9:14" x14ac:dyDescent="0.2">
      <c r="I108">
        <f t="shared" si="5"/>
        <v>525</v>
      </c>
      <c r="J108">
        <f>SQRT(2*I108/airplane!$B$31/airplane!$B$33)</f>
        <v>31.299755671129908</v>
      </c>
      <c r="K108">
        <f>J108/(airplane!$B$32*airplane!$B$10*airplane!$B$9*airplane!$B$12*SQRT(airplane!$B$31))</f>
        <v>6.5888585394948622</v>
      </c>
      <c r="M108">
        <f t="shared" si="6"/>
        <v>175.45500000000001</v>
      </c>
      <c r="N108">
        <f t="shared" si="7"/>
        <v>29.30724278367315</v>
      </c>
    </row>
    <row r="109" spans="9:14" x14ac:dyDescent="0.2">
      <c r="I109">
        <f t="shared" si="5"/>
        <v>530</v>
      </c>
      <c r="J109">
        <f>SQRT(2*I109/airplane!$B$31/airplane!$B$33)</f>
        <v>31.448448934070388</v>
      </c>
      <c r="K109">
        <f>J109/(airplane!$B$32*airplane!$B$10*airplane!$B$9*airplane!$B$12*SQRT(airplane!$B$31))</f>
        <v>6.6201597063660911</v>
      </c>
      <c r="M109">
        <f t="shared" si="6"/>
        <v>177.126</v>
      </c>
      <c r="N109">
        <f t="shared" si="7"/>
        <v>29.446470373916377</v>
      </c>
    </row>
    <row r="110" spans="9:14" x14ac:dyDescent="0.2">
      <c r="I110">
        <f t="shared" si="5"/>
        <v>535</v>
      </c>
      <c r="J110">
        <f>SQRT(2*I110/airplane!$B$31/airplane!$B$33)</f>
        <v>31.596442452359049</v>
      </c>
      <c r="K110">
        <f>J110/(airplane!$B$32*airplane!$B$10*airplane!$B$9*airplane!$B$12*SQRT(airplane!$B$31))</f>
        <v>6.6513135711761455</v>
      </c>
      <c r="M110">
        <f t="shared" si="6"/>
        <v>178.797</v>
      </c>
      <c r="N110">
        <f t="shared" si="7"/>
        <v>29.585042764591499</v>
      </c>
    </row>
    <row r="111" spans="9:14" x14ac:dyDescent="0.2">
      <c r="I111">
        <f t="shared" si="5"/>
        <v>540</v>
      </c>
      <c r="J111">
        <f>SQRT(2*I111/airplane!$B$31/airplane!$B$33)</f>
        <v>31.74374601290215</v>
      </c>
      <c r="K111">
        <f>J111/(airplane!$B$32*airplane!$B$10*airplane!$B$9*airplane!$B$12*SQRT(airplane!$B$31))</f>
        <v>6.6823221941500828</v>
      </c>
      <c r="M111">
        <f t="shared" si="6"/>
        <v>180.46799999999999</v>
      </c>
      <c r="N111">
        <f t="shared" si="7"/>
        <v>29.72296911957957</v>
      </c>
    </row>
    <row r="112" spans="9:14" x14ac:dyDescent="0.2">
      <c r="I112">
        <f t="shared" si="5"/>
        <v>545</v>
      </c>
      <c r="J112">
        <f>SQRT(2*I112/airplane!$B$31/airplane!$B$33)</f>
        <v>31.890369176571866</v>
      </c>
      <c r="K112">
        <f>J112/(airplane!$B$32*airplane!$B$10*airplane!$B$9*airplane!$B$12*SQRT(airplane!$B$31))</f>
        <v>6.7131875879309053</v>
      </c>
      <c r="M112">
        <f t="shared" si="6"/>
        <v>182.13900000000001</v>
      </c>
      <c r="N112">
        <f t="shared" si="7"/>
        <v>29.86025839111667</v>
      </c>
    </row>
    <row r="113" spans="9:14" x14ac:dyDescent="0.2">
      <c r="I113">
        <f t="shared" si="5"/>
        <v>550</v>
      </c>
      <c r="J113">
        <f>SQRT(2*I113/airplane!$B$31/airplane!$B$33)</f>
        <v>32.036321285448011</v>
      </c>
      <c r="K113">
        <f>J113/(airplane!$B$32*airplane!$B$10*airplane!$B$9*airplane!$B$12*SQRT(airplane!$B$31))</f>
        <v>6.7439117191040081</v>
      </c>
      <c r="M113">
        <f t="shared" si="6"/>
        <v>183.81</v>
      </c>
      <c r="N113">
        <f t="shared" si="7"/>
        <v>29.996919326574631</v>
      </c>
    </row>
    <row r="114" spans="9:14" x14ac:dyDescent="0.2">
      <c r="I114">
        <f t="shared" si="5"/>
        <v>555</v>
      </c>
      <c r="J114">
        <f>SQRT(2*I114/airplane!$B$31/airplane!$B$33)</f>
        <v>32.181611469764114</v>
      </c>
      <c r="K114">
        <f>J114/(airplane!$B$32*airplane!$B$10*airplane!$B$9*airplane!$B$12*SQRT(airplane!$B$31))</f>
        <v>6.7744965096593841</v>
      </c>
      <c r="M114">
        <f t="shared" si="6"/>
        <v>185.48099999999999</v>
      </c>
      <c r="N114">
        <f t="shared" si="7"/>
        <v>30.132960474964943</v>
      </c>
    </row>
    <row r="115" spans="9:14" x14ac:dyDescent="0.2">
      <c r="I115">
        <f t="shared" si="5"/>
        <v>560</v>
      </c>
      <c r="J115">
        <f>SQRT(2*I115/airplane!$B$31/airplane!$B$33)</f>
        <v>32.326248654572609</v>
      </c>
      <c r="K115">
        <f>J115/(airplane!$B$32*airplane!$B$10*airplane!$B$9*airplane!$B$12*SQRT(airplane!$B$31))</f>
        <v>6.8049438383946992</v>
      </c>
      <c r="M115">
        <f t="shared" si="6"/>
        <v>187.15199999999999</v>
      </c>
      <c r="N115">
        <f t="shared" si="7"/>
        <v>30.268390193179624</v>
      </c>
    </row>
    <row r="116" spans="9:14" x14ac:dyDescent="0.2">
      <c r="I116">
        <f t="shared" si="5"/>
        <v>565</v>
      </c>
      <c r="J116">
        <f>SQRT(2*I116/airplane!$B$31/airplane!$B$33)</f>
        <v>32.470241566142704</v>
      </c>
      <c r="K116">
        <f>J116/(airplane!$B$32*airplane!$B$10*airplane!$B$9*airplane!$B$12*SQRT(airplane!$B$31))</f>
        <v>6.835255542262102</v>
      </c>
      <c r="M116">
        <f t="shared" si="6"/>
        <v>188.82300000000001</v>
      </c>
      <c r="N116">
        <f t="shared" si="7"/>
        <v>30.403216651981833</v>
      </c>
    </row>
    <row r="117" spans="9:14" x14ac:dyDescent="0.2">
      <c r="I117">
        <f t="shared" si="5"/>
        <v>570</v>
      </c>
      <c r="J117">
        <f>SQRT(2*I117/airplane!$B$31/airplane!$B$33)</f>
        <v>32.613598738104102</v>
      </c>
      <c r="K117">
        <f>J117/(airplane!$B$32*airplane!$B$10*airplane!$B$9*airplane!$B$12*SQRT(airplane!$B$31))</f>
        <v>6.8654334176615235</v>
      </c>
      <c r="M117">
        <f t="shared" si="6"/>
        <v>190.494</v>
      </c>
      <c r="N117">
        <f t="shared" si="7"/>
        <v>30.53744784175846</v>
      </c>
    </row>
    <row r="118" spans="9:14" x14ac:dyDescent="0.2">
      <c r="I118">
        <f t="shared" si="5"/>
        <v>575</v>
      </c>
      <c r="J118">
        <f>SQRT(2*I118/airplane!$B$31/airplane!$B$33)</f>
        <v>32.75632851734867</v>
      </c>
      <c r="K118">
        <f>J118/(airplane!$B$32*airplane!$B$10*airplane!$B$9*airplane!$B$12*SQRT(airplane!$B$31))</f>
        <v>6.8954792216830292</v>
      </c>
      <c r="M118">
        <f t="shared" si="6"/>
        <v>192.16499999999999</v>
      </c>
      <c r="N118">
        <f t="shared" si="7"/>
        <v>30.671091578046116</v>
      </c>
    </row>
    <row r="119" spans="9:14" x14ac:dyDescent="0.2">
      <c r="I119">
        <f t="shared" si="5"/>
        <v>580</v>
      </c>
      <c r="J119">
        <f>SQRT(2*I119/airplane!$B$31/airplane!$B$33)</f>
        <v>32.898439069701674</v>
      </c>
      <c r="K119">
        <f>J119/(airplane!$B$32*airplane!$B$10*airplane!$B$9*airplane!$B$12*SQRT(airplane!$B$31))</f>
        <v>6.9253946733006622</v>
      </c>
      <c r="M119">
        <f t="shared" si="6"/>
        <v>193.83599999999998</v>
      </c>
      <c r="N119">
        <f t="shared" si="7"/>
        <v>30.804155506841347</v>
      </c>
    </row>
    <row r="120" spans="9:14" x14ac:dyDescent="0.2">
      <c r="I120">
        <f t="shared" si="5"/>
        <v>585</v>
      </c>
      <c r="J120">
        <f>SQRT(2*I120/airplane!$B$31/airplane!$B$33)</f>
        <v>33.03993838537351</v>
      </c>
      <c r="K120">
        <f>J120/(airplane!$B$32*airplane!$B$10*airplane!$B$9*airplane!$B$12*SQRT(airplane!$B$31))</f>
        <v>6.9551814545200763</v>
      </c>
      <c r="M120">
        <f t="shared" si="6"/>
        <v>195.50700000000001</v>
      </c>
      <c r="N120">
        <f t="shared" si="7"/>
        <v>30.936647109705302</v>
      </c>
    </row>
    <row r="121" spans="9:14" x14ac:dyDescent="0.2">
      <c r="I121">
        <f t="shared" si="5"/>
        <v>590</v>
      </c>
      <c r="J121">
        <f>SQRT(2*I121/airplane!$B$31/airplane!$B$33)</f>
        <v>33.180834284202106</v>
      </c>
      <c r="K121">
        <f>J121/(airplane!$B$32*airplane!$B$10*airplane!$B$9*airplane!$B$12*SQRT(airplane!$B$31))</f>
        <v>6.984841211482105</v>
      </c>
      <c r="M121">
        <f t="shared" si="6"/>
        <v>197.178</v>
      </c>
      <c r="N121">
        <f t="shared" si="7"/>
        <v>31.068573708672407</v>
      </c>
    </row>
    <row r="122" spans="9:14" x14ac:dyDescent="0.2">
      <c r="I122">
        <f t="shared" si="5"/>
        <v>595</v>
      </c>
      <c r="J122">
        <f>SQRT(2*I122/airplane!$B$31/airplane!$B$33)</f>
        <v>33.321134420695913</v>
      </c>
      <c r="K122">
        <f>J122/(airplane!$B$32*airplane!$B$10*airplane!$B$9*airplane!$B$12*SQRT(airplane!$B$31))</f>
        <v>7.0143755555243557</v>
      </c>
      <c r="M122">
        <f t="shared" si="6"/>
        <v>198.84899999999999</v>
      </c>
      <c r="N122">
        <f t="shared" si="7"/>
        <v>31.199942470972335</v>
      </c>
    </row>
    <row r="123" spans="9:14" x14ac:dyDescent="0.2">
      <c r="I123">
        <f t="shared" si="5"/>
        <v>600</v>
      </c>
      <c r="J123">
        <f>SQRT(2*I123/airplane!$B$31/airplane!$B$33)</f>
        <v>33.460846288886508</v>
      </c>
      <c r="K123">
        <f>J123/(airplane!$B$32*airplane!$B$10*airplane!$B$9*airplane!$B$12*SQRT(airplane!$B$31))</f>
        <v>7.0437860642027177</v>
      </c>
      <c r="M123">
        <f t="shared" si="6"/>
        <v>200.52</v>
      </c>
      <c r="N123">
        <f t="shared" si="7"/>
        <v>31.330760413573692</v>
      </c>
    </row>
    <row r="124" spans="9:14" x14ac:dyDescent="0.2">
      <c r="I124">
        <f t="shared" si="5"/>
        <v>605</v>
      </c>
      <c r="J124">
        <f>SQRT(2*I124/airplane!$B$31/airplane!$B$33)</f>
        <v>33.599977226999641</v>
      </c>
      <c r="K124">
        <f>J124/(airplane!$B$32*airplane!$B$10*airplane!$B$9*airplane!$B$12*SQRT(airplane!$B$31))</f>
        <v>7.0730742822746624</v>
      </c>
      <c r="M124">
        <f t="shared" si="6"/>
        <v>202.191</v>
      </c>
      <c r="N124">
        <f t="shared" si="7"/>
        <v>31.461034407557701</v>
      </c>
    </row>
    <row r="125" spans="9:14" x14ac:dyDescent="0.2">
      <c r="I125">
        <f t="shared" si="5"/>
        <v>610</v>
      </c>
      <c r="J125">
        <f>SQRT(2*I125/airplane!$B$31/airplane!$B$33)</f>
        <v>33.738534421952863</v>
      </c>
      <c r="K125">
        <f>J125/(airplane!$B$32*airplane!$B$10*airplane!$B$9*airplane!$B$12*SQRT(airplane!$B$31))</f>
        <v>7.1022417226460277</v>
      </c>
      <c r="M125">
        <f t="shared" si="6"/>
        <v>203.86199999999999</v>
      </c>
      <c r="N125">
        <f t="shared" si="7"/>
        <v>31.590771182329533</v>
      </c>
    </row>
    <row r="126" spans="9:14" x14ac:dyDescent="0.2">
      <c r="I126">
        <f t="shared" si="5"/>
        <v>615</v>
      </c>
      <c r="J126">
        <f>SQRT(2*I126/airplane!$B$31/airplane!$B$33)</f>
        <v>33.876524913687682</v>
      </c>
      <c r="K126">
        <f>J126/(airplane!$B$32*airplane!$B$10*airplane!$B$9*airplane!$B$12*SQRT(airplane!$B$31))</f>
        <v>7.1312898672829741</v>
      </c>
      <c r="M126">
        <f t="shared" si="6"/>
        <v>205.53299999999999</v>
      </c>
      <c r="N126">
        <f t="shared" si="7"/>
        <v>31.71997732967467</v>
      </c>
    </row>
    <row r="127" spans="9:14" x14ac:dyDescent="0.2">
      <c r="I127">
        <f t="shared" si="5"/>
        <v>620</v>
      </c>
      <c r="J127">
        <f>SQRT(2*I127/airplane!$B$31/airplane!$B$33)</f>
        <v>34.013955599343433</v>
      </c>
      <c r="K127">
        <f>J127/(airplane!$B$32*airplane!$B$10*airplane!$B$9*airplane!$B$12*SQRT(airplane!$B$31))</f>
        <v>7.1602201680906177</v>
      </c>
      <c r="M127">
        <f t="shared" si="6"/>
        <v>207.20400000000001</v>
      </c>
      <c r="N127">
        <f t="shared" si="7"/>
        <v>31.84865930766707</v>
      </c>
    </row>
    <row r="128" spans="9:14" x14ac:dyDescent="0.2">
      <c r="I128">
        <f t="shared" si="5"/>
        <v>625</v>
      </c>
      <c r="J128">
        <f>SQRT(2*I128/airplane!$B$31/airplane!$B$33)</f>
        <v>34.150833237280033</v>
      </c>
      <c r="K128">
        <f>J128/(airplane!$B$32*airplane!$B$10*airplane!$B$9*airplane!$B$12*SQRT(airplane!$B$31))</f>
        <v>7.1890340477598542</v>
      </c>
      <c r="M128">
        <f t="shared" si="6"/>
        <v>208.875</v>
      </c>
      <c r="N128">
        <f t="shared" si="7"/>
        <v>31.976823444435833</v>
      </c>
    </row>
    <row r="129" spans="9:14" x14ac:dyDescent="0.2">
      <c r="I129">
        <f t="shared" si="5"/>
        <v>630</v>
      </c>
      <c r="J129">
        <f>SQRT(2*I129/airplane!$B$31/airplane!$B$33)</f>
        <v>34.287164450956197</v>
      </c>
      <c r="K129">
        <f>J129/(airplane!$B$32*airplane!$B$10*airplane!$B$9*airplane!$B$12*SQRT(airplane!$B$31))</f>
        <v>7.2177329005837576</v>
      </c>
      <c r="M129">
        <f t="shared" si="6"/>
        <v>210.54599999999999</v>
      </c>
      <c r="N129">
        <f t="shared" si="7"/>
        <v>32.104475941796558</v>
      </c>
    </row>
    <row r="130" spans="9:14" x14ac:dyDescent="0.2">
      <c r="I130">
        <f t="shared" si="5"/>
        <v>635</v>
      </c>
      <c r="J130">
        <f>SQRT(2*I130/airplane!$B$31/airplane!$B$33)</f>
        <v>34.422955732669422</v>
      </c>
      <c r="K130">
        <f>J130/(airplane!$B$32*airplane!$B$10*airplane!$B$9*airplane!$B$12*SQRT(airplane!$B$31))</f>
        <v>7.2463180932448745</v>
      </c>
      <c r="M130">
        <f t="shared" si="6"/>
        <v>212.21699999999998</v>
      </c>
      <c r="N130">
        <f t="shared" si="7"/>
        <v>32.231622878753207</v>
      </c>
    </row>
    <row r="131" spans="9:14" x14ac:dyDescent="0.2">
      <c r="I131">
        <f t="shared" si="5"/>
        <v>640</v>
      </c>
      <c r="J131">
        <f>SQRT(2*I131/airplane!$B$31/airplane!$B$33)</f>
        <v>34.558213447163652</v>
      </c>
      <c r="K131">
        <f>J131/(airplane!$B$32*airplane!$B$10*airplane!$B$9*airplane!$B$12*SQRT(airplane!$B$31))</f>
        <v>7.2747909655746694</v>
      </c>
      <c r="M131">
        <f t="shared" si="6"/>
        <v>213.88800000000001</v>
      </c>
      <c r="N131">
        <f t="shared" si="7"/>
        <v>32.358270214876136</v>
      </c>
    </row>
    <row r="132" spans="9:14" x14ac:dyDescent="0.2">
      <c r="I132">
        <f t="shared" si="5"/>
        <v>645</v>
      </c>
      <c r="J132">
        <f>SQRT(2*I132/airplane!$B$31/airplane!$B$33)</f>
        <v>34.692943835110434</v>
      </c>
      <c r="K132">
        <f>J132/(airplane!$B$32*airplane!$B$10*airplane!$B$9*airplane!$B$12*SQRT(airplane!$B$31))</f>
        <v>7.3031528312863383</v>
      </c>
      <c r="M132">
        <f t="shared" si="6"/>
        <v>215.559</v>
      </c>
      <c r="N132">
        <f t="shared" si="7"/>
        <v>32.484423793561639</v>
      </c>
    </row>
    <row r="133" spans="9:14" x14ac:dyDescent="0.2">
      <c r="I133">
        <f t="shared" ref="I133:I196" si="8">I132+5</f>
        <v>650</v>
      </c>
      <c r="J133">
        <f>SQRT(2*I133/airplane!$B$31/airplane!$B$33)</f>
        <v>34.827153016468785</v>
      </c>
      <c r="K133">
        <f>J133/(airplane!$B$32*airplane!$B$10*airplane!$B$9*airplane!$B$12*SQRT(airplane!$B$31))</f>
        <v>7.3314049786820839</v>
      </c>
      <c r="M133">
        <f t="shared" si="6"/>
        <v>217.23</v>
      </c>
      <c r="N133">
        <f t="shared" si="7"/>
        <v>32.610089345177911</v>
      </c>
    </row>
    <row r="134" spans="9:14" x14ac:dyDescent="0.2">
      <c r="I134">
        <f t="shared" si="8"/>
        <v>655</v>
      </c>
      <c r="J134">
        <f>SQRT(2*I134/airplane!$B$31/airplane!$B$33)</f>
        <v>34.960846993729071</v>
      </c>
      <c r="K134">
        <f>J134/(airplane!$B$32*airplane!$B$10*airplane!$B$9*airplane!$B$12*SQRT(airplane!$B$31))</f>
        <v>7.3595486713359843</v>
      </c>
      <c r="M134">
        <f t="shared" si="6"/>
        <v>218.90100000000001</v>
      </c>
      <c r="N134">
        <f t="shared" si="7"/>
        <v>32.73527249010246</v>
      </c>
    </row>
    <row r="135" spans="9:14" x14ac:dyDescent="0.2">
      <c r="I135">
        <f t="shared" si="8"/>
        <v>660</v>
      </c>
      <c r="J135">
        <f>SQRT(2*I135/airplane!$B$31/airplane!$B$33)</f>
        <v>35.094031655045548</v>
      </c>
      <c r="K135">
        <f>J135/(airplane!$B$32*airplane!$B$10*airplane!$B$9*airplane!$B$12*SQRT(airplane!$B$31))</f>
        <v>7.3875851487534172</v>
      </c>
      <c r="M135">
        <f t="shared" si="6"/>
        <v>220.572</v>
      </c>
      <c r="N135">
        <f t="shared" si="7"/>
        <v>32.859978741655205</v>
      </c>
    </row>
    <row r="136" spans="9:14" x14ac:dyDescent="0.2">
      <c r="I136">
        <f t="shared" si="8"/>
        <v>665</v>
      </c>
      <c r="J136">
        <f>SQRT(2*I136/airplane!$B$31/airplane!$B$33)</f>
        <v>35.226712777262414</v>
      </c>
      <c r="K136">
        <f>J136/(airplane!$B$32*airplane!$B$10*airplane!$B$9*airplane!$B$12*SQRT(airplane!$B$31))</f>
        <v>7.4155156270080669</v>
      </c>
      <c r="M136">
        <f t="shared" si="6"/>
        <v>222.24299999999999</v>
      </c>
      <c r="N136">
        <f t="shared" si="7"/>
        <v>32.984213508931887</v>
      </c>
    </row>
    <row r="137" spans="9:14" x14ac:dyDescent="0.2">
      <c r="I137">
        <f t="shared" si="8"/>
        <v>670</v>
      </c>
      <c r="J137">
        <f>SQRT(2*I137/airplane!$B$31/airplane!$B$33)</f>
        <v>35.358896028837599</v>
      </c>
      <c r="K137">
        <f>J137/(airplane!$B$32*airplane!$B$10*airplane!$B$9*airplane!$B$12*SQRT(airplane!$B$31))</f>
        <v>7.4433412993574102</v>
      </c>
      <c r="M137">
        <f t="shared" si="6"/>
        <v>223.91399999999999</v>
      </c>
      <c r="N137">
        <f t="shared" si="7"/>
        <v>33.107982099541765</v>
      </c>
    </row>
    <row r="138" spans="9:14" x14ac:dyDescent="0.2">
      <c r="I138">
        <f t="shared" si="8"/>
        <v>675</v>
      </c>
      <c r="J138">
        <f>SQRT(2*I138/airplane!$B$31/airplane!$B$33)</f>
        <v>35.490586972668559</v>
      </c>
      <c r="K138">
        <f>J138/(airplane!$B$32*airplane!$B$10*airplane!$B$9*airplane!$B$12*SQRT(airplane!$B$31))</f>
        <v>7.4710633368375658</v>
      </c>
      <c r="M138">
        <f t="shared" si="6"/>
        <v>225.58500000000001</v>
      </c>
      <c r="N138">
        <f t="shared" si="7"/>
        <v>33.231289722253493</v>
      </c>
    </row>
    <row r="139" spans="9:14" x14ac:dyDescent="0.2">
      <c r="I139">
        <f t="shared" si="8"/>
        <v>680</v>
      </c>
      <c r="J139">
        <f>SQRT(2*I139/airplane!$B$31/airplane!$B$33)</f>
        <v>35.621791068824088</v>
      </c>
      <c r="K139">
        <f>J139/(airplane!$B$32*airplane!$B$10*airplane!$B$9*airplane!$B$12*SQRT(airplane!$B$31))</f>
        <v>7.4986828888383643</v>
      </c>
      <c r="M139">
        <f t="shared" si="6"/>
        <v>227.256</v>
      </c>
      <c r="N139">
        <f t="shared" si="7"/>
        <v>33.354141489553051</v>
      </c>
    </row>
    <row r="140" spans="9:14" x14ac:dyDescent="0.2">
      <c r="I140">
        <f t="shared" si="8"/>
        <v>685</v>
      </c>
      <c r="J140">
        <f>SQRT(2*I140/airplane!$B$31/airplane!$B$33)</f>
        <v>35.752513677185824</v>
      </c>
      <c r="K140">
        <f>J140/(airplane!$B$32*airplane!$B$10*airplane!$B$9*airplane!$B$12*SQRT(airplane!$B$31))</f>
        <v>7.5262010836594095</v>
      </c>
      <c r="M140">
        <f t="shared" si="6"/>
        <v>228.92699999999999</v>
      </c>
      <c r="N140">
        <f t="shared" si="7"/>
        <v>33.476542420117056</v>
      </c>
    </row>
    <row r="141" spans="9:14" x14ac:dyDescent="0.2">
      <c r="I141">
        <f t="shared" si="8"/>
        <v>690</v>
      </c>
      <c r="J141">
        <f>SQRT(2*I141/airplane!$B$31/airplane!$B$33)</f>
        <v>35.882760060003235</v>
      </c>
      <c r="K141">
        <f>J141/(airplane!$B$32*airplane!$B$10*airplane!$B$9*airplane!$B$12*SQRT(airplane!$B$31))</f>
        <v>7.5536190290479217</v>
      </c>
      <c r="M141">
        <f t="shared" si="6"/>
        <v>230.59799999999998</v>
      </c>
      <c r="N141">
        <f t="shared" si="7"/>
        <v>33.598497441205161</v>
      </c>
    </row>
    <row r="142" spans="9:14" x14ac:dyDescent="0.2">
      <c r="I142">
        <f t="shared" si="8"/>
        <v>695</v>
      </c>
      <c r="J142">
        <f>SQRT(2*I142/airplane!$B$31/airplane!$B$33)</f>
        <v>36.012535384365371</v>
      </c>
      <c r="K142">
        <f>J142/(airplane!$B$32*airplane!$B$10*airplane!$B$9*airplane!$B$12*SQRT(airplane!$B$31))</f>
        <v>7.5809378127190632</v>
      </c>
      <c r="M142">
        <f t="shared" si="6"/>
        <v>232.26900000000001</v>
      </c>
      <c r="N142">
        <f t="shared" si="7"/>
        <v>33.720011390974399</v>
      </c>
    </row>
    <row r="143" spans="9:14" x14ac:dyDescent="0.2">
      <c r="I143">
        <f t="shared" si="8"/>
        <v>700</v>
      </c>
      <c r="J143">
        <f>SQRT(2*I143/airplane!$B$31/airplane!$B$33)</f>
        <v>36.141844724592737</v>
      </c>
      <c r="K143">
        <f>J143/(airplane!$B$32*airplane!$B$10*airplane!$B$9*airplane!$B$12*SQRT(airplane!$B$31))</f>
        <v>7.6081585028594461</v>
      </c>
      <c r="M143">
        <f t="shared" si="6"/>
        <v>233.94</v>
      </c>
      <c r="N143">
        <f t="shared" si="7"/>
        <v>33.841089020718819</v>
      </c>
    </row>
    <row r="144" spans="9:14" x14ac:dyDescent="0.2">
      <c r="I144">
        <f t="shared" si="8"/>
        <v>705</v>
      </c>
      <c r="J144">
        <f>SQRT(2*I144/airplane!$B$31/airplane!$B$33)</f>
        <v>36.270693064552489</v>
      </c>
      <c r="K144">
        <f>J144/(airplane!$B$32*airplane!$B$10*airplane!$B$9*airplane!$B$12*SQRT(airplane!$B$31))</f>
        <v>7.6352821486145022</v>
      </c>
      <c r="M144">
        <f t="shared" si="6"/>
        <v>235.61099999999999</v>
      </c>
      <c r="N144">
        <f t="shared" si="7"/>
        <v>33.961734997037311</v>
      </c>
    </row>
    <row r="145" spans="9:14" x14ac:dyDescent="0.2">
      <c r="I145">
        <f t="shared" si="8"/>
        <v>710</v>
      </c>
      <c r="J145">
        <f>SQRT(2*I145/airplane!$B$31/airplane!$B$33)</f>
        <v>36.399085299899774</v>
      </c>
      <c r="K145">
        <f>J145/(airplane!$B$32*airplane!$B$10*airplane!$B$9*airplane!$B$12*SQRT(airplane!$B$31))</f>
        <v>7.6623097805603031</v>
      </c>
      <c r="M145">
        <f t="shared" si="6"/>
        <v>237.28200000000001</v>
      </c>
      <c r="N145">
        <f t="shared" si="7"/>
        <v>34.081953903932231</v>
      </c>
    </row>
    <row r="146" spans="9:14" x14ac:dyDescent="0.2">
      <c r="I146">
        <f t="shared" si="8"/>
        <v>715</v>
      </c>
      <c r="J146">
        <f>SQRT(2*I146/airplane!$B$31/airplane!$B$33)</f>
        <v>36.527026240248247</v>
      </c>
      <c r="K146">
        <f>J146/(airplane!$B$32*airplane!$B$10*airplane!$B$9*airplane!$B$12*SQRT(airplane!$B$31))</f>
        <v>7.6892424111604711</v>
      </c>
      <c r="M146">
        <f t="shared" si="6"/>
        <v>238.953</v>
      </c>
      <c r="N146">
        <f t="shared" si="7"/>
        <v>34.201750244841776</v>
      </c>
    </row>
    <row r="147" spans="9:14" x14ac:dyDescent="0.2">
      <c r="I147">
        <f t="shared" si="8"/>
        <v>720</v>
      </c>
      <c r="J147">
        <f>SQRT(2*I147/airplane!$B$31/airplane!$B$33)</f>
        <v>36.654520611272332</v>
      </c>
      <c r="K147">
        <f>J147/(airplane!$B$32*airplane!$B$10*airplane!$B$9*airplane!$B$12*SQRT(airplane!$B$31))</f>
        <v>7.7160810352087221</v>
      </c>
      <c r="M147">
        <f t="shared" si="6"/>
        <v>240.624</v>
      </c>
      <c r="N147">
        <f t="shared" si="7"/>
        <v>34.321128444608398</v>
      </c>
    </row>
    <row r="148" spans="9:14" x14ac:dyDescent="0.2">
      <c r="I148">
        <f t="shared" si="8"/>
        <v>725</v>
      </c>
      <c r="J148">
        <f>SQRT(2*I148/airplane!$B$31/airplane!$B$33)</f>
        <v>36.781573056743945</v>
      </c>
      <c r="K148">
        <f>J148/(airplane!$B$32*airplane!$B$10*airplane!$B$9*airplane!$B$12*SQRT(airplane!$B$31))</f>
        <v>7.742826630257615</v>
      </c>
      <c r="M148">
        <f t="shared" si="6"/>
        <v>242.29499999999999</v>
      </c>
      <c r="N148">
        <f t="shared" si="7"/>
        <v>34.440092851385877</v>
      </c>
    </row>
    <row r="149" spans="9:14" x14ac:dyDescent="0.2">
      <c r="I149">
        <f t="shared" si="8"/>
        <v>730</v>
      </c>
      <c r="J149">
        <f>SQRT(2*I149/airplane!$B$31/airplane!$B$33)</f>
        <v>36.908188140506113</v>
      </c>
      <c r="K149">
        <f>J149/(airplane!$B$32*airplane!$B$10*airplane!$B$9*airplane!$B$12*SQRT(airplane!$B$31))</f>
        <v>7.7694801570340148</v>
      </c>
      <c r="M149">
        <f t="shared" si="6"/>
        <v>243.96600000000001</v>
      </c>
      <c r="N149">
        <f t="shared" si="7"/>
        <v>34.558647738487302</v>
      </c>
    </row>
    <row r="150" spans="9:14" x14ac:dyDescent="0.2">
      <c r="I150">
        <f t="shared" si="8"/>
        <v>735</v>
      </c>
      <c r="J150">
        <f>SQRT(2*I150/airplane!$B$31/airplane!$B$33)</f>
        <v>37.034370348385842</v>
      </c>
      <c r="K150">
        <f>J150/(airplane!$B$32*airplane!$B$10*airplane!$B$9*airplane!$B$12*SQRT(airplane!$B$31))</f>
        <v>7.7960425598417631</v>
      </c>
      <c r="M150">
        <f t="shared" si="6"/>
        <v>245.637</v>
      </c>
      <c r="N150">
        <f t="shared" si="7"/>
        <v>34.676797306176162</v>
      </c>
    </row>
    <row r="151" spans="9:14" x14ac:dyDescent="0.2">
      <c r="I151">
        <f t="shared" si="8"/>
        <v>740</v>
      </c>
      <c r="J151">
        <f>SQRT(2*I151/airplane!$B$31/airplane!$B$33)</f>
        <v>37.160124090048519</v>
      </c>
      <c r="K151">
        <f>J151/(airplane!$B$32*airplane!$B$10*airplane!$B$9*airplane!$B$12*SQRT(airplane!$B$31))</f>
        <v>7.8225147669520512</v>
      </c>
      <c r="M151">
        <f t="shared" si="6"/>
        <v>247.30799999999999</v>
      </c>
      <c r="N151">
        <f t="shared" si="7"/>
        <v>34.794545683402724</v>
      </c>
    </row>
    <row r="152" spans="9:14" x14ac:dyDescent="0.2">
      <c r="I152">
        <f t="shared" si="8"/>
        <v>745</v>
      </c>
      <c r="J152">
        <f>SQRT(2*I152/airplane!$B$31/airplane!$B$33)</f>
        <v>37.285453700796083</v>
      </c>
      <c r="K152">
        <f>J152/(airplane!$B$32*airplane!$B$10*airplane!$B$9*airplane!$B$12*SQRT(airplane!$B$31))</f>
        <v>7.8488976909819446</v>
      </c>
      <c r="M152">
        <f t="shared" si="6"/>
        <v>248.97899999999998</v>
      </c>
      <c r="N152">
        <f t="shared" si="7"/>
        <v>34.911896929487689</v>
      </c>
    </row>
    <row r="153" spans="9:14" x14ac:dyDescent="0.2">
      <c r="I153">
        <f t="shared" si="8"/>
        <v>750</v>
      </c>
      <c r="J153">
        <f>SQRT(2*I153/airplane!$B$31/airplane!$B$33)</f>
        <v>37.410363443310899</v>
      </c>
      <c r="K153">
        <f>J153/(airplane!$B$32*airplane!$B$10*airplane!$B$9*airplane!$B$12*SQRT(airplane!$B$31))</f>
        <v>7.8751922292614873</v>
      </c>
      <c r="M153">
        <f t="shared" si="6"/>
        <v>250.65</v>
      </c>
      <c r="N153">
        <f t="shared" si="7"/>
        <v>35.0288550357551</v>
      </c>
    </row>
    <row r="154" spans="9:14" x14ac:dyDescent="0.2">
      <c r="I154">
        <f t="shared" si="8"/>
        <v>755</v>
      </c>
      <c r="J154">
        <f>SQRT(2*I154/airplane!$B$31/airplane!$B$33)</f>
        <v>37.534857509347447</v>
      </c>
      <c r="K154">
        <f>J154/(airplane!$B$32*airplane!$B$10*airplane!$B$9*airplane!$B$12*SQRT(airplane!$B$31))</f>
        <v>7.9013992641898128</v>
      </c>
      <c r="M154">
        <f t="shared" si="6"/>
        <v>252.321</v>
      </c>
      <c r="N154">
        <f t="shared" si="7"/>
        <v>35.14542392711629</v>
      </c>
    </row>
    <row r="155" spans="9:14" x14ac:dyDescent="0.2">
      <c r="I155">
        <f t="shared" si="8"/>
        <v>760</v>
      </c>
      <c r="J155">
        <f>SQRT(2*I155/airplane!$B$31/airplane!$B$33)</f>
        <v>37.658940021373688</v>
      </c>
      <c r="K155">
        <f>J155/(airplane!$B$32*airplane!$B$10*airplane!$B$9*airplane!$B$12*SQRT(airplane!$B$31))</f>
        <v>7.9275196635806671</v>
      </c>
      <c r="M155">
        <f t="shared" si="6"/>
        <v>253.99199999999999</v>
      </c>
      <c r="N155">
        <f t="shared" si="7"/>
        <v>35.261607463606808</v>
      </c>
    </row>
    <row r="156" spans="9:14" x14ac:dyDescent="0.2">
      <c r="I156">
        <f t="shared" si="8"/>
        <v>765</v>
      </c>
      <c r="J156">
        <f>SQRT(2*I156/airplane!$B$31/airplane!$B$33)</f>
        <v>37.782615034163861</v>
      </c>
      <c r="K156">
        <f>J156/(airplane!$B$32*airplane!$B$10*airplane!$B$9*airplane!$B$12*SQRT(airplane!$B$31))</f>
        <v>7.9535542809977056</v>
      </c>
      <c r="M156">
        <f t="shared" si="6"/>
        <v>255.66300000000001</v>
      </c>
      <c r="N156">
        <f t="shared" si="7"/>
        <v>35.377409441877795</v>
      </c>
    </row>
    <row r="157" spans="9:14" x14ac:dyDescent="0.2">
      <c r="I157">
        <f t="shared" si="8"/>
        <v>770</v>
      </c>
      <c r="J157">
        <f>SQRT(2*I157/airplane!$B$31/airplane!$B$33)</f>
        <v>37.905886536344575</v>
      </c>
      <c r="K157">
        <f>J157/(airplane!$B$32*airplane!$B$10*airplane!$B$9*airplane!$B$12*SQRT(airplane!$B$31))</f>
        <v>7.9795039560799594</v>
      </c>
      <c r="M157">
        <f t="shared" si="6"/>
        <v>257.334</v>
      </c>
      <c r="N157">
        <f t="shared" si="7"/>
        <v>35.492833596643663</v>
      </c>
    </row>
    <row r="158" spans="9:14" x14ac:dyDescent="0.2">
      <c r="I158">
        <f t="shared" si="8"/>
        <v>775</v>
      </c>
      <c r="J158">
        <f>SQRT(2*I158/airplane!$B$31/airplane!$B$33)</f>
        <v>38.028758451895754</v>
      </c>
      <c r="K158">
        <f>J158/(airplane!$B$32*airplane!$B$10*airplane!$B$9*airplane!$B$12*SQRT(airplane!$B$31))</f>
        <v>8.0053695148577955</v>
      </c>
      <c r="M158">
        <f t="shared" si="6"/>
        <v>259.005</v>
      </c>
      <c r="N158">
        <f t="shared" si="7"/>
        <v>35.607883602087476</v>
      </c>
    </row>
    <row r="159" spans="9:14" x14ac:dyDescent="0.2">
      <c r="I159">
        <f t="shared" si="8"/>
        <v>780</v>
      </c>
      <c r="J159">
        <f>SQRT(2*I159/airplane!$B$31/airplane!$B$33)</f>
        <v>38.151234641608092</v>
      </c>
      <c r="K159">
        <f>J159/(airplane!$B$32*airplane!$B$10*airplane!$B$9*airplane!$B$12*SQRT(airplane!$B$31))</f>
        <v>8.0311517700597186</v>
      </c>
      <c r="M159">
        <f t="shared" si="6"/>
        <v>260.67599999999999</v>
      </c>
      <c r="N159">
        <f t="shared" si="7"/>
        <v>35.722563073225629</v>
      </c>
    </row>
    <row r="160" spans="9:14" x14ac:dyDescent="0.2">
      <c r="I160">
        <f t="shared" si="8"/>
        <v>785</v>
      </c>
      <c r="J160">
        <f>SQRT(2*I160/airplane!$B$31/airplane!$B$33)</f>
        <v>38.273318904498488</v>
      </c>
      <c r="K160">
        <f>J160/(airplane!$B$32*airplane!$B$10*airplane!$B$9*airplane!$B$12*SQRT(airplane!$B$31))</f>
        <v>8.0568515214103424</v>
      </c>
      <c r="M160">
        <f t="shared" si="6"/>
        <v>262.34699999999998</v>
      </c>
      <c r="N160">
        <f t="shared" si="7"/>
        <v>35.836875567233207</v>
      </c>
    </row>
    <row r="161" spans="9:14" x14ac:dyDescent="0.2">
      <c r="I161">
        <f t="shared" si="8"/>
        <v>790</v>
      </c>
      <c r="J161">
        <f>SQRT(2*I161/airplane!$B$31/airplane!$B$33)</f>
        <v>38.395014979185063</v>
      </c>
      <c r="K161">
        <f>J161/(airplane!$B$32*airplane!$B$10*airplane!$B$9*airplane!$B$12*SQRT(airplane!$B$31))</f>
        <v>8.0824695559198343</v>
      </c>
      <c r="M161">
        <f t="shared" si="6"/>
        <v>264.01799999999997</v>
      </c>
      <c r="N161">
        <f t="shared" si="7"/>
        <v>35.950824584731429</v>
      </c>
    </row>
    <row r="162" spans="9:14" x14ac:dyDescent="0.2">
      <c r="I162">
        <f t="shared" si="8"/>
        <v>795</v>
      </c>
      <c r="J162">
        <f>SQRT(2*I162/airplane!$B$31/airplane!$B$33)</f>
        <v>38.516326545222995</v>
      </c>
      <c r="K162">
        <f>J162/(airplane!$B$32*airplane!$B$10*airplane!$B$9*airplane!$B$12*SQRT(airplane!$B$31))</f>
        <v>8.1080066481651176</v>
      </c>
      <c r="M162">
        <f t="shared" si="6"/>
        <v>265.68900000000002</v>
      </c>
      <c r="N162">
        <f t="shared" si="7"/>
        <v>36.064413571038443</v>
      </c>
    </row>
    <row r="163" spans="9:14" x14ac:dyDescent="0.2">
      <c r="I163">
        <f t="shared" si="8"/>
        <v>800</v>
      </c>
      <c r="J163">
        <f>SQRT(2*I163/airplane!$B$31/airplane!$B$33)</f>
        <v>38.637257224402632</v>
      </c>
      <c r="K163">
        <f>J163/(airplane!$B$32*airplane!$B$10*airplane!$B$9*airplane!$B$12*SQRT(airplane!$B$31))</f>
        <v>8.1334635605631469</v>
      </c>
      <c r="M163">
        <f t="shared" si="6"/>
        <v>267.36</v>
      </c>
      <c r="N163">
        <f t="shared" si="7"/>
        <v>36.177645917384879</v>
      </c>
    </row>
    <row r="164" spans="9:14" x14ac:dyDescent="0.2">
      <c r="I164">
        <f t="shared" si="8"/>
        <v>805</v>
      </c>
      <c r="J164">
        <f>SQRT(2*I164/airplane!$B$31/airplane!$B$33)</f>
        <v>38.757810582011174</v>
      </c>
      <c r="K164">
        <f>J164/(airplane!$B$32*airplane!$B$10*airplane!$B$9*airplane!$B$12*SQRT(airplane!$B$31))</f>
        <v>8.1588410436364889</v>
      </c>
      <c r="M164">
        <f t="shared" si="6"/>
        <v>269.03100000000001</v>
      </c>
      <c r="N164">
        <f t="shared" si="7"/>
        <v>36.290524962095105</v>
      </c>
    </row>
    <row r="165" spans="9:14" x14ac:dyDescent="0.2">
      <c r="I165">
        <f t="shared" si="8"/>
        <v>810</v>
      </c>
      <c r="J165">
        <f>SQRT(2*I165/airplane!$B$31/airplane!$B$33)</f>
        <v>38.87799012805911</v>
      </c>
      <c r="K165">
        <f>J165/(airplane!$B$32*airplane!$B$10*airplane!$B$9*airplane!$B$12*SQRT(airplane!$B$31))</f>
        <v>8.1841398362715037</v>
      </c>
      <c r="M165">
        <f t="shared" si="6"/>
        <v>270.702</v>
      </c>
      <c r="N165">
        <f t="shared" si="7"/>
        <v>36.403053991735653</v>
      </c>
    </row>
    <row r="166" spans="9:14" x14ac:dyDescent="0.2">
      <c r="I166">
        <f t="shared" si="8"/>
        <v>815</v>
      </c>
      <c r="J166">
        <f>SQRT(2*I166/airplane!$B$31/airplane!$B$33)</f>
        <v>38.997799318472651</v>
      </c>
      <c r="K166">
        <f>J166/(airplane!$B$32*airplane!$B$10*airplane!$B$9*airplane!$B$12*SQRT(airplane!$B$31))</f>
        <v>8.2093606659693652</v>
      </c>
      <c r="M166">
        <f t="shared" ref="M166:M229" si="9">I166*0.3342</f>
        <v>272.37299999999999</v>
      </c>
      <c r="N166">
        <f t="shared" ref="N166:N229" si="10">K166*4.448</f>
        <v>36.515236242231737</v>
      </c>
    </row>
    <row r="167" spans="9:14" x14ac:dyDescent="0.2">
      <c r="I167">
        <f t="shared" si="8"/>
        <v>820</v>
      </c>
      <c r="J167">
        <f>SQRT(2*I167/airplane!$B$31/airplane!$B$33)</f>
        <v>39.117241556253298</v>
      </c>
      <c r="K167">
        <f>J167/(airplane!$B$32*airplane!$B$10*airplane!$B$9*airplane!$B$12*SQRT(airplane!$B$31))</f>
        <v>8.2345042490901523</v>
      </c>
      <c r="M167">
        <f t="shared" si="9"/>
        <v>274.04399999999998</v>
      </c>
      <c r="N167">
        <f t="shared" si="10"/>
        <v>36.627074899953001</v>
      </c>
    </row>
    <row r="168" spans="9:14" x14ac:dyDescent="0.2">
      <c r="I168">
        <f t="shared" si="8"/>
        <v>825</v>
      </c>
      <c r="J168">
        <f>SQRT(2*I168/airplane!$B$31/airplane!$B$33)</f>
        <v>39.236320192605646</v>
      </c>
      <c r="K168">
        <f>J168/(airplane!$B$32*airplane!$B$10*airplane!$B$9*airplane!$B$12*SQRT(airplane!$B$31))</f>
        <v>8.2595712910902677</v>
      </c>
      <c r="M168">
        <f t="shared" si="9"/>
        <v>275.71499999999997</v>
      </c>
      <c r="N168">
        <f t="shared" si="10"/>
        <v>36.738573102769514</v>
      </c>
    </row>
    <row r="169" spans="9:14" x14ac:dyDescent="0.2">
      <c r="I169">
        <f t="shared" si="8"/>
        <v>830</v>
      </c>
      <c r="J169">
        <f>SQRT(2*I169/airplane!$B$31/airplane!$B$33)</f>
        <v>39.355038528034477</v>
      </c>
      <c r="K169">
        <f>J169/(airplane!$B$32*airplane!$B$10*airplane!$B$9*airplane!$B$12*SQRT(airplane!$B$31))</f>
        <v>8.2845624867533818</v>
      </c>
      <c r="M169">
        <f t="shared" si="9"/>
        <v>277.38600000000002</v>
      </c>
      <c r="N169">
        <f t="shared" si="10"/>
        <v>36.849733941079045</v>
      </c>
    </row>
    <row r="170" spans="9:14" x14ac:dyDescent="0.2">
      <c r="I170">
        <f t="shared" si="8"/>
        <v>835</v>
      </c>
      <c r="J170">
        <f>SQRT(2*I170/airplane!$B$31/airplane!$B$33)</f>
        <v>39.473399813412094</v>
      </c>
      <c r="K170">
        <f>J170/(airplane!$B$32*airplane!$B$10*airplane!$B$9*airplane!$B$12*SQRT(airplane!$B$31))</f>
        <v>8.3094785204151158</v>
      </c>
      <c r="M170">
        <f t="shared" si="9"/>
        <v>279.05700000000002</v>
      </c>
      <c r="N170">
        <f t="shared" si="10"/>
        <v>36.960560458806441</v>
      </c>
    </row>
    <row r="171" spans="9:14" x14ac:dyDescent="0.2">
      <c r="I171">
        <f t="shared" si="8"/>
        <v>840</v>
      </c>
      <c r="J171">
        <f>SQRT(2*I171/airplane!$B$31/airplane!$B$33)</f>
        <v>39.59140725101706</v>
      </c>
      <c r="K171">
        <f>J171/(airplane!$B$32*airplane!$B$10*airplane!$B$9*airplane!$B$12*SQRT(airplane!$B$31))</f>
        <v>8.3343200661817036</v>
      </c>
      <c r="M171">
        <f t="shared" si="9"/>
        <v>280.72800000000001</v>
      </c>
      <c r="N171">
        <f t="shared" si="10"/>
        <v>37.071055654376224</v>
      </c>
    </row>
    <row r="172" spans="9:14" x14ac:dyDescent="0.2">
      <c r="I172">
        <f t="shared" si="8"/>
        <v>845</v>
      </c>
      <c r="J172">
        <f>SQRT(2*I172/airplane!$B$31/airplane!$B$33)</f>
        <v>39.709063995545023</v>
      </c>
      <c r="K172">
        <f>J172/(airplane!$B$32*airplane!$B$10*airplane!$B$9*airplane!$B$12*SQRT(airplane!$B$31))</f>
        <v>8.3590877881427819</v>
      </c>
      <c r="M172">
        <f t="shared" si="9"/>
        <v>282.399</v>
      </c>
      <c r="N172">
        <f t="shared" si="10"/>
        <v>37.181222481659098</v>
      </c>
    </row>
    <row r="173" spans="9:14" x14ac:dyDescent="0.2">
      <c r="I173">
        <f t="shared" si="8"/>
        <v>850</v>
      </c>
      <c r="J173">
        <f>SQRT(2*I173/airplane!$B$31/airplane!$B$33)</f>
        <v>39.826373155092774</v>
      </c>
      <c r="K173">
        <f>J173/(airplane!$B$32*airplane!$B$10*airplane!$B$9*airplane!$B$12*SQRT(airplane!$B$31))</f>
        <v>8.3837823405785397</v>
      </c>
      <c r="M173">
        <f t="shared" si="9"/>
        <v>284.07</v>
      </c>
      <c r="N173">
        <f t="shared" si="10"/>
        <v>37.291063850893345</v>
      </c>
    </row>
    <row r="174" spans="9:14" x14ac:dyDescent="0.2">
      <c r="I174">
        <f t="shared" si="8"/>
        <v>855</v>
      </c>
      <c r="J174">
        <f>SQRT(2*I174/airplane!$B$31/airplane!$B$33)</f>
        <v>39.943337792116196</v>
      </c>
      <c r="K174">
        <f>J174/(airplane!$B$32*airplane!$B$10*airplane!$B$9*airplane!$B$12*SQRT(airplane!$B$31))</f>
        <v>8.4084043681613796</v>
      </c>
      <c r="M174">
        <f t="shared" si="9"/>
        <v>285.74099999999999</v>
      </c>
      <c r="N174">
        <f t="shared" si="10"/>
        <v>37.40058262958182</v>
      </c>
    </row>
    <row r="175" spans="9:14" x14ac:dyDescent="0.2">
      <c r="I175">
        <f t="shared" si="8"/>
        <v>860</v>
      </c>
      <c r="J175">
        <f>SQRT(2*I175/airplane!$B$31/airplane!$B$33)</f>
        <v>40.059960924363153</v>
      </c>
      <c r="K175">
        <f>J175/(airplane!$B$32*airplane!$B$10*airplane!$B$9*airplane!$B$12*SQRT(airplane!$B$31))</f>
        <v>8.4329545061522904</v>
      </c>
      <c r="M175">
        <f t="shared" si="9"/>
        <v>287.41199999999998</v>
      </c>
      <c r="N175">
        <f t="shared" si="10"/>
        <v>37.509781643365393</v>
      </c>
    </row>
    <row r="176" spans="9:14" x14ac:dyDescent="0.2">
      <c r="I176">
        <f t="shared" si="8"/>
        <v>865</v>
      </c>
      <c r="J176">
        <f>SQRT(2*I176/airplane!$B$31/airplane!$B$33)</f>
        <v>40.176245525781859</v>
      </c>
      <c r="K176">
        <f>J176/(airplane!$B$32*airplane!$B$10*airplane!$B$9*airplane!$B$12*SQRT(airplane!$B$31))</f>
        <v>8.4574333805920698</v>
      </c>
      <c r="M176">
        <f t="shared" si="9"/>
        <v>289.08299999999997</v>
      </c>
      <c r="N176">
        <f t="shared" si="10"/>
        <v>37.618663676873531</v>
      </c>
    </row>
    <row r="177" spans="9:14" x14ac:dyDescent="0.2">
      <c r="I177">
        <f t="shared" si="8"/>
        <v>870</v>
      </c>
      <c r="J177">
        <f>SQRT(2*I177/airplane!$B$31/airplane!$B$33)</f>
        <v>40.292194527405812</v>
      </c>
      <c r="K177">
        <f>J177/(airplane!$B$32*airplane!$B$10*airplane!$B$9*airplane!$B$12*SQRT(airplane!$B$31))</f>
        <v>8.4818416084876169</v>
      </c>
      <c r="M177">
        <f t="shared" si="9"/>
        <v>290.75400000000002</v>
      </c>
      <c r="N177">
        <f t="shared" si="10"/>
        <v>37.727231474552923</v>
      </c>
    </row>
    <row r="178" spans="9:14" x14ac:dyDescent="0.2">
      <c r="I178">
        <f t="shared" si="8"/>
        <v>875</v>
      </c>
      <c r="J178">
        <f>SQRT(2*I178/airplane!$B$31/airplane!$B$33)</f>
        <v>40.407810818215758</v>
      </c>
      <c r="K178">
        <f>J178/(airplane!$B$32*airplane!$B$10*airplane!$B$9*airplane!$B$12*SQRT(airplane!$B$31))</f>
        <v>8.506179797993374</v>
      </c>
      <c r="M178">
        <f t="shared" si="9"/>
        <v>292.42500000000001</v>
      </c>
      <c r="N178">
        <f t="shared" si="10"/>
        <v>37.83548774147453</v>
      </c>
    </row>
    <row r="179" spans="9:14" x14ac:dyDescent="0.2">
      <c r="I179">
        <f t="shared" si="8"/>
        <v>880</v>
      </c>
      <c r="J179">
        <f>SQRT(2*I179/airplane!$B$31/airplane!$B$33)</f>
        <v>40.523097245979592</v>
      </c>
      <c r="K179">
        <f>J179/(airplane!$B$32*airplane!$B$10*airplane!$B$9*airplane!$B$12*SQRT(airplane!$B$31))</f>
        <v>8.5304485485881347</v>
      </c>
      <c r="M179">
        <f t="shared" si="9"/>
        <v>294.096</v>
      </c>
      <c r="N179">
        <f t="shared" si="10"/>
        <v>37.943435144120023</v>
      </c>
    </row>
    <row r="180" spans="9:14" x14ac:dyDescent="0.2">
      <c r="I180">
        <f t="shared" si="8"/>
        <v>885</v>
      </c>
      <c r="J180">
        <f>SQRT(2*I180/airplane!$B$31/airplane!$B$33)</f>
        <v>40.638056618070742</v>
      </c>
      <c r="K180">
        <f>J180/(airplane!$B$32*airplane!$B$10*airplane!$B$9*airplane!$B$12*SQRT(airplane!$B$31))</f>
        <v>8.5546484512473224</v>
      </c>
      <c r="M180">
        <f t="shared" si="9"/>
        <v>295.767</v>
      </c>
      <c r="N180">
        <f t="shared" si="10"/>
        <v>38.051076311148094</v>
      </c>
    </row>
    <row r="181" spans="9:14" x14ac:dyDescent="0.2">
      <c r="I181">
        <f t="shared" si="8"/>
        <v>890</v>
      </c>
      <c r="J181">
        <f>SQRT(2*I181/airplane!$B$31/airplane!$B$33)</f>
        <v>40.752691702265835</v>
      </c>
      <c r="K181">
        <f>J181/(airplane!$B$32*airplane!$B$10*airplane!$B$9*airplane!$B$12*SQRT(airplane!$B$31))</f>
        <v>8.5787800886109089</v>
      </c>
      <c r="M181">
        <f t="shared" si="9"/>
        <v>297.43799999999999</v>
      </c>
      <c r="N181">
        <f t="shared" si="10"/>
        <v>38.158413834141328</v>
      </c>
    </row>
    <row r="182" spans="9:14" x14ac:dyDescent="0.2">
      <c r="I182">
        <f t="shared" si="8"/>
        <v>895</v>
      </c>
      <c r="J182">
        <f>SQRT(2*I182/airplane!$B$31/airplane!$B$33)</f>
        <v>40.867005227522249</v>
      </c>
      <c r="K182">
        <f>J182/(airplane!$B$32*airplane!$B$10*airplane!$B$9*airplane!$B$12*SQRT(airplane!$B$31))</f>
        <v>8.6028440351470863</v>
      </c>
      <c r="M182">
        <f t="shared" si="9"/>
        <v>299.10899999999998</v>
      </c>
      <c r="N182">
        <f t="shared" si="10"/>
        <v>38.265450268334241</v>
      </c>
    </row>
    <row r="183" spans="9:14" x14ac:dyDescent="0.2">
      <c r="I183">
        <f t="shared" si="8"/>
        <v>900</v>
      </c>
      <c r="J183">
        <f>SQRT(2*I183/airplane!$B$31/airplane!$B$33)</f>
        <v>40.980999884736036</v>
      </c>
      <c r="K183">
        <f>J183/(airplane!$B$32*airplane!$B$10*airplane!$B$9*airplane!$B$12*SQRT(airplane!$B$31))</f>
        <v>8.6268408573118247</v>
      </c>
      <c r="M183">
        <f t="shared" si="9"/>
        <v>300.77999999999997</v>
      </c>
      <c r="N183">
        <f t="shared" si="10"/>
        <v>38.372188133323</v>
      </c>
    </row>
    <row r="184" spans="9:14" x14ac:dyDescent="0.2">
      <c r="I184">
        <f t="shared" si="8"/>
        <v>905</v>
      </c>
      <c r="J184">
        <f>SQRT(2*I184/airplane!$B$31/airplane!$B$33)</f>
        <v>41.094678327481034</v>
      </c>
      <c r="K184">
        <f>J184/(airplane!$B$32*airplane!$B$10*airplane!$B$9*airplane!$B$12*SQRT(airplane!$B$31))</f>
        <v>8.6507711137044563</v>
      </c>
      <c r="M184">
        <f t="shared" si="9"/>
        <v>302.45100000000002</v>
      </c>
      <c r="N184">
        <f t="shared" si="10"/>
        <v>38.478629913757423</v>
      </c>
    </row>
    <row r="185" spans="9:14" x14ac:dyDescent="0.2">
      <c r="I185">
        <f t="shared" si="8"/>
        <v>910</v>
      </c>
      <c r="J185">
        <f>SQRT(2*I185/airplane!$B$31/airplane!$B$33)</f>
        <v>41.20804317272956</v>
      </c>
      <c r="K185">
        <f>J185/(airplane!$B$32*airplane!$B$10*airplane!$B$9*airplane!$B$12*SQRT(airplane!$B$31))</f>
        <v>8.6746353552193902</v>
      </c>
      <c r="M185">
        <f t="shared" si="9"/>
        <v>304.12200000000001</v>
      </c>
      <c r="N185">
        <f t="shared" si="10"/>
        <v>38.58477806001585</v>
      </c>
    </row>
    <row r="186" spans="9:14" x14ac:dyDescent="0.2">
      <c r="I186">
        <f t="shared" si="8"/>
        <v>915</v>
      </c>
      <c r="J186">
        <f>SQRT(2*I186/airplane!$B$31/airplane!$B$33)</f>
        <v>41.321097001555358</v>
      </c>
      <c r="K186">
        <f>J186/(airplane!$B$32*airplane!$B$10*airplane!$B$9*airplane!$B$12*SQRT(airplane!$B$31))</f>
        <v>8.6984341251940869</v>
      </c>
      <c r="M186">
        <f t="shared" si="9"/>
        <v>305.79300000000001</v>
      </c>
      <c r="N186">
        <f t="shared" si="10"/>
        <v>38.690634988863302</v>
      </c>
    </row>
    <row r="187" spans="9:14" x14ac:dyDescent="0.2">
      <c r="I187">
        <f t="shared" si="8"/>
        <v>920</v>
      </c>
      <c r="J187">
        <f>SQRT(2*I187/airplane!$B$31/airplane!$B$33)</f>
        <v>41.433842359819238</v>
      </c>
      <c r="K187">
        <f>J187/(airplane!$B$32*airplane!$B$10*airplane!$B$9*airplane!$B$12*SQRT(airplane!$B$31))</f>
        <v>8.7221679595533939</v>
      </c>
      <c r="M187">
        <f t="shared" si="9"/>
        <v>307.464</v>
      </c>
      <c r="N187">
        <f t="shared" si="10"/>
        <v>38.796203084093499</v>
      </c>
    </row>
    <row r="188" spans="9:14" x14ac:dyDescent="0.2">
      <c r="I188">
        <f t="shared" si="8"/>
        <v>925</v>
      </c>
      <c r="J188">
        <f>SQRT(2*I188/airplane!$B$31/airplane!$B$33)</f>
        <v>41.546281758838006</v>
      </c>
      <c r="K188">
        <f>J188/(airplane!$B$32*airplane!$B$10*airplane!$B$9*airplane!$B$12*SQRT(airplane!$B$31))</f>
        <v>8.7458373869503561</v>
      </c>
      <c r="M188">
        <f t="shared" si="9"/>
        <v>309.13499999999999</v>
      </c>
      <c r="N188">
        <f t="shared" si="10"/>
        <v>38.90148469715519</v>
      </c>
    </row>
    <row r="189" spans="9:14" x14ac:dyDescent="0.2">
      <c r="I189">
        <f t="shared" si="8"/>
        <v>930</v>
      </c>
      <c r="J189">
        <f>SQRT(2*I189/airplane!$B$31/airplane!$B$33)</f>
        <v>41.658417676037097</v>
      </c>
      <c r="K189">
        <f>J189/(airplane!$B$32*airplane!$B$10*airplane!$B$9*airplane!$B$12*SQRT(airplane!$B$31))</f>
        <v>8.7694429289036062</v>
      </c>
      <c r="M189">
        <f t="shared" si="9"/>
        <v>310.80599999999998</v>
      </c>
      <c r="N189">
        <f t="shared" si="10"/>
        <v>39.006482147763244</v>
      </c>
    </row>
    <row r="190" spans="9:14" x14ac:dyDescent="0.2">
      <c r="I190">
        <f t="shared" si="8"/>
        <v>935</v>
      </c>
      <c r="J190">
        <f>SQRT(2*I190/airplane!$B$31/airplane!$B$33)</f>
        <v>41.770252555587497</v>
      </c>
      <c r="K190">
        <f>J190/(airplane!$B$32*airplane!$B$10*airplane!$B$9*airplane!$B$12*SQRT(airplane!$B$31))</f>
        <v>8.7929850999314354</v>
      </c>
      <c r="M190">
        <f t="shared" si="9"/>
        <v>312.47699999999998</v>
      </c>
      <c r="N190">
        <f t="shared" si="10"/>
        <v>39.111197724495028</v>
      </c>
    </row>
    <row r="191" spans="9:14" x14ac:dyDescent="0.2">
      <c r="I191">
        <f t="shared" si="8"/>
        <v>940</v>
      </c>
      <c r="J191">
        <f>SQRT(2*I191/airplane!$B$31/airplane!$B$33)</f>
        <v>41.881788809027341</v>
      </c>
      <c r="K191">
        <f>J191/(airplane!$B$32*airplane!$B$10*airplane!$B$9*airplane!$B$12*SQRT(airplane!$B$31))</f>
        <v>8.8164644076826537</v>
      </c>
      <c r="M191">
        <f t="shared" si="9"/>
        <v>314.14800000000002</v>
      </c>
      <c r="N191">
        <f t="shared" si="10"/>
        <v>39.215633685372445</v>
      </c>
    </row>
    <row r="192" spans="9:14" x14ac:dyDescent="0.2">
      <c r="I192">
        <f t="shared" si="8"/>
        <v>945</v>
      </c>
      <c r="J192">
        <f>SQRT(2*I192/airplane!$B$31/airplane!$B$33)</f>
        <v>41.993028815868612</v>
      </c>
      <c r="K192">
        <f>J192/(airplane!$B$32*airplane!$B$10*airplane!$B$9*airplane!$B$12*SQRT(airplane!$B$31))</f>
        <v>8.8398813530642961</v>
      </c>
      <c r="M192">
        <f t="shared" si="9"/>
        <v>315.81900000000002</v>
      </c>
      <c r="N192">
        <f t="shared" si="10"/>
        <v>39.319792258429992</v>
      </c>
    </row>
    <row r="193" spans="9:14" x14ac:dyDescent="0.2">
      <c r="I193">
        <f t="shared" si="8"/>
        <v>950</v>
      </c>
      <c r="J193">
        <f>SQRT(2*I193/airplane!$B$31/airplane!$B$33)</f>
        <v>42.103974924189473</v>
      </c>
      <c r="K193">
        <f>J193/(airplane!$B$32*airplane!$B$10*airplane!$B$9*airplane!$B$12*SQRT(airplane!$B$31))</f>
        <v>8.8632364303663174</v>
      </c>
      <c r="M193">
        <f t="shared" si="9"/>
        <v>317.49</v>
      </c>
      <c r="N193">
        <f t="shared" si="10"/>
        <v>39.42367564226938</v>
      </c>
    </row>
    <row r="194" spans="9:14" x14ac:dyDescent="0.2">
      <c r="I194">
        <f t="shared" si="8"/>
        <v>955</v>
      </c>
      <c r="J194">
        <f>SQRT(2*I194/airplane!$B$31/airplane!$B$33)</f>
        <v>42.214629451212531</v>
      </c>
      <c r="K194">
        <f>J194/(airplane!$B$32*airplane!$B$10*airplane!$B$9*airplane!$B$12*SQRT(airplane!$B$31))</f>
        <v>8.8865301273833239</v>
      </c>
      <c r="M194">
        <f t="shared" si="9"/>
        <v>319.161</v>
      </c>
      <c r="N194">
        <f t="shared" si="10"/>
        <v>39.527286006601031</v>
      </c>
    </row>
    <row r="195" spans="9:14" x14ac:dyDescent="0.2">
      <c r="I195">
        <f t="shared" si="8"/>
        <v>960</v>
      </c>
      <c r="J195">
        <f>SQRT(2*I195/airplane!$B$31/airplane!$B$33)</f>
        <v>42.324994683869534</v>
      </c>
      <c r="K195">
        <f>J195/(airplane!$B$32*airplane!$B$10*airplane!$B$9*airplane!$B$12*SQRT(airplane!$B$31))</f>
        <v>8.9097629255334443</v>
      </c>
      <c r="M195">
        <f t="shared" si="9"/>
        <v>320.83199999999999</v>
      </c>
      <c r="N195">
        <f t="shared" si="10"/>
        <v>39.630625492772765</v>
      </c>
    </row>
    <row r="196" spans="9:14" x14ac:dyDescent="0.2">
      <c r="I196">
        <f t="shared" si="8"/>
        <v>965</v>
      </c>
      <c r="J196">
        <f>SQRT(2*I196/airplane!$B$31/airplane!$B$33)</f>
        <v>42.435072879352852</v>
      </c>
      <c r="K196">
        <f>J196/(airplane!$B$32*airplane!$B$10*airplane!$B$9*airplane!$B$12*SQRT(airplane!$B$31))</f>
        <v>8.9329352999744192</v>
      </c>
      <c r="M196">
        <f t="shared" si="9"/>
        <v>322.50299999999999</v>
      </c>
      <c r="N196">
        <f t="shared" si="10"/>
        <v>39.733696214286219</v>
      </c>
    </row>
    <row r="197" spans="9:14" x14ac:dyDescent="0.2">
      <c r="I197">
        <f t="shared" ref="I197:I260" si="11">I196+5</f>
        <v>970</v>
      </c>
      <c r="J197">
        <f>SQRT(2*I197/airplane!$B$31/airplane!$B$33)</f>
        <v>42.5448662656541</v>
      </c>
      <c r="K197">
        <f>J197/(airplane!$B$32*airplane!$B$10*airplane!$B$9*airplane!$B$12*SQRT(airplane!$B$31))</f>
        <v>8.9560477197169881</v>
      </c>
      <c r="M197">
        <f t="shared" si="9"/>
        <v>324.17399999999998</v>
      </c>
      <c r="N197">
        <f t="shared" si="10"/>
        <v>39.836500257301168</v>
      </c>
    </row>
    <row r="198" spans="9:14" x14ac:dyDescent="0.2">
      <c r="I198">
        <f t="shared" si="11"/>
        <v>975</v>
      </c>
      <c r="J198">
        <f>SQRT(2*I198/airplane!$B$31/airplane!$B$33)</f>
        <v>42.654377042090253</v>
      </c>
      <c r="K198">
        <f>J198/(airplane!$B$32*airplane!$B$10*airplane!$B$9*airplane!$B$12*SQRT(airplane!$B$31))</f>
        <v>8.9791006477356436</v>
      </c>
      <c r="M198">
        <f t="shared" si="9"/>
        <v>325.84499999999997</v>
      </c>
      <c r="N198">
        <f t="shared" si="10"/>
        <v>39.939039681128143</v>
      </c>
    </row>
    <row r="199" spans="9:14" x14ac:dyDescent="0.2">
      <c r="I199">
        <f t="shared" si="11"/>
        <v>980</v>
      </c>
      <c r="J199">
        <f>SQRT(2*I199/airplane!$B$31/airplane!$B$33)</f>
        <v>42.763607379817721</v>
      </c>
      <c r="K199">
        <f>J199/(airplane!$B$32*airplane!$B$10*airplane!$B$9*airplane!$B$12*SQRT(airplane!$B$31))</f>
        <v>9.0020945410768416</v>
      </c>
      <c r="M199">
        <f t="shared" si="9"/>
        <v>327.51600000000002</v>
      </c>
      <c r="N199">
        <f t="shared" si="10"/>
        <v>40.041316518709792</v>
      </c>
    </row>
    <row r="200" spans="9:14" x14ac:dyDescent="0.2">
      <c r="I200">
        <f t="shared" si="11"/>
        <v>985</v>
      </c>
      <c r="J200">
        <f>SQRT(2*I200/airplane!$B$31/airplane!$B$33)</f>
        <v>42.872559422334525</v>
      </c>
      <c r="K200">
        <f>J200/(airplane!$B$32*airplane!$B$10*airplane!$B$9*airplane!$B$12*SQRT(airplane!$B$31))</f>
        <v>9.0250298509647209</v>
      </c>
      <c r="M200">
        <f t="shared" si="9"/>
        <v>329.18700000000001</v>
      </c>
      <c r="N200">
        <f t="shared" si="10"/>
        <v>40.143332777091082</v>
      </c>
    </row>
    <row r="201" spans="9:14" x14ac:dyDescent="0.2">
      <c r="I201">
        <f t="shared" si="11"/>
        <v>990</v>
      </c>
      <c r="J201">
        <f>SQRT(2*I201/airplane!$B$31/airplane!$B$33)</f>
        <v>42.981235285971117</v>
      </c>
      <c r="K201">
        <f>J201/(airplane!$B$32*airplane!$B$10*airplane!$B$9*airplane!$B$12*SQRT(airplane!$B$31))</f>
        <v>9.0479070229044183</v>
      </c>
      <c r="M201">
        <f t="shared" si="9"/>
        <v>330.858</v>
      </c>
      <c r="N201">
        <f t="shared" si="10"/>
        <v>40.245090437878858</v>
      </c>
    </row>
    <row r="202" spans="9:14" x14ac:dyDescent="0.2">
      <c r="I202">
        <f t="shared" si="11"/>
        <v>995</v>
      </c>
      <c r="J202">
        <f>SQRT(2*I202/airplane!$B$31/airplane!$B$33)</f>
        <v>43.089637060370009</v>
      </c>
      <c r="K202">
        <f>J202/(airplane!$B$32*airplane!$B$10*airplane!$B$9*airplane!$B$12*SQRT(airplane!$B$31))</f>
        <v>9.0707264967830383</v>
      </c>
      <c r="M202">
        <f t="shared" si="9"/>
        <v>332.529</v>
      </c>
      <c r="N202">
        <f t="shared" si="10"/>
        <v>40.346591457690955</v>
      </c>
    </row>
    <row r="203" spans="9:14" x14ac:dyDescent="0.2">
      <c r="I203">
        <f t="shared" si="11"/>
        <v>1000</v>
      </c>
      <c r="J203">
        <f>SQRT(2*I203/airplane!$B$31/airplane!$B$33)</f>
        <v>43.197766808954569</v>
      </c>
      <c r="K203">
        <f>J203/(airplane!$B$32*airplane!$B$10*airplane!$B$9*airplane!$B$12*SQRT(airplane!$B$31))</f>
        <v>9.0934887069683388</v>
      </c>
      <c r="M203">
        <f t="shared" si="9"/>
        <v>334.2</v>
      </c>
      <c r="N203">
        <f t="shared" si="10"/>
        <v>40.447837768595171</v>
      </c>
    </row>
    <row r="204" spans="9:14" x14ac:dyDescent="0.2">
      <c r="I204">
        <f t="shared" si="11"/>
        <v>1005</v>
      </c>
      <c r="J204">
        <f>SQRT(2*I204/airplane!$B$31/airplane!$B$33)</f>
        <v>43.305626569387272</v>
      </c>
      <c r="K204">
        <f>J204/(airplane!$B$32*airplane!$B$10*airplane!$B$9*airplane!$B$12*SQRT(airplane!$B$31))</f>
        <v>9.1161940824051939</v>
      </c>
      <c r="M204">
        <f t="shared" si="9"/>
        <v>335.87099999999998</v>
      </c>
      <c r="N204">
        <f t="shared" si="10"/>
        <v>40.548831278538309</v>
      </c>
    </row>
    <row r="205" spans="9:14" x14ac:dyDescent="0.2">
      <c r="I205">
        <f t="shared" si="11"/>
        <v>1010</v>
      </c>
      <c r="J205">
        <f>SQRT(2*I205/airplane!$B$31/airplane!$B$33)</f>
        <v>43.413218354017765</v>
      </c>
      <c r="K205">
        <f>J205/(airplane!$B$32*airplane!$B$10*airplane!$B$9*airplane!$B$12*SQRT(airplane!$B$31))</f>
        <v>9.1388430467099226</v>
      </c>
      <c r="M205">
        <f t="shared" si="9"/>
        <v>337.54199999999997</v>
      </c>
      <c r="N205">
        <f t="shared" si="10"/>
        <v>40.649573871765739</v>
      </c>
    </row>
    <row r="206" spans="9:14" x14ac:dyDescent="0.2">
      <c r="I206">
        <f t="shared" si="11"/>
        <v>1015</v>
      </c>
      <c r="J206">
        <f>SQRT(2*I206/airplane!$B$31/airplane!$B$33)</f>
        <v>43.52054415032088</v>
      </c>
      <c r="K206">
        <f>J206/(airplane!$B$32*airplane!$B$10*airplane!$B$9*airplane!$B$12*SQRT(airplane!$B$31))</f>
        <v>9.1614360182624814</v>
      </c>
      <c r="M206">
        <f t="shared" si="9"/>
        <v>339.21300000000002</v>
      </c>
      <c r="N206">
        <f t="shared" si="10"/>
        <v>40.750067409231519</v>
      </c>
    </row>
    <row r="207" spans="9:14" x14ac:dyDescent="0.2">
      <c r="I207">
        <f t="shared" si="11"/>
        <v>1020</v>
      </c>
      <c r="J207">
        <f>SQRT(2*I207/airplane!$B$31/airplane!$B$33)</f>
        <v>43.627605921325006</v>
      </c>
      <c r="K207">
        <f>J207/(airplane!$B$32*airplane!$B$10*airplane!$B$9*airplane!$B$12*SQRT(airplane!$B$31))</f>
        <v>9.1839734102966499</v>
      </c>
      <c r="M207">
        <f t="shared" si="9"/>
        <v>340.88400000000001</v>
      </c>
      <c r="N207">
        <f t="shared" si="10"/>
        <v>40.850313728999502</v>
      </c>
    </row>
    <row r="208" spans="9:14" x14ac:dyDescent="0.2">
      <c r="I208">
        <f t="shared" si="11"/>
        <v>1025</v>
      </c>
      <c r="J208">
        <f>SQRT(2*I208/airplane!$B$31/airplane!$B$33)</f>
        <v>43.734405606031018</v>
      </c>
      <c r="K208">
        <f>J208/(airplane!$B$32*airplane!$B$10*airplane!$B$9*airplane!$B$12*SQRT(airplane!$B$31))</f>
        <v>9.20645563098822</v>
      </c>
      <c r="M208">
        <f t="shared" si="9"/>
        <v>342.55500000000001</v>
      </c>
      <c r="N208">
        <f t="shared" si="10"/>
        <v>40.950314646635604</v>
      </c>
    </row>
    <row r="209" spans="9:14" x14ac:dyDescent="0.2">
      <c r="I209">
        <f t="shared" si="11"/>
        <v>1030</v>
      </c>
      <c r="J209">
        <f>SQRT(2*I209/airplane!$B$31/airplane!$B$33)</f>
        <v>43.840945119821967</v>
      </c>
      <c r="K209">
        <f>J209/(airplane!$B$32*airplane!$B$10*airplane!$B$9*airplane!$B$12*SQRT(airplane!$B$31))</f>
        <v>9.2288830835412323</v>
      </c>
      <c r="M209">
        <f t="shared" si="9"/>
        <v>344.226</v>
      </c>
      <c r="N209">
        <f t="shared" si="10"/>
        <v>41.050071955591406</v>
      </c>
    </row>
    <row r="210" spans="9:14" x14ac:dyDescent="0.2">
      <c r="I210">
        <f t="shared" si="11"/>
        <v>1035</v>
      </c>
      <c r="J210">
        <f>SQRT(2*I210/airplane!$B$31/airplane!$B$33)</f>
        <v>43.947226354863915</v>
      </c>
      <c r="K210">
        <f>J210/(airplane!$B$32*airplane!$B$10*airplane!$B$9*airplane!$B$12*SQRT(airplane!$B$31))</f>
        <v>9.2512561662723574</v>
      </c>
      <c r="M210">
        <f t="shared" si="9"/>
        <v>345.89699999999999</v>
      </c>
      <c r="N210">
        <f t="shared" si="10"/>
        <v>41.149587427579448</v>
      </c>
    </row>
    <row r="211" spans="9:14" x14ac:dyDescent="0.2">
      <c r="I211">
        <f t="shared" si="11"/>
        <v>1040</v>
      </c>
      <c r="J211">
        <f>SQRT(2*I211/airplane!$B$31/airplane!$B$33)</f>
        <v>44.053251180498009</v>
      </c>
      <c r="K211">
        <f>J211/(airplane!$B$32*airplane!$B$10*airplane!$B$9*airplane!$B$12*SQRT(airplane!$B$31))</f>
        <v>9.2735752726934351</v>
      </c>
      <c r="M211">
        <f t="shared" si="9"/>
        <v>347.56799999999998</v>
      </c>
      <c r="N211">
        <f t="shared" si="10"/>
        <v>41.248862812940402</v>
      </c>
    </row>
    <row r="212" spans="9:14" x14ac:dyDescent="0.2">
      <c r="I212">
        <f t="shared" si="11"/>
        <v>1045</v>
      </c>
      <c r="J212">
        <f>SQRT(2*I212/airplane!$B$31/airplane!$B$33)</f>
        <v>44.159021443624106</v>
      </c>
      <c r="K212">
        <f>J212/(airplane!$B$32*airplane!$B$10*airplane!$B$9*airplane!$B$12*SQRT(airplane!$B$31))</f>
        <v>9.295840791592223</v>
      </c>
      <c r="M212">
        <f t="shared" si="9"/>
        <v>349.23899999999998</v>
      </c>
      <c r="N212">
        <f t="shared" si="10"/>
        <v>41.34789984100221</v>
      </c>
    </row>
    <row r="213" spans="9:14" x14ac:dyDescent="0.2">
      <c r="I213">
        <f t="shared" si="11"/>
        <v>1050</v>
      </c>
      <c r="J213">
        <f>SQRT(2*I213/airplane!$B$31/airplane!$B$33)</f>
        <v>44.264538969076114</v>
      </c>
      <c r="K213">
        <f>J213/(airplane!$B$32*airplane!$B$10*airplane!$B$9*airplane!$B$12*SQRT(airplane!$B$31))</f>
        <v>9.3180531071114174</v>
      </c>
      <c r="M213">
        <f t="shared" si="9"/>
        <v>350.91</v>
      </c>
      <c r="N213">
        <f t="shared" si="10"/>
        <v>41.446700220431588</v>
      </c>
    </row>
    <row r="214" spans="9:14" x14ac:dyDescent="0.2">
      <c r="I214">
        <f t="shared" si="11"/>
        <v>1055</v>
      </c>
      <c r="J214">
        <f>SQRT(2*I214/airplane!$B$31/airplane!$B$33)</f>
        <v>44.369805559989345</v>
      </c>
      <c r="K214">
        <f>J214/(airplane!$B$32*airplane!$B$10*airplane!$B$9*airplane!$B$12*SQRT(airplane!$B$31))</f>
        <v>9.3402125988259765</v>
      </c>
      <c r="M214">
        <f t="shared" si="9"/>
        <v>352.58100000000002</v>
      </c>
      <c r="N214">
        <f t="shared" si="10"/>
        <v>41.545265639577948</v>
      </c>
    </row>
    <row r="215" spans="9:14" x14ac:dyDescent="0.2">
      <c r="I215">
        <f t="shared" si="11"/>
        <v>1060</v>
      </c>
      <c r="J215">
        <f>SQRT(2*I215/airplane!$B$31/airplane!$B$33)</f>
        <v>44.474822998160043</v>
      </c>
      <c r="K215">
        <f>J215/(airplane!$B$32*airplane!$B$10*airplane!$B$9*airplane!$B$12*SQRT(airplane!$B$31))</f>
        <v>9.3623196418188108</v>
      </c>
      <c r="M215">
        <f t="shared" si="9"/>
        <v>354.25200000000001</v>
      </c>
      <c r="N215">
        <f t="shared" si="10"/>
        <v>41.643597766810075</v>
      </c>
    </row>
    <row r="216" spans="9:14" x14ac:dyDescent="0.2">
      <c r="I216">
        <f t="shared" si="11"/>
        <v>1065</v>
      </c>
      <c r="J216">
        <f>SQRT(2*I216/airplane!$B$31/airplane!$B$33)</f>
        <v>44.579593044397228</v>
      </c>
      <c r="K216">
        <f>J216/(airplane!$B$32*airplane!$B$10*airplane!$B$9*airplane!$B$12*SQRT(airplane!$B$31))</f>
        <v>9.384374606754843</v>
      </c>
      <c r="M216">
        <f t="shared" si="9"/>
        <v>355.923</v>
      </c>
      <c r="N216">
        <f t="shared" si="10"/>
        <v>41.741698250845545</v>
      </c>
    </row>
    <row r="217" spans="9:14" x14ac:dyDescent="0.2">
      <c r="I217">
        <f t="shared" si="11"/>
        <v>1070</v>
      </c>
      <c r="J217">
        <f>SQRT(2*I217/airplane!$B$31/airplane!$B$33)</f>
        <v>44.684117438867183</v>
      </c>
      <c r="K217">
        <f>J217/(airplane!$B$32*airplane!$B$10*airplane!$B$9*airplane!$B$12*SQRT(airplane!$B$31))</f>
        <v>9.4063778599535297</v>
      </c>
      <c r="M217">
        <f t="shared" si="9"/>
        <v>357.59399999999999</v>
      </c>
      <c r="N217">
        <f t="shared" si="10"/>
        <v>41.839568721073306</v>
      </c>
    </row>
    <row r="218" spans="9:14" x14ac:dyDescent="0.2">
      <c r="I218">
        <f t="shared" si="11"/>
        <v>1075</v>
      </c>
      <c r="J218">
        <f>SQRT(2*I218/airplane!$B$31/airplane!$B$33)</f>
        <v>44.788397901430656</v>
      </c>
      <c r="K218">
        <f>J218/(airplane!$B$32*airplane!$B$10*airplane!$B$9*airplane!$B$12*SQRT(airplane!$B$31))</f>
        <v>9.4283297634598426</v>
      </c>
      <c r="M218">
        <f t="shared" si="9"/>
        <v>359.26499999999999</v>
      </c>
      <c r="N218">
        <f t="shared" si="10"/>
        <v>41.937210787869383</v>
      </c>
    </row>
    <row r="219" spans="9:14" x14ac:dyDescent="0.2">
      <c r="I219">
        <f t="shared" si="11"/>
        <v>1080</v>
      </c>
      <c r="J219">
        <f>SQRT(2*I219/airplane!$B$31/airplane!$B$33)</f>
        <v>44.892436131973078</v>
      </c>
      <c r="K219">
        <f>J219/(airplane!$B$32*airplane!$B$10*airplane!$B$9*airplane!$B$12*SQRT(airplane!$B$31))</f>
        <v>9.4502306751137848</v>
      </c>
      <c r="M219">
        <f t="shared" si="9"/>
        <v>360.93599999999998</v>
      </c>
      <c r="N219">
        <f t="shared" si="10"/>
        <v>42.034626042906119</v>
      </c>
    </row>
    <row r="220" spans="9:14" x14ac:dyDescent="0.2">
      <c r="I220">
        <f t="shared" si="11"/>
        <v>1085</v>
      </c>
      <c r="J220">
        <f>SQRT(2*I220/airplane!$B$31/airplane!$B$33)</f>
        <v>44.99623381072783</v>
      </c>
      <c r="K220">
        <f>J220/(airplane!$B$32*airplane!$B$10*airplane!$B$9*airplane!$B$12*SQRT(airplane!$B$31))</f>
        <v>9.4720809486184372</v>
      </c>
      <c r="M220">
        <f t="shared" si="9"/>
        <v>362.60699999999997</v>
      </c>
      <c r="N220">
        <f t="shared" si="10"/>
        <v>42.131816059454813</v>
      </c>
    </row>
    <row r="221" spans="9:14" x14ac:dyDescent="0.2">
      <c r="I221">
        <f t="shared" si="11"/>
        <v>1090</v>
      </c>
      <c r="J221">
        <f>SQRT(2*I221/airplane!$B$31/airplane!$B$33)</f>
        <v>45.099792598592849</v>
      </c>
      <c r="K221">
        <f>J221/(airplane!$B$32*airplane!$B$10*airplane!$B$9*airplane!$B$12*SQRT(airplane!$B$31))</f>
        <v>9.4938809336066114</v>
      </c>
      <c r="M221">
        <f t="shared" si="9"/>
        <v>364.27800000000002</v>
      </c>
      <c r="N221">
        <f t="shared" si="10"/>
        <v>42.228782392682213</v>
      </c>
    </row>
    <row r="222" spans="9:14" x14ac:dyDescent="0.2">
      <c r="I222">
        <f t="shared" si="11"/>
        <v>1095</v>
      </c>
      <c r="J222">
        <f>SQRT(2*I222/airplane!$B$31/airplane!$B$33)</f>
        <v>45.203114137440735</v>
      </c>
      <c r="K222">
        <f>J222/(airplane!$B$32*airplane!$B$10*airplane!$B$9*airplane!$B$12*SQRT(airplane!$B$31))</f>
        <v>9.5156309757061273</v>
      </c>
      <c r="M222">
        <f t="shared" si="9"/>
        <v>365.94900000000001</v>
      </c>
      <c r="N222">
        <f t="shared" si="10"/>
        <v>42.325526579940856</v>
      </c>
    </row>
    <row r="223" spans="9:14" x14ac:dyDescent="0.2">
      <c r="I223">
        <f t="shared" si="11"/>
        <v>1100</v>
      </c>
      <c r="J223">
        <f>SQRT(2*I223/airplane!$B$31/airplane!$B$33)</f>
        <v>45.30620005042244</v>
      </c>
      <c r="K223">
        <f>J223/(airplane!$B$32*airplane!$B$10*airplane!$B$9*airplane!$B$12*SQRT(airplane!$B$31))</f>
        <v>9.5373314166037417</v>
      </c>
      <c r="M223">
        <f t="shared" si="9"/>
        <v>367.62</v>
      </c>
      <c r="N223">
        <f t="shared" si="10"/>
        <v>42.422050141053447</v>
      </c>
    </row>
    <row r="224" spans="9:14" x14ac:dyDescent="0.2">
      <c r="I224">
        <f t="shared" si="11"/>
        <v>1105</v>
      </c>
      <c r="J224">
        <f>SQRT(2*I224/airplane!$B$31/airplane!$B$33)</f>
        <v>45.409051942264803</v>
      </c>
      <c r="K224">
        <f>J224/(airplane!$B$32*airplane!$B$10*airplane!$B$9*airplane!$B$12*SQRT(airplane!$B$31))</f>
        <v>9.5589825941077837</v>
      </c>
      <c r="M224">
        <f t="shared" si="9"/>
        <v>369.291</v>
      </c>
      <c r="N224">
        <f t="shared" si="10"/>
        <v>42.518354578591428</v>
      </c>
    </row>
    <row r="225" spans="9:14" x14ac:dyDescent="0.2">
      <c r="I225">
        <f t="shared" si="11"/>
        <v>1110</v>
      </c>
      <c r="J225">
        <f>SQRT(2*I225/airplane!$B$31/airplane!$B$33)</f>
        <v>45.511671399561962</v>
      </c>
      <c r="K225">
        <f>J225/(airplane!$B$32*airplane!$B$10*airplane!$B$9*airplane!$B$12*SQRT(airplane!$B$31))</f>
        <v>9.580584842209495</v>
      </c>
      <c r="M225">
        <f t="shared" si="9"/>
        <v>370.96199999999999</v>
      </c>
      <c r="N225">
        <f t="shared" si="10"/>
        <v>42.614441378147838</v>
      </c>
    </row>
    <row r="226" spans="9:14" x14ac:dyDescent="0.2">
      <c r="I226">
        <f t="shared" si="11"/>
        <v>1115</v>
      </c>
      <c r="J226">
        <f>SQRT(2*I226/airplane!$B$31/airplane!$B$33)</f>
        <v>45.614059991060984</v>
      </c>
      <c r="K226">
        <f>J226/(airplane!$B$32*airplane!$B$10*airplane!$B$9*airplane!$B$12*SQRT(airplane!$B$31))</f>
        <v>9.6021384911431653</v>
      </c>
      <c r="M226">
        <f t="shared" si="9"/>
        <v>372.63299999999998</v>
      </c>
      <c r="N226">
        <f t="shared" si="10"/>
        <v>42.710312008604802</v>
      </c>
    </row>
    <row r="227" spans="9:14" x14ac:dyDescent="0.2">
      <c r="I227">
        <f t="shared" si="11"/>
        <v>1120</v>
      </c>
      <c r="J227">
        <f>SQRT(2*I227/airplane!$B$31/airplane!$B$33)</f>
        <v>45.716219267941597</v>
      </c>
      <c r="K227">
        <f>J227/(airplane!$B$32*airplane!$B$10*airplane!$B$9*airplane!$B$12*SQRT(airplane!$B$31))</f>
        <v>9.6236438674450095</v>
      </c>
      <c r="M227">
        <f t="shared" si="9"/>
        <v>374.30399999999997</v>
      </c>
      <c r="N227">
        <f t="shared" si="10"/>
        <v>42.805967922395403</v>
      </c>
    </row>
    <row r="228" spans="9:14" x14ac:dyDescent="0.2">
      <c r="I228">
        <f t="shared" si="11"/>
        <v>1125</v>
      </c>
      <c r="J228">
        <f>SQRT(2*I228/airplane!$B$31/airplane!$B$33)</f>
        <v>45.818150764090419</v>
      </c>
      <c r="K228">
        <f>J228/(airplane!$B$32*airplane!$B$10*airplane!$B$9*airplane!$B$12*SQRT(airplane!$B$31))</f>
        <v>9.6451012940109031</v>
      </c>
      <c r="M228">
        <f t="shared" si="9"/>
        <v>375.97500000000002</v>
      </c>
      <c r="N228">
        <f t="shared" si="10"/>
        <v>42.901410555760499</v>
      </c>
    </row>
    <row r="229" spans="9:14" x14ac:dyDescent="0.2">
      <c r="I229">
        <f t="shared" si="11"/>
        <v>1130</v>
      </c>
      <c r="J229">
        <f>SQRT(2*I229/airplane!$B$31/airplane!$B$33)</f>
        <v>45.91985599636962</v>
      </c>
      <c r="K229">
        <f>J229/(airplane!$B$32*airplane!$B$10*airplane!$B$9*airplane!$B$12*SQRT(airplane!$B$31))</f>
        <v>9.6665110901529285</v>
      </c>
      <c r="M229">
        <f t="shared" si="9"/>
        <v>377.64600000000002</v>
      </c>
      <c r="N229">
        <f t="shared" si="10"/>
        <v>42.996641329000227</v>
      </c>
    </row>
    <row r="230" spans="9:14" x14ac:dyDescent="0.2">
      <c r="I230">
        <f t="shared" si="11"/>
        <v>1135</v>
      </c>
      <c r="J230">
        <f>SQRT(2*I230/airplane!$B$31/airplane!$B$33)</f>
        <v>46.021336464880363</v>
      </c>
      <c r="K230">
        <f>J230/(airplane!$B$32*airplane!$B$10*airplane!$B$9*airplane!$B$12*SQRT(airplane!$B$31))</f>
        <v>9.6878735716548441</v>
      </c>
      <c r="M230">
        <f t="shared" ref="M230:M266" si="12">I230*0.3342</f>
        <v>379.31700000000001</v>
      </c>
      <c r="N230">
        <f t="shared" ref="N230:N266" si="13">K230*4.448</f>
        <v>43.091661646720752</v>
      </c>
    </row>
    <row r="231" spans="9:14" x14ac:dyDescent="0.2">
      <c r="I231">
        <f t="shared" si="11"/>
        <v>1140</v>
      </c>
      <c r="J231">
        <f>SQRT(2*I231/airplane!$B$31/airplane!$B$33)</f>
        <v>46.122593653220882</v>
      </c>
      <c r="K231">
        <f>J231/(airplane!$B$32*airplane!$B$10*airplane!$B$9*airplane!$B$12*SQRT(airplane!$B$31))</f>
        <v>9.7091890508263976</v>
      </c>
      <c r="M231">
        <f t="shared" si="12"/>
        <v>380.988</v>
      </c>
      <c r="N231">
        <f t="shared" si="13"/>
        <v>43.18647289807582</v>
      </c>
    </row>
    <row r="232" spans="9:14" x14ac:dyDescent="0.2">
      <c r="I232">
        <f t="shared" si="11"/>
        <v>1145</v>
      </c>
      <c r="J232">
        <f>SQRT(2*I232/airplane!$B$31/airplane!$B$33)</f>
        <v>46.223629028739573</v>
      </c>
      <c r="K232">
        <f>J232/(airplane!$B$32*airplane!$B$10*airplane!$B$9*airplane!$B$12*SQRT(airplane!$B$31))</f>
        <v>9.7304578365566137</v>
      </c>
      <c r="M232">
        <f t="shared" si="12"/>
        <v>382.65899999999999</v>
      </c>
      <c r="N232">
        <f t="shared" si="13"/>
        <v>43.28107645700382</v>
      </c>
    </row>
    <row r="233" spans="9:14" x14ac:dyDescent="0.2">
      <c r="I233">
        <f t="shared" si="11"/>
        <v>1150</v>
      </c>
      <c r="J233">
        <f>SQRT(2*I233/airplane!$B$31/airplane!$B$33)</f>
        <v>46.324444042783064</v>
      </c>
      <c r="K233">
        <f>J233/(airplane!$B$32*airplane!$B$10*airplane!$B$9*airplane!$B$12*SQRT(airplane!$B$31))</f>
        <v>9.7516802343660132</v>
      </c>
      <c r="M233">
        <f t="shared" si="12"/>
        <v>384.33</v>
      </c>
      <c r="N233">
        <f t="shared" si="13"/>
        <v>43.375473682460033</v>
      </c>
    </row>
    <row r="234" spans="9:14" x14ac:dyDescent="0.2">
      <c r="I234">
        <f t="shared" si="11"/>
        <v>1155</v>
      </c>
      <c r="J234">
        <f>SQRT(2*I234/airplane!$B$31/airplane!$B$33)</f>
        <v>46.4250401309395</v>
      </c>
      <c r="K234">
        <f>J234/(airplane!$B$32*airplane!$B$10*airplane!$B$9*airplane!$B$12*SQRT(airplane!$B$31))</f>
        <v>9.7728565464578256</v>
      </c>
      <c r="M234">
        <f t="shared" si="12"/>
        <v>386.00099999999998</v>
      </c>
      <c r="N234">
        <f t="shared" si="13"/>
        <v>43.469665918644409</v>
      </c>
    </row>
    <row r="235" spans="9:14" x14ac:dyDescent="0.2">
      <c r="I235">
        <f t="shared" si="11"/>
        <v>1160</v>
      </c>
      <c r="J235">
        <f>SQRT(2*I235/airplane!$B$31/airplane!$B$33)</f>
        <v>46.525418713277013</v>
      </c>
      <c r="K235">
        <f>J235/(airplane!$B$32*airplane!$B$10*airplane!$B$9*airplane!$B$12*SQRT(airplane!$B$31))</f>
        <v>9.7939870717681856</v>
      </c>
      <c r="M235">
        <f t="shared" si="12"/>
        <v>387.67199999999997</v>
      </c>
      <c r="N235">
        <f t="shared" si="13"/>
        <v>43.563654495224895</v>
      </c>
    </row>
    <row r="236" spans="9:14" x14ac:dyDescent="0.2">
      <c r="I236">
        <f t="shared" si="11"/>
        <v>1165</v>
      </c>
      <c r="J236">
        <f>SQRT(2*I236/airplane!$B$31/airplane!$B$33)</f>
        <v>46.625581194577634</v>
      </c>
      <c r="K236">
        <f>J236/(airplane!$B$32*airplane!$B$10*airplane!$B$9*airplane!$B$12*SQRT(airplane!$B$31))</f>
        <v>9.8150721060153803</v>
      </c>
      <c r="M236">
        <f t="shared" si="12"/>
        <v>389.34300000000002</v>
      </c>
      <c r="N236">
        <f t="shared" si="13"/>
        <v>43.657440727556413</v>
      </c>
    </row>
    <row r="237" spans="9:14" x14ac:dyDescent="0.2">
      <c r="I237">
        <f t="shared" si="11"/>
        <v>1170</v>
      </c>
      <c r="J237">
        <f>SQRT(2*I237/airplane!$B$31/airplane!$B$33)</f>
        <v>46.725528964566635</v>
      </c>
      <c r="K237">
        <f>J237/(airplane!$B$32*airplane!$B$10*airplane!$B$9*airplane!$B$12*SQRT(airplane!$B$31))</f>
        <v>9.836111941748122</v>
      </c>
      <c r="M237">
        <f t="shared" si="12"/>
        <v>391.01400000000001</v>
      </c>
      <c r="N237">
        <f t="shared" si="13"/>
        <v>43.751025916895649</v>
      </c>
    </row>
    <row r="238" spans="9:14" x14ac:dyDescent="0.2">
      <c r="I238">
        <f t="shared" si="11"/>
        <v>1175</v>
      </c>
      <c r="J238">
        <f>SQRT(2*I238/airplane!$B$31/airplane!$B$33)</f>
        <v>46.825263398137544</v>
      </c>
      <c r="K238">
        <f>J238/(airplane!$B$32*airplane!$B$10*airplane!$B$9*airplane!$B$12*SQRT(airplane!$B$31))</f>
        <v>9.8571068683929166</v>
      </c>
      <c r="M238">
        <f t="shared" si="12"/>
        <v>392.685</v>
      </c>
      <c r="N238">
        <f t="shared" si="13"/>
        <v>43.844411350611693</v>
      </c>
    </row>
    <row r="239" spans="9:14" x14ac:dyDescent="0.2">
      <c r="I239">
        <f t="shared" si="11"/>
        <v>1180</v>
      </c>
      <c r="J239">
        <f>SQRT(2*I239/airplane!$B$31/airplane!$B$33)</f>
        <v>46.924785855572786</v>
      </c>
      <c r="K239">
        <f>J239/(airplane!$B$32*airplane!$B$10*airplane!$B$9*airplane!$B$12*SQRT(airplane!$B$31))</f>
        <v>9.8780571723005135</v>
      </c>
      <c r="M239">
        <f t="shared" si="12"/>
        <v>394.35599999999999</v>
      </c>
      <c r="N239">
        <f t="shared" si="13"/>
        <v>43.937598302392686</v>
      </c>
    </row>
    <row r="240" spans="9:14" x14ac:dyDescent="0.2">
      <c r="I240">
        <f t="shared" si="11"/>
        <v>1185</v>
      </c>
      <c r="J240">
        <f>SQRT(2*I240/airplane!$B$31/airplane!$B$33)</f>
        <v>47.024097682760143</v>
      </c>
      <c r="K240">
        <f>J240/(airplane!$B$32*airplane!$B$10*airplane!$B$9*airplane!$B$12*SQRT(airplane!$B$31))</f>
        <v>9.898963136791469</v>
      </c>
      <c r="M240">
        <f t="shared" si="12"/>
        <v>396.02699999999999</v>
      </c>
      <c r="N240">
        <f t="shared" si="13"/>
        <v>44.030588032448456</v>
      </c>
    </row>
    <row r="241" spans="9:14" x14ac:dyDescent="0.2">
      <c r="I241">
        <f t="shared" si="11"/>
        <v>1190</v>
      </c>
      <c r="J241">
        <f>SQRT(2*I241/airplane!$B$31/airplane!$B$33)</f>
        <v>47.123200211405127</v>
      </c>
      <c r="K241">
        <f>J241/(airplane!$B$32*airplane!$B$10*airplane!$B$9*airplane!$B$12*SQRT(airplane!$B$31))</f>
        <v>9.9198250422008574</v>
      </c>
      <c r="M241">
        <f t="shared" si="12"/>
        <v>397.69799999999998</v>
      </c>
      <c r="N241">
        <f t="shared" si="13"/>
        <v>44.12338178770942</v>
      </c>
    </row>
    <row r="242" spans="9:14" x14ac:dyDescent="0.2">
      <c r="I242">
        <f t="shared" si="11"/>
        <v>1195</v>
      </c>
      <c r="J242">
        <f>SQRT(2*I242/airplane!$B$31/airplane!$B$33)</f>
        <v>47.222094759239305</v>
      </c>
      <c r="K242">
        <f>J242/(airplane!$B$32*airplane!$B$10*airplane!$B$9*airplane!$B$12*SQRT(airplane!$B$31))</f>
        <v>9.9406431659221131</v>
      </c>
      <c r="M242">
        <f t="shared" si="12"/>
        <v>399.36899999999997</v>
      </c>
      <c r="N242">
        <f t="shared" si="13"/>
        <v>44.215980802021562</v>
      </c>
    </row>
    <row r="243" spans="9:14" x14ac:dyDescent="0.2">
      <c r="I243">
        <f t="shared" si="11"/>
        <v>1200</v>
      </c>
      <c r="J243">
        <f>SQRT(2*I243/airplane!$B$31/airplane!$B$33)</f>
        <v>47.320782630224748</v>
      </c>
      <c r="K243">
        <f>J243/(airplane!$B$32*airplane!$B$10*airplane!$B$9*airplane!$B$12*SQRT(airplane!$B$31))</f>
        <v>9.9614177824500878</v>
      </c>
      <c r="M243">
        <f t="shared" si="12"/>
        <v>401.04</v>
      </c>
      <c r="N243">
        <f t="shared" si="13"/>
        <v>44.308386296337993</v>
      </c>
    </row>
    <row r="244" spans="9:14" x14ac:dyDescent="0.2">
      <c r="I244">
        <f t="shared" si="11"/>
        <v>1205</v>
      </c>
      <c r="J244">
        <f>SQRT(2*I244/airplane!$B$31/airplane!$B$33)</f>
        <v>47.419265114754616</v>
      </c>
      <c r="K244">
        <f>J244/(airplane!$B$32*airplane!$B$10*airplane!$B$9*airplane!$B$12*SQRT(airplane!$B$31))</f>
        <v>9.9821491634232569</v>
      </c>
      <c r="M244">
        <f t="shared" si="12"/>
        <v>402.71100000000001</v>
      </c>
      <c r="N244">
        <f t="shared" si="13"/>
        <v>44.400599478906649</v>
      </c>
    </row>
    <row r="245" spans="9:14" x14ac:dyDescent="0.2">
      <c r="I245">
        <f t="shared" si="11"/>
        <v>1210</v>
      </c>
      <c r="J245">
        <f>SQRT(2*I245/airplane!$B$31/airplane!$B$33)</f>
        <v>47.517543489850027</v>
      </c>
      <c r="K245">
        <f>J245/(airplane!$B$32*airplane!$B$10*airplane!$B$9*airplane!$B$12*SQRT(airplane!$B$31))</f>
        <v>10.002837577665172</v>
      </c>
      <c r="M245">
        <f t="shared" si="12"/>
        <v>404.38200000000001</v>
      </c>
      <c r="N245">
        <f t="shared" si="13"/>
        <v>44.492621545454689</v>
      </c>
    </row>
    <row r="246" spans="9:14" x14ac:dyDescent="0.2">
      <c r="I246">
        <f t="shared" si="11"/>
        <v>1215</v>
      </c>
      <c r="J246">
        <f>SQRT(2*I246/airplane!$B$31/airplane!$B$33)</f>
        <v>47.615619019353225</v>
      </c>
      <c r="K246">
        <f>J246/(airplane!$B$32*airplane!$B$10*airplane!$B$9*airplane!$B$12*SQRT(airplane!$B$31))</f>
        <v>10.023483291225125</v>
      </c>
      <c r="M246">
        <f t="shared" si="12"/>
        <v>406.053</v>
      </c>
      <c r="N246">
        <f t="shared" si="13"/>
        <v>44.584453679369361</v>
      </c>
    </row>
    <row r="247" spans="9:14" x14ac:dyDescent="0.2">
      <c r="I247">
        <f t="shared" si="11"/>
        <v>1220</v>
      </c>
      <c r="J247">
        <f>SQRT(2*I247/airplane!$B$31/airplane!$B$33)</f>
        <v>47.71349295411725</v>
      </c>
      <c r="K247">
        <f>J247/(airplane!$B$32*airplane!$B$10*airplane!$B$9*airplane!$B$12*SQRT(airplane!$B$31))</f>
        <v>10.044086567418066</v>
      </c>
      <c r="M247">
        <f t="shared" si="12"/>
        <v>407.72399999999999</v>
      </c>
      <c r="N247">
        <f t="shared" si="13"/>
        <v>44.676097051875566</v>
      </c>
    </row>
    <row r="248" spans="9:14" x14ac:dyDescent="0.2">
      <c r="I248">
        <f t="shared" si="11"/>
        <v>1225</v>
      </c>
      <c r="J248">
        <f>SQRT(2*I248/airplane!$B$31/airplane!$B$33)</f>
        <v>47.811166532192047</v>
      </c>
      <c r="K248">
        <f>J248/(airplane!$B$32*airplane!$B$10*airplane!$B$9*airplane!$B$12*SQRT(airplane!$B$31))</f>
        <v>10.064647666863797</v>
      </c>
      <c r="M248">
        <f t="shared" si="12"/>
        <v>409.39499999999998</v>
      </c>
      <c r="N248">
        <f t="shared" si="13"/>
        <v>44.76755282221017</v>
      </c>
    </row>
    <row r="249" spans="9:14" x14ac:dyDescent="0.2">
      <c r="I249">
        <f t="shared" si="11"/>
        <v>1230</v>
      </c>
      <c r="J249">
        <f>SQRT(2*I249/airplane!$B$31/airplane!$B$33)</f>
        <v>47.908640979007167</v>
      </c>
      <c r="K249">
        <f>J249/(airplane!$B$32*airplane!$B$10*airplane!$B$9*airplane!$B$12*SQRT(airplane!$B$31))</f>
        <v>10.085166847525413</v>
      </c>
      <c r="M249">
        <f t="shared" si="12"/>
        <v>411.06599999999997</v>
      </c>
      <c r="N249">
        <f t="shared" si="13"/>
        <v>44.858822137793041</v>
      </c>
    </row>
    <row r="250" spans="9:14" x14ac:dyDescent="0.2">
      <c r="I250">
        <f t="shared" si="11"/>
        <v>1235</v>
      </c>
      <c r="J250">
        <f>SQRT(2*I250/airplane!$B$31/airplane!$B$33)</f>
        <v>48.005917507551182</v>
      </c>
      <c r="K250">
        <f>J250/(airplane!$B$32*airplane!$B$10*airplane!$B$9*airplane!$B$12*SQRT(airplane!$B$31))</f>
        <v>10.105644364747082</v>
      </c>
      <c r="M250">
        <f t="shared" si="12"/>
        <v>412.73700000000002</v>
      </c>
      <c r="N250">
        <f t="shared" si="13"/>
        <v>44.949906134395029</v>
      </c>
    </row>
    <row r="251" spans="9:14" x14ac:dyDescent="0.2">
      <c r="I251">
        <f t="shared" si="11"/>
        <v>1240</v>
      </c>
      <c r="J251">
        <f>SQRT(2*I251/airplane!$B$31/airplane!$B$33)</f>
        <v>48.102997318547757</v>
      </c>
      <c r="K251">
        <f>J251/(airplane!$B$32*airplane!$B$10*airplane!$B$9*airplane!$B$12*SQRT(airplane!$B$31))</f>
        <v>10.126080471291113</v>
      </c>
      <c r="M251">
        <f t="shared" si="12"/>
        <v>414.40800000000002</v>
      </c>
      <c r="N251">
        <f t="shared" si="13"/>
        <v>45.040805936302874</v>
      </c>
    </row>
    <row r="252" spans="9:14" x14ac:dyDescent="0.2">
      <c r="I252">
        <f t="shared" si="11"/>
        <v>1245</v>
      </c>
      <c r="J252">
        <f>SQRT(2*I252/airplane!$B$31/airplane!$B$33)</f>
        <v>48.199881600628615</v>
      </c>
      <c r="K252">
        <f>J252/(airplane!$B$32*airplane!$B$10*airplane!$B$9*airplane!$B$12*SQRT(airplane!$B$31))</f>
        <v>10.146475417374353</v>
      </c>
      <c r="M252">
        <f t="shared" si="12"/>
        <v>416.07900000000001</v>
      </c>
      <c r="N252">
        <f t="shared" si="13"/>
        <v>45.131522656481124</v>
      </c>
    </row>
    <row r="253" spans="9:14" x14ac:dyDescent="0.2">
      <c r="I253">
        <f t="shared" si="11"/>
        <v>1250</v>
      </c>
      <c r="J253">
        <f>SQRT(2*I253/airplane!$B$31/airplane!$B$33)</f>
        <v>48.296571530503293</v>
      </c>
      <c r="K253">
        <f>J253/(airplane!$B$32*airplane!$B$10*airplane!$B$9*airplane!$B$12*SQRT(airplane!$B$31))</f>
        <v>10.166829450703935</v>
      </c>
      <c r="M253">
        <f t="shared" si="12"/>
        <v>417.75</v>
      </c>
      <c r="N253">
        <f t="shared" si="13"/>
        <v>45.222057396731103</v>
      </c>
    </row>
    <row r="254" spans="9:14" x14ac:dyDescent="0.2">
      <c r="I254">
        <f t="shared" si="11"/>
        <v>1255</v>
      </c>
      <c r="J254">
        <f>SQRT(2*I254/airplane!$B$31/airplane!$B$33)</f>
        <v>48.393068273125905</v>
      </c>
      <c r="K254">
        <f>J254/(airplane!$B$32*airplane!$B$10*airplane!$B$9*airplane!$B$12*SQRT(airplane!$B$31))</f>
        <v>10.187142816512374</v>
      </c>
      <c r="M254">
        <f t="shared" si="12"/>
        <v>419.42099999999999</v>
      </c>
      <c r="N254">
        <f t="shared" si="13"/>
        <v>45.312411247847045</v>
      </c>
    </row>
    <row r="255" spans="9:14" x14ac:dyDescent="0.2">
      <c r="I255">
        <f t="shared" si="11"/>
        <v>1260</v>
      </c>
      <c r="J255">
        <f>SQRT(2*I255/airplane!$B$31/airplane!$B$33)</f>
        <v>48.489372981858914</v>
      </c>
      <c r="K255">
        <f>J255/(airplane!$B$32*airplane!$B$10*airplane!$B$9*airplane!$B$12*SQRT(airplane!$B$31))</f>
        <v>10.207415757592049</v>
      </c>
      <c r="M255">
        <f t="shared" si="12"/>
        <v>421.09199999999998</v>
      </c>
      <c r="N255">
        <f t="shared" si="13"/>
        <v>45.402585289769434</v>
      </c>
    </row>
    <row r="256" spans="9:14" x14ac:dyDescent="0.2">
      <c r="I256">
        <f t="shared" si="11"/>
        <v>1265</v>
      </c>
      <c r="J256">
        <f>SQRT(2*I256/airplane!$B$31/airplane!$B$33)</f>
        <v>48.585486798633944</v>
      </c>
      <c r="K256">
        <f>J256/(airplane!$B$32*airplane!$B$10*airplane!$B$9*airplane!$B$12*SQRT(airplane!$B$31))</f>
        <v>10.227648514329053</v>
      </c>
      <c r="M256">
        <f t="shared" si="12"/>
        <v>422.76299999999998</v>
      </c>
      <c r="N256">
        <f t="shared" si="13"/>
        <v>45.492580591735631</v>
      </c>
    </row>
    <row r="257" spans="9:14" x14ac:dyDescent="0.2">
      <c r="I257">
        <f t="shared" si="11"/>
        <v>1270</v>
      </c>
      <c r="J257">
        <f>SQRT(2*I257/airplane!$B$31/airplane!$B$33)</f>
        <v>48.681410854109778</v>
      </c>
      <c r="K257">
        <f>J257/(airplane!$B$32*airplane!$B$10*airplane!$B$9*airplane!$B$12*SQRT(airplane!$B$31))</f>
        <v>10.247841324736449</v>
      </c>
      <c r="M257">
        <f t="shared" si="12"/>
        <v>424.43399999999997</v>
      </c>
      <c r="N257">
        <f t="shared" si="13"/>
        <v>45.582398212427726</v>
      </c>
    </row>
    <row r="258" spans="9:14" x14ac:dyDescent="0.2">
      <c r="I258">
        <f t="shared" si="11"/>
        <v>1275</v>
      </c>
      <c r="J258">
        <f>SQRT(2*I258/airplane!$B$31/airplane!$B$33)</f>
        <v>48.777146267827533</v>
      </c>
      <c r="K258">
        <f>J258/(airplane!$B$32*airplane!$B$10*airplane!$B$9*airplane!$B$12*SQRT(airplane!$B$31))</f>
        <v>10.26799442448694</v>
      </c>
      <c r="M258">
        <f t="shared" si="12"/>
        <v>426.10500000000002</v>
      </c>
      <c r="N258">
        <f t="shared" si="13"/>
        <v>45.672039200117915</v>
      </c>
    </row>
    <row r="259" spans="9:14" x14ac:dyDescent="0.2">
      <c r="I259">
        <f t="shared" si="11"/>
        <v>1280</v>
      </c>
      <c r="J259">
        <f>SQRT(2*I259/airplane!$B$31/airplane!$B$33)</f>
        <v>48.872694148363102</v>
      </c>
      <c r="K259">
        <f>J259/(airplane!$B$32*airplane!$B$10*airplane!$B$9*airplane!$B$12*SQRT(airplane!$B$31))</f>
        <v>10.288108046944961</v>
      </c>
      <c r="M259">
        <f t="shared" si="12"/>
        <v>427.77600000000001</v>
      </c>
      <c r="N259">
        <f t="shared" si="13"/>
        <v>45.761504592811193</v>
      </c>
    </row>
    <row r="260" spans="9:14" x14ac:dyDescent="0.2">
      <c r="I260">
        <f t="shared" si="11"/>
        <v>1285</v>
      </c>
      <c r="J260">
        <f>SQRT(2*I260/airplane!$B$31/airplane!$B$33)</f>
        <v>48.968055593476954</v>
      </c>
      <c r="K260">
        <f>J260/(airplane!$B$32*airplane!$B$10*airplane!$B$9*airplane!$B$12*SQRT(airplane!$B$31))</f>
        <v>10.308182423198208</v>
      </c>
      <c r="M260">
        <f t="shared" si="12"/>
        <v>429.447</v>
      </c>
      <c r="N260">
        <f t="shared" si="13"/>
        <v>45.85079541838563</v>
      </c>
    </row>
    <row r="261" spans="9:14" x14ac:dyDescent="0.2">
      <c r="I261">
        <f t="shared" ref="I261:I324" si="14">I260+5</f>
        <v>1290</v>
      </c>
      <c r="J261">
        <f>SQRT(2*I261/airplane!$B$31/airplane!$B$33)</f>
        <v>49.063231690261233</v>
      </c>
      <c r="K261">
        <f>J261/(airplane!$B$32*airplane!$B$10*airplane!$B$9*airplane!$B$12*SQRT(airplane!$B$31))</f>
        <v>10.328217782088608</v>
      </c>
      <c r="M261">
        <f t="shared" si="12"/>
        <v>431.11799999999999</v>
      </c>
      <c r="N261">
        <f t="shared" si="13"/>
        <v>45.939912694730133</v>
      </c>
    </row>
    <row r="262" spans="9:14" x14ac:dyDescent="0.2">
      <c r="I262">
        <f t="shared" si="14"/>
        <v>1295</v>
      </c>
      <c r="J262">
        <f>SQRT(2*I262/airplane!$B$31/airplane!$B$33)</f>
        <v>49.158223515284377</v>
      </c>
      <c r="K262">
        <f>J262/(airplane!$B$32*airplane!$B$10*airplane!$B$9*airplane!$B$12*SQRT(airplane!$B$31))</f>
        <v>10.348214350242756</v>
      </c>
      <c r="M262">
        <f t="shared" si="12"/>
        <v>432.78899999999999</v>
      </c>
      <c r="N262">
        <f t="shared" si="13"/>
        <v>46.028857429879785</v>
      </c>
    </row>
    <row r="263" spans="9:14" x14ac:dyDescent="0.2">
      <c r="I263">
        <f t="shared" si="14"/>
        <v>1300</v>
      </c>
      <c r="J263">
        <f>SQRT(2*I263/airplane!$B$31/airplane!$B$33)</f>
        <v>49.253032134733203</v>
      </c>
      <c r="K263">
        <f>J263/(airplane!$B$32*airplane!$B$10*airplane!$B$9*airplane!$B$12*SQRT(airplane!$B$31))</f>
        <v>10.368172352101835</v>
      </c>
      <c r="M263">
        <f t="shared" si="12"/>
        <v>434.46</v>
      </c>
      <c r="N263">
        <f t="shared" si="13"/>
        <v>46.117630622148965</v>
      </c>
    </row>
    <row r="264" spans="9:14" x14ac:dyDescent="0.2">
      <c r="I264">
        <f t="shared" si="14"/>
        <v>1305</v>
      </c>
      <c r="J264">
        <f>SQRT(2*I264/airplane!$B$31/airplane!$B$33)</f>
        <v>49.347658604552514</v>
      </c>
      <c r="K264">
        <f>J264/(airplane!$B$32*airplane!$B$10*airplane!$B$9*airplane!$B$12*SQRT(airplane!$B$31))</f>
        <v>10.388092009950995</v>
      </c>
      <c r="M264">
        <f t="shared" si="12"/>
        <v>436.13099999999997</v>
      </c>
      <c r="N264">
        <f t="shared" si="13"/>
        <v>46.206233260262032</v>
      </c>
    </row>
    <row r="265" spans="9:14" x14ac:dyDescent="0.2">
      <c r="I265">
        <f t="shared" si="14"/>
        <v>1310</v>
      </c>
      <c r="J265">
        <f>SQRT(2*I265/airplane!$B$31/airplane!$B$33)</f>
        <v>49.442103970582302</v>
      </c>
      <c r="K265">
        <f>J265/(airplane!$B$32*airplane!$B$10*airplane!$B$9*airplane!$B$12*SQRT(airplane!$B$31))</f>
        <v>10.407973543948241</v>
      </c>
      <c r="M265">
        <f t="shared" si="12"/>
        <v>437.80200000000002</v>
      </c>
      <c r="N265">
        <f t="shared" si="13"/>
        <v>46.294666323481785</v>
      </c>
    </row>
    <row r="266" spans="9:14" x14ac:dyDescent="0.2">
      <c r="I266">
        <f t="shared" si="14"/>
        <v>1315</v>
      </c>
      <c r="J266">
        <f>SQRT(2*I266/airplane!$B$31/airplane!$B$33)</f>
        <v>49.536369268692617</v>
      </c>
      <c r="K266">
        <f>J266/(airplane!$B$32*airplane!$B$10*airplane!$B$9*airplane!$B$12*SQRT(airplane!$B$31))</f>
        <v>10.427817172152825</v>
      </c>
      <c r="M266">
        <f t="shared" si="12"/>
        <v>439.47300000000001</v>
      </c>
      <c r="N266">
        <f t="shared" si="13"/>
        <v>46.382930781735766</v>
      </c>
    </row>
    <row r="267" spans="9:14" x14ac:dyDescent="0.2">
      <c r="I267">
        <f t="shared" si="14"/>
        <v>1320</v>
      </c>
      <c r="J267">
        <f>SQRT(2*I267/airplane!$B$31/airplane!$B$33)</f>
        <v>49.63045552491613</v>
      </c>
      <c r="K267">
        <f>J267/(airplane!$B$32*airplane!$B$10*airplane!$B$9*airplane!$B$12*SQRT(airplane!$B$31))</f>
        <v>10.447623110553142</v>
      </c>
      <c r="M267">
        <f t="shared" ref="M267:M324" si="15">I267*0.3342</f>
        <v>441.14400000000001</v>
      </c>
      <c r="N267">
        <f t="shared" ref="N267:N324" si="16">K267*4.448</f>
        <v>46.471027595740381</v>
      </c>
    </row>
    <row r="268" spans="9:14" x14ac:dyDescent="0.2">
      <c r="I268">
        <f t="shared" si="14"/>
        <v>1325</v>
      </c>
      <c r="J268">
        <f>SQRT(2*I268/airplane!$B$31/airplane!$B$33)</f>
        <v>49.72436375557843</v>
      </c>
      <c r="K268">
        <f>J268/(airplane!$B$32*airplane!$B$10*airplane!$B$9*airplane!$B$12*SQRT(airplane!$B$31))</f>
        <v>10.467391573094172</v>
      </c>
      <c r="M268">
        <f t="shared" si="15"/>
        <v>442.815</v>
      </c>
      <c r="N268">
        <f t="shared" si="16"/>
        <v>46.55895771712288</v>
      </c>
    </row>
    <row r="269" spans="9:14" x14ac:dyDescent="0.2">
      <c r="I269">
        <f t="shared" si="14"/>
        <v>1330</v>
      </c>
      <c r="J269">
        <f>SQRT(2*I269/airplane!$B$31/airplane!$B$33)</f>
        <v>49.818094967426106</v>
      </c>
      <c r="K269">
        <f>J269/(airplane!$B$32*airplane!$B$10*airplane!$B$9*airplane!$B$12*SQRT(airplane!$B$31))</f>
        <v>10.487122771704435</v>
      </c>
      <c r="M269">
        <f t="shared" si="15"/>
        <v>444.48599999999999</v>
      </c>
      <c r="N269">
        <f t="shared" si="16"/>
        <v>46.646722088541331</v>
      </c>
    </row>
    <row r="270" spans="9:14" x14ac:dyDescent="0.2">
      <c r="I270">
        <f t="shared" si="14"/>
        <v>1335</v>
      </c>
      <c r="J270">
        <f>SQRT(2*I270/airplane!$B$31/airplane!$B$33)</f>
        <v>49.911650157752653</v>
      </c>
      <c r="K270">
        <f>J270/(airplane!$B$32*airplane!$B$10*airplane!$B$9*airplane!$B$12*SQRT(airplane!$B$31))</f>
        <v>10.506816916322494</v>
      </c>
      <c r="M270">
        <f t="shared" si="15"/>
        <v>446.15699999999998</v>
      </c>
      <c r="N270">
        <f t="shared" si="16"/>
        <v>46.73432164380246</v>
      </c>
    </row>
    <row r="271" spans="9:14" x14ac:dyDescent="0.2">
      <c r="I271">
        <f t="shared" si="14"/>
        <v>1340</v>
      </c>
      <c r="J271">
        <f>SQRT(2*I271/airplane!$B$31/airplane!$B$33)</f>
        <v>50.005030314522301</v>
      </c>
      <c r="K271">
        <f>J271/(airplane!$B$32*airplane!$B$10*airplane!$B$9*airplane!$B$12*SQRT(airplane!$B$31))</f>
        <v>10.526474214923025</v>
      </c>
      <c r="M271">
        <f t="shared" si="15"/>
        <v>447.82799999999997</v>
      </c>
      <c r="N271">
        <f t="shared" si="16"/>
        <v>46.82175730797762</v>
      </c>
    </row>
    <row r="272" spans="9:14" x14ac:dyDescent="0.2">
      <c r="I272">
        <f t="shared" si="14"/>
        <v>1345</v>
      </c>
      <c r="J272">
        <f>SQRT(2*I272/airplane!$B$31/airplane!$B$33)</f>
        <v>50.09823641649173</v>
      </c>
      <c r="K272">
        <f>J272/(airplane!$B$32*airplane!$B$10*airplane!$B$9*airplane!$B$12*SQRT(airplane!$B$31))</f>
        <v>10.546094873542438</v>
      </c>
      <c r="M272">
        <f t="shared" si="15"/>
        <v>449.49900000000002</v>
      </c>
      <c r="N272">
        <f t="shared" si="16"/>
        <v>46.909029997516768</v>
      </c>
    </row>
    <row r="273" spans="9:14" x14ac:dyDescent="0.2">
      <c r="I273">
        <f t="shared" si="14"/>
        <v>1350</v>
      </c>
      <c r="J273">
        <f>SQRT(2*I273/airplane!$B$31/airplane!$B$33)</f>
        <v>50.191269433329765</v>
      </c>
      <c r="K273">
        <f>J273/(airplane!$B$32*airplane!$B$10*airplane!$B$9*airplane!$B$12*SQRT(airplane!$B$31))</f>
        <v>10.565679096304077</v>
      </c>
      <c r="M273">
        <f t="shared" si="15"/>
        <v>451.17</v>
      </c>
      <c r="N273">
        <f t="shared" si="16"/>
        <v>46.996140620360542</v>
      </c>
    </row>
    <row r="274" spans="9:14" x14ac:dyDescent="0.2">
      <c r="I274">
        <f t="shared" si="14"/>
        <v>1355</v>
      </c>
      <c r="J274">
        <f>SQRT(2*I274/airplane!$B$31/airplane!$B$33)</f>
        <v>50.284130325735049</v>
      </c>
      <c r="K274">
        <f>J274/(airplane!$B$32*airplane!$B$10*airplane!$B$9*airplane!$B$12*SQRT(airplane!$B$31))</f>
        <v>10.585227085442984</v>
      </c>
      <c r="M274">
        <f t="shared" si="15"/>
        <v>452.84100000000001</v>
      </c>
      <c r="N274">
        <f t="shared" si="16"/>
        <v>47.083090076050397</v>
      </c>
    </row>
    <row r="275" spans="9:14" x14ac:dyDescent="0.2">
      <c r="I275">
        <f t="shared" si="14"/>
        <v>1360</v>
      </c>
      <c r="J275">
        <f>SQRT(2*I275/airplane!$B$31/airplane!$B$33)</f>
        <v>50.37682004555181</v>
      </c>
      <c r="K275">
        <f>J275/(airplane!$B$32*airplane!$B$10*airplane!$B$9*airplane!$B$12*SQRT(airplane!$B$31))</f>
        <v>10.604739041330273</v>
      </c>
      <c r="M275">
        <f t="shared" si="15"/>
        <v>454.512</v>
      </c>
      <c r="N275">
        <f t="shared" si="16"/>
        <v>47.16987925583706</v>
      </c>
    </row>
    <row r="276" spans="9:14" x14ac:dyDescent="0.2">
      <c r="I276">
        <f t="shared" si="14"/>
        <v>1365</v>
      </c>
      <c r="J276">
        <f>SQRT(2*I276/airplane!$B$31/airplane!$B$33)</f>
        <v>50.469339535883712</v>
      </c>
      <c r="K276">
        <f>J276/(airplane!$B$32*airplane!$B$10*airplane!$B$9*airplane!$B$12*SQRT(airplane!$B$31))</f>
        <v>10.624215162497103</v>
      </c>
      <c r="M276">
        <f t="shared" si="15"/>
        <v>456.18299999999999</v>
      </c>
      <c r="N276">
        <f t="shared" si="16"/>
        <v>47.256509042787123</v>
      </c>
    </row>
    <row r="277" spans="9:14" x14ac:dyDescent="0.2">
      <c r="I277">
        <f t="shared" si="14"/>
        <v>1370</v>
      </c>
      <c r="J277">
        <f>SQRT(2*I277/airplane!$B$31/airplane!$B$33)</f>
        <v>50.561689731205767</v>
      </c>
      <c r="K277">
        <f>J277/(airplane!$B$32*airplane!$B$10*airplane!$B$9*airplane!$B$12*SQRT(airplane!$B$31))</f>
        <v>10.643655645658221</v>
      </c>
      <c r="M277">
        <f t="shared" si="15"/>
        <v>457.85399999999998</v>
      </c>
      <c r="N277">
        <f t="shared" si="16"/>
        <v>47.342980311887771</v>
      </c>
    </row>
    <row r="278" spans="9:14" x14ac:dyDescent="0.2">
      <c r="I278">
        <f t="shared" si="14"/>
        <v>1375</v>
      </c>
      <c r="J278">
        <f>SQRT(2*I278/airplane!$B$31/airplane!$B$33)</f>
        <v>50.653871557474496</v>
      </c>
      <c r="K278">
        <f>J278/(airplane!$B$32*airplane!$B$10*airplane!$B$9*airplane!$B$12*SQRT(airplane!$B$31))</f>
        <v>10.66306068573517</v>
      </c>
      <c r="M278">
        <f t="shared" si="15"/>
        <v>459.52499999999998</v>
      </c>
      <c r="N278">
        <f t="shared" si="16"/>
        <v>47.429293930150038</v>
      </c>
    </row>
    <row r="279" spans="9:14" x14ac:dyDescent="0.2">
      <c r="I279">
        <f t="shared" si="14"/>
        <v>1380</v>
      </c>
      <c r="J279">
        <f>SQRT(2*I279/airplane!$B$31/airplane!$B$33)</f>
        <v>50.745885932236192</v>
      </c>
      <c r="K279">
        <f>J279/(airplane!$B$32*airplane!$B$10*airplane!$B$9*airplane!$B$12*SQRT(airplane!$B$31))</f>
        <v>10.682430475879061</v>
      </c>
      <c r="M279">
        <f t="shared" si="15"/>
        <v>461.19599999999997</v>
      </c>
      <c r="N279">
        <f t="shared" si="16"/>
        <v>47.515450756710067</v>
      </c>
    </row>
    <row r="280" spans="9:14" x14ac:dyDescent="0.2">
      <c r="I280">
        <f t="shared" si="14"/>
        <v>1385</v>
      </c>
      <c r="J280">
        <f>SQRT(2*I280/airplane!$B$31/airplane!$B$33)</f>
        <v>50.837733764733564</v>
      </c>
      <c r="K280">
        <f>J280/(airplane!$B$32*airplane!$B$10*airplane!$B$9*airplane!$B$12*SQRT(airplane!$B$31))</f>
        <v>10.70176520749304</v>
      </c>
      <c r="M280">
        <f t="shared" si="15"/>
        <v>462.86700000000002</v>
      </c>
      <c r="N280">
        <f t="shared" si="16"/>
        <v>47.601451642929042</v>
      </c>
    </row>
    <row r="281" spans="9:14" x14ac:dyDescent="0.2">
      <c r="I281">
        <f t="shared" si="14"/>
        <v>1390</v>
      </c>
      <c r="J281">
        <f>SQRT(2*I281/airplane!$B$31/airplane!$B$33)</f>
        <v>50.929415956010487</v>
      </c>
      <c r="K281">
        <f>J281/(airplane!$B$32*airplane!$B$10*airplane!$B$9*airplane!$B$12*SQRT(airplane!$B$31))</f>
        <v>10.721065070254324</v>
      </c>
      <c r="M281">
        <f t="shared" si="15"/>
        <v>464.53800000000001</v>
      </c>
      <c r="N281">
        <f t="shared" si="16"/>
        <v>47.687297432491242</v>
      </c>
    </row>
    <row r="282" spans="9:14" x14ac:dyDescent="0.2">
      <c r="I282">
        <f t="shared" si="14"/>
        <v>1395</v>
      </c>
      <c r="J282">
        <f>SQRT(2*I282/airplane!$B$31/airplane!$B$33)</f>
        <v>51.020933399015149</v>
      </c>
      <c r="K282">
        <f>J282/(airplane!$B$32*airplane!$B$10*airplane!$B$9*airplane!$B$12*SQRT(airplane!$B$31))</f>
        <v>10.740330252135927</v>
      </c>
      <c r="M282">
        <f t="shared" si="15"/>
        <v>466.209</v>
      </c>
      <c r="N282">
        <f t="shared" si="16"/>
        <v>47.772988961500609</v>
      </c>
    </row>
    <row r="283" spans="9:14" x14ac:dyDescent="0.2">
      <c r="I283">
        <f t="shared" si="14"/>
        <v>1400</v>
      </c>
      <c r="J283">
        <f>SQRT(2*I283/airplane!$B$31/airplane!$B$33)</f>
        <v>51.112286978701547</v>
      </c>
      <c r="K283">
        <f>J283/(airplane!$B$32*airplane!$B$10*airplane!$B$9*airplane!$B$12*SQRT(airplane!$B$31))</f>
        <v>10.759560939428011</v>
      </c>
      <c r="M283">
        <f t="shared" si="15"/>
        <v>467.88</v>
      </c>
      <c r="N283">
        <f t="shared" si="16"/>
        <v>47.858527058575802</v>
      </c>
    </row>
    <row r="284" spans="9:14" x14ac:dyDescent="0.2">
      <c r="I284">
        <f t="shared" si="14"/>
        <v>1405</v>
      </c>
      <c r="J284">
        <f>SQRT(2*I284/airplane!$B$31/airplane!$B$33)</f>
        <v>51.203477572129295</v>
      </c>
      <c r="K284">
        <f>J284/(airplane!$B$32*airplane!$B$10*airplane!$B$9*airplane!$B$12*SQRT(airplane!$B$31))</f>
        <v>10.778757316758911</v>
      </c>
      <c r="M284">
        <f t="shared" si="15"/>
        <v>469.55099999999999</v>
      </c>
      <c r="N284">
        <f t="shared" si="16"/>
        <v>47.943912544943643</v>
      </c>
    </row>
    <row r="285" spans="9:14" x14ac:dyDescent="0.2">
      <c r="I285">
        <f t="shared" si="14"/>
        <v>1410</v>
      </c>
      <c r="J285">
        <f>SQRT(2*I285/airplane!$B$31/airplane!$B$33)</f>
        <v>51.294506048561885</v>
      </c>
      <c r="K285">
        <f>J285/(airplane!$B$32*airplane!$B$10*airplane!$B$9*airplane!$B$12*SQRT(airplane!$B$31))</f>
        <v>10.797919567115814</v>
      </c>
      <c r="M285">
        <f t="shared" si="15"/>
        <v>471.22199999999998</v>
      </c>
      <c r="N285">
        <f t="shared" si="16"/>
        <v>48.029146234531147</v>
      </c>
    </row>
    <row r="286" spans="9:14" x14ac:dyDescent="0.2">
      <c r="I286">
        <f t="shared" si="14"/>
        <v>1415</v>
      </c>
      <c r="J286">
        <f>SQRT(2*I286/airplane!$B$31/airplane!$B$33)</f>
        <v>51.385373269563352</v>
      </c>
      <c r="K286">
        <f>J286/(airplane!$B$32*airplane!$B$10*airplane!$B$9*airplane!$B$12*SQRT(airplane!$B$31))</f>
        <v>10.817047871865105</v>
      </c>
      <c r="M286">
        <f t="shared" si="15"/>
        <v>472.89299999999997</v>
      </c>
      <c r="N286">
        <f t="shared" si="16"/>
        <v>48.114228934055994</v>
      </c>
    </row>
    <row r="287" spans="9:14" x14ac:dyDescent="0.2">
      <c r="I287">
        <f t="shared" si="14"/>
        <v>1420</v>
      </c>
      <c r="J287">
        <f>SQRT(2*I287/airplane!$B$31/airplane!$B$33)</f>
        <v>51.476080089093415</v>
      </c>
      <c r="K287">
        <f>J287/(airplane!$B$32*airplane!$B$10*airplane!$B$9*airplane!$B$12*SQRT(airplane!$B$31))</f>
        <v>10.836142410772394</v>
      </c>
      <c r="M287">
        <f t="shared" si="15"/>
        <v>474.56400000000002</v>
      </c>
      <c r="N287">
        <f t="shared" si="16"/>
        <v>48.199161443115614</v>
      </c>
    </row>
    <row r="288" spans="9:14" x14ac:dyDescent="0.2">
      <c r="I288">
        <f t="shared" si="14"/>
        <v>1425</v>
      </c>
      <c r="J288">
        <f>SQRT(2*I288/airplane!$B$31/airplane!$B$33)</f>
        <v>51.566627353601127</v>
      </c>
      <c r="K288">
        <f>J288/(airplane!$B$32*airplane!$B$10*airplane!$B$9*airplane!$B$12*SQRT(airplane!$B$31))</f>
        <v>10.855203362022243</v>
      </c>
      <c r="M288">
        <f t="shared" si="15"/>
        <v>476.23500000000001</v>
      </c>
      <c r="N288">
        <f t="shared" si="16"/>
        <v>48.283944554274939</v>
      </c>
    </row>
    <row r="289" spans="9:14" x14ac:dyDescent="0.2">
      <c r="I289">
        <f t="shared" si="14"/>
        <v>1430</v>
      </c>
      <c r="J289">
        <f>SQRT(2*I289/airplane!$B$31/airplane!$B$33)</f>
        <v>51.657015902116996</v>
      </c>
      <c r="K289">
        <f>J289/(airplane!$B$32*airplane!$B$10*airplane!$B$9*airplane!$B$12*SQRT(airplane!$B$31))</f>
        <v>10.874230902237537</v>
      </c>
      <c r="M289">
        <f t="shared" si="15"/>
        <v>477.90600000000001</v>
      </c>
      <c r="N289">
        <f t="shared" si="16"/>
        <v>48.368579053152565</v>
      </c>
    </row>
    <row r="290" spans="9:14" x14ac:dyDescent="0.2">
      <c r="I290">
        <f t="shared" si="14"/>
        <v>1435</v>
      </c>
      <c r="J290">
        <f>SQRT(2*I290/airplane!$B$31/airplane!$B$33)</f>
        <v>51.747246566343719</v>
      </c>
      <c r="K290">
        <f>J290/(airplane!$B$32*airplane!$B$10*airplane!$B$9*airplane!$B$12*SQRT(airplane!$B$31))</f>
        <v>10.893225206498604</v>
      </c>
      <c r="M290">
        <f t="shared" si="15"/>
        <v>479.577</v>
      </c>
      <c r="N290">
        <f t="shared" si="16"/>
        <v>48.453065718505798</v>
      </c>
    </row>
    <row r="291" spans="9:14" x14ac:dyDescent="0.2">
      <c r="I291">
        <f t="shared" si="14"/>
        <v>1440</v>
      </c>
      <c r="J291">
        <f>SQRT(2*I291/airplane!$B$31/airplane!$B$33)</f>
        <v>51.837320170745478</v>
      </c>
      <c r="K291">
        <f>J291/(airplane!$B$32*airplane!$B$10*airplane!$B$9*airplane!$B$12*SQRT(airplane!$B$31))</f>
        <v>10.912186448362005</v>
      </c>
      <c r="M291">
        <f t="shared" si="15"/>
        <v>481.24799999999999</v>
      </c>
      <c r="N291">
        <f t="shared" si="16"/>
        <v>48.537405322314207</v>
      </c>
    </row>
    <row r="292" spans="9:14" x14ac:dyDescent="0.2">
      <c r="I292">
        <f t="shared" si="14"/>
        <v>1445</v>
      </c>
      <c r="J292">
        <f>SQRT(2*I292/airplane!$B$31/airplane!$B$33)</f>
        <v>51.9272375326358</v>
      </c>
      <c r="K292">
        <f>J292/(airplane!$B$32*airplane!$B$10*airplane!$B$9*airplane!$B$12*SQRT(airplane!$B$31))</f>
        <v>10.931114799879023</v>
      </c>
      <c r="M292">
        <f t="shared" si="15"/>
        <v>482.91899999999998</v>
      </c>
      <c r="N292">
        <f t="shared" si="16"/>
        <v>48.6215986298619</v>
      </c>
    </row>
    <row r="293" spans="9:14" x14ac:dyDescent="0.2">
      <c r="I293">
        <f t="shared" si="14"/>
        <v>1450</v>
      </c>
      <c r="J293">
        <f>SQRT(2*I293/airplane!$B$31/airplane!$B$33)</f>
        <v>52.016999462264103</v>
      </c>
      <c r="K293">
        <f>J293/(airplane!$B$32*airplane!$B$10*airplane!$B$9*airplane!$B$12*SQRT(airplane!$B$31))</f>
        <v>10.950010431613888</v>
      </c>
      <c r="M293">
        <f t="shared" si="15"/>
        <v>484.59</v>
      </c>
      <c r="N293">
        <f t="shared" si="16"/>
        <v>48.705646399818583</v>
      </c>
    </row>
    <row r="294" spans="9:14" x14ac:dyDescent="0.2">
      <c r="I294">
        <f t="shared" si="14"/>
        <v>1455</v>
      </c>
      <c r="J294">
        <f>SQRT(2*I294/airplane!$B$31/airplane!$B$33)</f>
        <v>52.106606762900888</v>
      </c>
      <c r="K294">
        <f>J294/(airplane!$B$32*airplane!$B$10*airplane!$B$9*airplane!$B$12*SQRT(airplane!$B$31))</f>
        <v>10.968873512661718</v>
      </c>
      <c r="M294">
        <f t="shared" si="15"/>
        <v>486.26100000000002</v>
      </c>
      <c r="N294">
        <f t="shared" si="16"/>
        <v>48.789549384319322</v>
      </c>
    </row>
    <row r="295" spans="9:14" x14ac:dyDescent="0.2">
      <c r="I295">
        <f t="shared" si="14"/>
        <v>1460</v>
      </c>
      <c r="J295">
        <f>SQRT(2*I295/airplane!$B$31/airplane!$B$33)</f>
        <v>52.196060230921574</v>
      </c>
      <c r="K295">
        <f>J295/(airplane!$B$32*airplane!$B$10*airplane!$B$9*airplane!$B$12*SQRT(airplane!$B$31))</f>
        <v>10.987704210666148</v>
      </c>
      <c r="M295">
        <f t="shared" si="15"/>
        <v>487.93200000000002</v>
      </c>
      <c r="N295">
        <f t="shared" si="16"/>
        <v>48.873308329043034</v>
      </c>
    </row>
    <row r="296" spans="9:14" x14ac:dyDescent="0.2">
      <c r="I296">
        <f t="shared" si="14"/>
        <v>1465</v>
      </c>
      <c r="J296">
        <f>SQRT(2*I296/airplane!$B$31/airplane!$B$33)</f>
        <v>52.285360655889107</v>
      </c>
      <c r="K296">
        <f>J296/(airplane!$B$32*airplane!$B$10*airplane!$B$9*airplane!$B$12*SQRT(airplane!$B$31))</f>
        <v>11.00650269183674</v>
      </c>
      <c r="M296">
        <f t="shared" si="15"/>
        <v>489.60300000000001</v>
      </c>
      <c r="N296">
        <f t="shared" si="16"/>
        <v>48.956923973289825</v>
      </c>
    </row>
    <row r="297" spans="9:14" x14ac:dyDescent="0.2">
      <c r="I297">
        <f t="shared" si="14"/>
        <v>1470</v>
      </c>
      <c r="J297">
        <f>SQRT(2*I297/airplane!$B$31/airplane!$B$33)</f>
        <v>52.374508820635263</v>
      </c>
      <c r="K297">
        <f>J297/(airplane!$B$32*airplane!$B$10*airplane!$B$9*airplane!$B$12*SQRT(airplane!$B$31))</f>
        <v>11.025269120966083</v>
      </c>
      <c r="M297">
        <f t="shared" si="15"/>
        <v>491.274</v>
      </c>
      <c r="N297">
        <f t="shared" si="16"/>
        <v>49.040397050057145</v>
      </c>
    </row>
    <row r="298" spans="9:14" x14ac:dyDescent="0.2">
      <c r="I298">
        <f t="shared" si="14"/>
        <v>1475</v>
      </c>
      <c r="J298">
        <f>SQRT(2*I298/airplane!$B$31/airplane!$B$33)</f>
        <v>52.463505501340691</v>
      </c>
      <c r="K298">
        <f>J298/(airplane!$B$32*airplane!$B$10*airplane!$B$9*airplane!$B$12*SQRT(airplane!$B$31))</f>
        <v>11.04400366144665</v>
      </c>
      <c r="M298">
        <f t="shared" si="15"/>
        <v>492.94499999999999</v>
      </c>
      <c r="N298">
        <f t="shared" si="16"/>
        <v>49.123728286114705</v>
      </c>
    </row>
    <row r="299" spans="9:14" x14ac:dyDescent="0.2">
      <c r="I299">
        <f t="shared" si="14"/>
        <v>1480</v>
      </c>
      <c r="J299">
        <f>SQRT(2*I299/airplane!$B$31/airplane!$B$33)</f>
        <v>52.552351467613789</v>
      </c>
      <c r="K299">
        <f>J299/(airplane!$B$32*airplane!$B$10*airplane!$B$9*airplane!$B$12*SQRT(airplane!$B$31))</f>
        <v>11.062706475287403</v>
      </c>
      <c r="M299">
        <f t="shared" si="15"/>
        <v>494.61599999999999</v>
      </c>
      <c r="N299">
        <f t="shared" si="16"/>
        <v>49.206918402078372</v>
      </c>
    </row>
    <row r="300" spans="9:14" x14ac:dyDescent="0.2">
      <c r="I300">
        <f t="shared" si="14"/>
        <v>1485</v>
      </c>
      <c r="J300">
        <f>SQRT(2*I300/airplane!$B$31/airplane!$B$33)</f>
        <v>52.641047482568325</v>
      </c>
      <c r="K300">
        <f>J300/(airplane!$B$32*airplane!$B$10*airplane!$B$9*airplane!$B$12*SQRT(airplane!$B$31))</f>
        <v>11.081377723130126</v>
      </c>
      <c r="M300">
        <f t="shared" si="15"/>
        <v>496.28699999999998</v>
      </c>
      <c r="N300">
        <f t="shared" si="16"/>
        <v>49.289968112482804</v>
      </c>
    </row>
    <row r="301" spans="9:14" x14ac:dyDescent="0.2">
      <c r="I301">
        <f t="shared" si="14"/>
        <v>1490</v>
      </c>
      <c r="J301">
        <f>SQRT(2*I301/airplane!$B$31/airplane!$B$33)</f>
        <v>52.729594302899933</v>
      </c>
      <c r="K301">
        <f>J301/(airplane!$B$32*airplane!$B$10*airplane!$B$9*airplane!$B$12*SQRT(airplane!$B$31))</f>
        <v>11.100017564265537</v>
      </c>
      <c r="M301">
        <f t="shared" si="15"/>
        <v>497.95799999999997</v>
      </c>
      <c r="N301">
        <f t="shared" si="16"/>
        <v>49.372878125853113</v>
      </c>
    </row>
    <row r="302" spans="9:14" x14ac:dyDescent="0.2">
      <c r="I302">
        <f t="shared" si="14"/>
        <v>1495</v>
      </c>
      <c r="J302">
        <f>SQRT(2*I302/airplane!$B$31/airplane!$B$33)</f>
        <v>52.81799267896141</v>
      </c>
      <c r="K302">
        <f>J302/(airplane!$B$32*airplane!$B$10*airplane!$B$9*airplane!$B$12*SQRT(airplane!$B$31))</f>
        <v>11.118626156649132</v>
      </c>
      <c r="M302">
        <f t="shared" si="15"/>
        <v>499.62900000000002</v>
      </c>
      <c r="N302">
        <f t="shared" si="16"/>
        <v>49.455649144775343</v>
      </c>
    </row>
    <row r="303" spans="9:14" x14ac:dyDescent="0.2">
      <c r="I303">
        <f t="shared" si="14"/>
        <v>1500</v>
      </c>
      <c r="J303">
        <f>SQRT(2*I303/airplane!$B$31/airplane!$B$33)</f>
        <v>52.906243354836917</v>
      </c>
      <c r="K303">
        <f>J303/(airplane!$B$32*airplane!$B$10*airplane!$B$9*airplane!$B$12*SQRT(airplane!$B$31))</f>
        <v>11.137203656916805</v>
      </c>
      <c r="M303">
        <f t="shared" si="15"/>
        <v>501.3</v>
      </c>
      <c r="N303">
        <f t="shared" si="16"/>
        <v>49.538281865965949</v>
      </c>
    </row>
    <row r="304" spans="9:14" x14ac:dyDescent="0.2">
      <c r="I304">
        <f t="shared" si="14"/>
        <v>1505</v>
      </c>
      <c r="J304">
        <f>SQRT(2*I304/airplane!$B$31/airplane!$B$33)</f>
        <v>52.994347068415031</v>
      </c>
      <c r="K304">
        <f>J304/(airplane!$B$32*airplane!$B$10*airplane!$B$9*airplane!$B$12*SQRT(airplane!$B$31))</f>
        <v>11.155750220400231</v>
      </c>
      <c r="M304">
        <f t="shared" si="15"/>
        <v>502.971</v>
      </c>
      <c r="N304">
        <f t="shared" si="16"/>
        <v>49.620776980340231</v>
      </c>
    </row>
    <row r="305" spans="9:14" x14ac:dyDescent="0.2">
      <c r="I305">
        <f t="shared" si="14"/>
        <v>1510</v>
      </c>
      <c r="J305">
        <f>SQRT(2*I305/airplane!$B$31/airplane!$B$33)</f>
        <v>53.082304551460773</v>
      </c>
      <c r="K305">
        <f>J305/(airplane!$B$32*airplane!$B$10*airplane!$B$9*airplane!$B$12*SQRT(airplane!$B$31))</f>
        <v>11.174266001142026</v>
      </c>
      <c r="M305">
        <f t="shared" si="15"/>
        <v>504.642</v>
      </c>
      <c r="N305">
        <f t="shared" si="16"/>
        <v>49.703135173079737</v>
      </c>
    </row>
    <row r="306" spans="9:14" x14ac:dyDescent="0.2">
      <c r="I306">
        <f t="shared" si="14"/>
        <v>1515</v>
      </c>
      <c r="J306">
        <f>SQRT(2*I306/airplane!$B$31/airplane!$B$33)</f>
        <v>53.17011652968646</v>
      </c>
      <c r="K306">
        <f>J306/(airplane!$B$32*airplane!$B$10*airplane!$B$9*airplane!$B$12*SQRT(airplane!$B$31))</f>
        <v>11.192751151910661</v>
      </c>
      <c r="M306">
        <f t="shared" si="15"/>
        <v>506.31299999999999</v>
      </c>
      <c r="N306">
        <f t="shared" si="16"/>
        <v>49.785357123698624</v>
      </c>
    </row>
    <row r="307" spans="9:14" x14ac:dyDescent="0.2">
      <c r="I307">
        <f t="shared" si="14"/>
        <v>1520</v>
      </c>
      <c r="J307">
        <f>SQRT(2*I307/airplane!$B$31/airplane!$B$33)</f>
        <v>53.2577837228216</v>
      </c>
      <c r="K307">
        <f>J307/(airplane!$B$32*airplane!$B$10*airplane!$B$9*airplane!$B$12*SQRT(airplane!$B$31))</f>
        <v>11.211205824215174</v>
      </c>
      <c r="M307">
        <f t="shared" si="15"/>
        <v>507.98399999999998</v>
      </c>
      <c r="N307">
        <f t="shared" si="16"/>
        <v>49.867443506109097</v>
      </c>
    </row>
    <row r="308" spans="9:14" x14ac:dyDescent="0.2">
      <c r="I308">
        <f t="shared" si="14"/>
        <v>1525</v>
      </c>
      <c r="J308">
        <f>SQRT(2*I308/airplane!$B$31/airplane!$B$33)</f>
        <v>53.345306844681708</v>
      </c>
      <c r="K308">
        <f>J308/(airplane!$B$32*airplane!$B$10*airplane!$B$9*airplane!$B$12*SQRT(airplane!$B$31))</f>
        <v>11.229630168319659</v>
      </c>
      <c r="M308">
        <f t="shared" si="15"/>
        <v>509.65499999999997</v>
      </c>
      <c r="N308">
        <f t="shared" si="16"/>
        <v>49.949394988685846</v>
      </c>
    </row>
    <row r="309" spans="9:14" x14ac:dyDescent="0.2">
      <c r="I309">
        <f t="shared" si="14"/>
        <v>1530</v>
      </c>
      <c r="J309">
        <f>SQRT(2*I309/airplane!$B$31/airplane!$B$33)</f>
        <v>53.432686603236128</v>
      </c>
      <c r="K309">
        <f>J309/(airplane!$B$32*airplane!$B$10*airplane!$B$9*airplane!$B$12*SQRT(airplane!$B$31))</f>
        <v>11.248024333257545</v>
      </c>
      <c r="M309">
        <f t="shared" si="15"/>
        <v>511.32600000000002</v>
      </c>
      <c r="N309">
        <f t="shared" si="16"/>
        <v>50.031212234329566</v>
      </c>
    </row>
    <row r="310" spans="9:14" x14ac:dyDescent="0.2">
      <c r="I310">
        <f t="shared" si="14"/>
        <v>1535</v>
      </c>
      <c r="J310">
        <f>SQRT(2*I310/airplane!$B$31/airplane!$B$33)</f>
        <v>53.519923700674816</v>
      </c>
      <c r="K310">
        <f>J310/(airplane!$B$32*airplane!$B$10*airplane!$B$9*airplane!$B$12*SQRT(airplane!$B$31))</f>
        <v>11.266388466845649</v>
      </c>
      <c r="M310">
        <f t="shared" si="15"/>
        <v>512.99699999999996</v>
      </c>
      <c r="N310">
        <f t="shared" si="16"/>
        <v>50.112895900529452</v>
      </c>
    </row>
    <row r="311" spans="9:14" x14ac:dyDescent="0.2">
      <c r="I311">
        <f t="shared" si="14"/>
        <v>1540</v>
      </c>
      <c r="J311">
        <f>SQRT(2*I311/airplane!$B$31/airplane!$B$33)</f>
        <v>53.607018833474207</v>
      </c>
      <c r="K311">
        <f>J311/(airplane!$B$32*airplane!$B$10*airplane!$B$9*airplane!$B$12*SQRT(airplane!$B$31))</f>
        <v>11.284722715698045</v>
      </c>
      <c r="M311">
        <f t="shared" si="15"/>
        <v>514.66800000000001</v>
      </c>
      <c r="N311">
        <f t="shared" si="16"/>
        <v>50.19444663942491</v>
      </c>
    </row>
    <row r="312" spans="9:14" x14ac:dyDescent="0.2">
      <c r="I312">
        <f t="shared" si="14"/>
        <v>1545</v>
      </c>
      <c r="J312">
        <f>SQRT(2*I312/airplane!$B$31/airplane!$B$33)</f>
        <v>53.693972692462069</v>
      </c>
      <c r="K312">
        <f>J312/(airplane!$B$32*airplane!$B$10*airplane!$B$9*airplane!$B$12*SQRT(airplane!$B$31))</f>
        <v>11.303027225239719</v>
      </c>
      <c r="M312">
        <f t="shared" si="15"/>
        <v>516.33899999999994</v>
      </c>
      <c r="N312">
        <f t="shared" si="16"/>
        <v>50.275865097866273</v>
      </c>
    </row>
    <row r="313" spans="9:14" x14ac:dyDescent="0.2">
      <c r="I313">
        <f t="shared" si="14"/>
        <v>1550</v>
      </c>
      <c r="J313">
        <f>SQRT(2*I313/airplane!$B$31/airplane!$B$33)</f>
        <v>53.780785962881446</v>
      </c>
      <c r="K313">
        <f>J313/(airplane!$B$32*airplane!$B$10*airplane!$B$9*airplane!$B$12*SQRT(airplane!$B$31))</f>
        <v>11.321302139720018</v>
      </c>
      <c r="M313">
        <f t="shared" si="15"/>
        <v>518.01</v>
      </c>
      <c r="N313">
        <f t="shared" si="16"/>
        <v>50.357151917474646</v>
      </c>
    </row>
    <row r="314" spans="9:14" x14ac:dyDescent="0.2">
      <c r="I314">
        <f t="shared" si="14"/>
        <v>1555</v>
      </c>
      <c r="J314">
        <f>SQRT(2*I314/airplane!$B$31/airplane!$B$33)</f>
        <v>53.867459324453669</v>
      </c>
      <c r="K314">
        <f>J314/(airplane!$B$32*airplane!$B$10*airplane!$B$9*airplane!$B$12*SQRT(airplane!$B$31))</f>
        <v>11.339547602225933</v>
      </c>
      <c r="M314">
        <f t="shared" si="15"/>
        <v>519.68100000000004</v>
      </c>
      <c r="N314">
        <f t="shared" si="16"/>
        <v>50.438307734700956</v>
      </c>
    </row>
    <row r="315" spans="9:14" x14ac:dyDescent="0.2">
      <c r="I315">
        <f t="shared" si="14"/>
        <v>1560</v>
      </c>
      <c r="J315">
        <f>SQRT(2*I315/airplane!$B$31/airplane!$B$33)</f>
        <v>53.953993451440404</v>
      </c>
      <c r="K315">
        <f>J315/(airplane!$B$32*airplane!$B$10*airplane!$B$9*airplane!$B$12*SQRT(airplane!$B$31))</f>
        <v>11.35776375469514</v>
      </c>
      <c r="M315">
        <f t="shared" si="15"/>
        <v>521.35199999999998</v>
      </c>
      <c r="N315">
        <f t="shared" si="16"/>
        <v>50.51933318088399</v>
      </c>
    </row>
    <row r="316" spans="9:14" x14ac:dyDescent="0.2">
      <c r="I316">
        <f t="shared" si="14"/>
        <v>1565</v>
      </c>
      <c r="J316">
        <f>SQRT(2*I316/airplane!$B$31/airplane!$B$33)</f>
        <v>54.040389012704914</v>
      </c>
      <c r="K316">
        <f>J316/(airplane!$B$32*airplane!$B$10*airplane!$B$9*airplane!$B$12*SQRT(airplane!$B$31))</f>
        <v>11.375950737928918</v>
      </c>
      <c r="M316">
        <f t="shared" si="15"/>
        <v>523.02300000000002</v>
      </c>
      <c r="N316">
        <f t="shared" si="16"/>
        <v>50.600228882307832</v>
      </c>
    </row>
    <row r="317" spans="9:14" x14ac:dyDescent="0.2">
      <c r="I317">
        <f t="shared" si="14"/>
        <v>1570</v>
      </c>
      <c r="J317">
        <f>SQRT(2*I317/airplane!$B$31/airplane!$B$33)</f>
        <v>54.126646671772328</v>
      </c>
      <c r="K317">
        <f>J317/(airplane!$B$32*airplane!$B$10*airplane!$B$9*airplane!$B$12*SQRT(airplane!$B$31))</f>
        <v>11.39410869160481</v>
      </c>
      <c r="M317">
        <f t="shared" si="15"/>
        <v>524.69399999999996</v>
      </c>
      <c r="N317">
        <f t="shared" si="16"/>
        <v>50.680995460258202</v>
      </c>
    </row>
    <row r="318" spans="9:14" x14ac:dyDescent="0.2">
      <c r="I318">
        <f t="shared" si="14"/>
        <v>1575</v>
      </c>
      <c r="J318">
        <f>SQRT(2*I318/airplane!$B$31/airplane!$B$33)</f>
        <v>54.212767086889109</v>
      </c>
      <c r="K318">
        <f>J318/(airplane!$B$32*airplane!$B$10*airplane!$B$9*airplane!$B$12*SQRT(airplane!$B$31))</f>
        <v>11.412237754289169</v>
      </c>
      <c r="M318">
        <f t="shared" si="15"/>
        <v>526.36500000000001</v>
      </c>
      <c r="N318">
        <f t="shared" si="16"/>
        <v>50.761633531078232</v>
      </c>
    </row>
    <row r="319" spans="9:14" x14ac:dyDescent="0.2">
      <c r="I319">
        <f t="shared" si="14"/>
        <v>1580</v>
      </c>
      <c r="J319">
        <f>SQRT(2*I319/airplane!$B$31/airplane!$B$33)</f>
        <v>54.298750911081655</v>
      </c>
      <c r="K319">
        <f>J319/(airplane!$B$32*airplane!$B$10*airplane!$B$9*airplane!$B$12*SQRT(airplane!$B$31))</f>
        <v>11.430338063449476</v>
      </c>
      <c r="M319">
        <f t="shared" si="15"/>
        <v>528.03599999999994</v>
      </c>
      <c r="N319">
        <f t="shared" si="16"/>
        <v>50.842143706223276</v>
      </c>
    </row>
    <row r="320" spans="9:14" x14ac:dyDescent="0.2">
      <c r="I320">
        <f t="shared" si="14"/>
        <v>1585</v>
      </c>
      <c r="J320">
        <f>SQRT(2*I320/airplane!$B$31/airplane!$B$33)</f>
        <v>54.384598792214092</v>
      </c>
      <c r="K320">
        <f>J320/(airplane!$B$32*airplane!$B$10*airplane!$B$9*airplane!$B$12*SQRT(airplane!$B$31))</f>
        <v>11.448409755466507</v>
      </c>
      <c r="M320">
        <f t="shared" si="15"/>
        <v>529.70699999999999</v>
      </c>
      <c r="N320">
        <f t="shared" si="16"/>
        <v>50.92252659231503</v>
      </c>
    </row>
    <row r="321" spans="9:14" x14ac:dyDescent="0.2">
      <c r="I321">
        <f t="shared" si="14"/>
        <v>1590</v>
      </c>
      <c r="J321">
        <f>SQRT(2*I321/airplane!$B$31/airplane!$B$33)</f>
        <v>54.470311373045213</v>
      </c>
      <c r="K321">
        <f>J321/(airplane!$B$32*airplane!$B$10*airplane!$B$9*airplane!$B$12*SQRT(airplane!$B$31))</f>
        <v>11.466452965646329</v>
      </c>
      <c r="M321">
        <f t="shared" si="15"/>
        <v>531.37800000000004</v>
      </c>
      <c r="N321">
        <f t="shared" si="16"/>
        <v>51.002782791194875</v>
      </c>
    </row>
    <row r="322" spans="9:14" x14ac:dyDescent="0.2">
      <c r="I322">
        <f t="shared" si="14"/>
        <v>1595</v>
      </c>
      <c r="J322">
        <f>SQRT(2*I322/airplane!$B$31/airplane!$B$33)</f>
        <v>54.555889291284608</v>
      </c>
      <c r="K322">
        <f>J322/(airplane!$B$32*airplane!$B$10*airplane!$B$9*airplane!$B$12*SQRT(airplane!$B$31))</f>
        <v>11.484467828232107</v>
      </c>
      <c r="M322">
        <f t="shared" si="15"/>
        <v>533.04899999999998</v>
      </c>
      <c r="N322">
        <f t="shared" si="16"/>
        <v>51.082912899976421</v>
      </c>
    </row>
    <row r="323" spans="9:14" x14ac:dyDescent="0.2">
      <c r="I323">
        <f t="shared" si="14"/>
        <v>1600</v>
      </c>
      <c r="J323">
        <f>SQRT(2*I323/airplane!$B$31/airplane!$B$33)</f>
        <v>54.641333179648051</v>
      </c>
      <c r="K323">
        <f>J323/(airplane!$B$32*airplane!$B$10*airplane!$B$9*airplane!$B$12*SQRT(airplane!$B$31))</f>
        <v>11.502454476415766</v>
      </c>
      <c r="M323">
        <f t="shared" si="15"/>
        <v>534.72</v>
      </c>
      <c r="N323">
        <f t="shared" si="16"/>
        <v>51.162917511097334</v>
      </c>
    </row>
    <row r="324" spans="9:14" x14ac:dyDescent="0.2">
      <c r="I324">
        <f t="shared" si="14"/>
        <v>1605</v>
      </c>
      <c r="J324">
        <f>SQRT(2*I324/airplane!$B$31/airplane!$B$33)</f>
        <v>54.726643665912043</v>
      </c>
      <c r="K324">
        <f>J324/(airplane!$B$32*airplane!$B$10*airplane!$B$9*airplane!$B$12*SQRT(airplane!$B$31))</f>
        <v>11.520413042349475</v>
      </c>
      <c r="M324">
        <f t="shared" si="15"/>
        <v>536.39099999999996</v>
      </c>
      <c r="N324">
        <f t="shared" si="16"/>
        <v>51.242797212370469</v>
      </c>
    </row>
  </sheetData>
  <phoneticPr fontId="5" type="noConversion"/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12" shapeId="5121" r:id="rId4">
          <objectPr defaultSize="0" autoPict="0" r:id="rId5">
            <anchor moveWithCells="1" sizeWithCells="1">
              <from>
                <xdr:col>0</xdr:col>
                <xdr:colOff>152400</xdr:colOff>
                <xdr:row>3</xdr:row>
                <xdr:rowOff>114300</xdr:rowOff>
              </from>
              <to>
                <xdr:col>8</xdr:col>
                <xdr:colOff>889000</xdr:colOff>
                <xdr:row>30</xdr:row>
                <xdr:rowOff>25400</xdr:rowOff>
              </to>
            </anchor>
          </objectPr>
        </oleObject>
      </mc:Choice>
      <mc:Fallback>
        <oleObject progId="Word.Document.12" shapeId="5121" r:id="rId4"/>
      </mc:Fallback>
    </mc:AlternateContent>
  </oleObjec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I1:N313"/>
  <sheetViews>
    <sheetView workbookViewId="0">
      <selection activeCell="L4" sqref="L4"/>
    </sheetView>
  </sheetViews>
  <sheetFormatPr baseColWidth="10" defaultColWidth="8.83203125" defaultRowHeight="15" x14ac:dyDescent="0.2"/>
  <cols>
    <col min="1" max="1" width="17.83203125" bestFit="1" customWidth="1"/>
    <col min="9" max="9" width="14.5" customWidth="1"/>
    <col min="11" max="11" width="14.1640625" bestFit="1" customWidth="1"/>
  </cols>
  <sheetData>
    <row r="1" spans="9:14" x14ac:dyDescent="0.2">
      <c r="I1" t="s">
        <v>23</v>
      </c>
      <c r="J1" t="s">
        <v>58</v>
      </c>
      <c r="K1" t="s">
        <v>48</v>
      </c>
      <c r="M1" t="s">
        <v>23</v>
      </c>
      <c r="N1" t="s">
        <v>25</v>
      </c>
    </row>
    <row r="2" spans="9:14" x14ac:dyDescent="0.2">
      <c r="I2" t="s">
        <v>16</v>
      </c>
      <c r="K2" t="s">
        <v>52</v>
      </c>
      <c r="M2" t="s">
        <v>66</v>
      </c>
      <c r="N2" t="s">
        <v>65</v>
      </c>
    </row>
    <row r="3" spans="9:14" x14ac:dyDescent="0.2">
      <c r="I3">
        <v>0</v>
      </c>
      <c r="J3">
        <f>SQRT(I3*2/airplane!$B$27/airplane!$B$41)</f>
        <v>0</v>
      </c>
      <c r="K3">
        <f>1/(airplane!$B$40*airplane!$B$9*airplane!$B$10)*(airplane!$B$37+'Rate of climb'!J3/(0.866*airplane!$B$12*SQRT(airplane!$B$39)))</f>
        <v>11.320754716981131</v>
      </c>
      <c r="M3">
        <f>I3*0.3342</f>
        <v>0</v>
      </c>
      <c r="N3">
        <f>K3*4.448</f>
        <v>50.354716981132079</v>
      </c>
    </row>
    <row r="4" spans="9:14" x14ac:dyDescent="0.2">
      <c r="I4">
        <f>I3+5</f>
        <v>5</v>
      </c>
      <c r="J4">
        <f>SQRT(I4*2/airplane!$B$27/airplane!$B$41)</f>
        <v>2.3702937382360441</v>
      </c>
      <c r="K4">
        <f>1/(airplane!$B$40*airplane!$B$9*airplane!$B$10)*(airplane!$B$37+'Rate of climb'!J4/(0.866*airplane!$B$12*SQRT(airplane!$B$39)))</f>
        <v>11.839303409265593</v>
      </c>
      <c r="M4">
        <f t="shared" ref="M4:M53" si="0">I4*0.3342</f>
        <v>1.671</v>
      </c>
      <c r="N4">
        <f t="shared" ref="N4:N53" si="1">K4*4.448</f>
        <v>52.66122156441336</v>
      </c>
    </row>
    <row r="5" spans="9:14" x14ac:dyDescent="0.2">
      <c r="I5">
        <f t="shared" ref="I5:I68" si="2">I4+5</f>
        <v>10</v>
      </c>
      <c r="J5">
        <f>SQRT(I5*2/airplane!$B$27/airplane!$B$41)</f>
        <v>3.3521015514214358</v>
      </c>
      <c r="K5">
        <f>1/(airplane!$B$40*airplane!$B$9*airplane!$B$10)*(airplane!$B$37+'Rate of climb'!J5/(0.866*airplane!$B$12*SQRT(airplane!$B$39)))</f>
        <v>12.054093310360649</v>
      </c>
      <c r="M5">
        <f t="shared" si="0"/>
        <v>3.3420000000000001</v>
      </c>
      <c r="N5">
        <f t="shared" si="1"/>
        <v>53.616607044484169</v>
      </c>
    </row>
    <row r="6" spans="9:14" x14ac:dyDescent="0.2">
      <c r="I6">
        <f t="shared" si="2"/>
        <v>15</v>
      </c>
      <c r="J6">
        <f>SQRT(I6*2/airplane!$B$27/airplane!$B$41)</f>
        <v>4.1054691834871928</v>
      </c>
      <c r="K6">
        <f>1/(airplane!$B$40*airplane!$B$9*airplane!$B$10)*(airplane!$B$37+'Rate of climb'!J6/(0.866*airplane!$B$12*SQRT(airplane!$B$39)))</f>
        <v>12.218907398216217</v>
      </c>
      <c r="M6">
        <f t="shared" si="0"/>
        <v>5.0129999999999999</v>
      </c>
      <c r="N6">
        <f t="shared" si="1"/>
        <v>54.34970010726574</v>
      </c>
    </row>
    <row r="7" spans="9:14" x14ac:dyDescent="0.2">
      <c r="I7">
        <f t="shared" si="2"/>
        <v>20</v>
      </c>
      <c r="J7">
        <f>SQRT(I7*2/airplane!$B$27/airplane!$B$41)</f>
        <v>4.7405874764720881</v>
      </c>
      <c r="K7">
        <f>1/(airplane!$B$40*airplane!$B$9*airplane!$B$10)*(airplane!$B$37+'Rate of climb'!J7/(0.866*airplane!$B$12*SQRT(airplane!$B$39)))</f>
        <v>12.357852101550051</v>
      </c>
      <c r="M7">
        <f t="shared" si="0"/>
        <v>6.6840000000000002</v>
      </c>
      <c r="N7">
        <f t="shared" si="1"/>
        <v>54.967726147694634</v>
      </c>
    </row>
    <row r="8" spans="9:14" x14ac:dyDescent="0.2">
      <c r="I8">
        <f t="shared" si="2"/>
        <v>25</v>
      </c>
      <c r="J8">
        <f>SQRT(I8*2/airplane!$B$27/airplane!$B$41)</f>
        <v>5.3001379253378866</v>
      </c>
      <c r="K8">
        <f>1/(airplane!$B$40*airplane!$B$9*airplane!$B$10)*(airplane!$B$37+'Rate of climb'!J8/(0.866*airplane!$B$12*SQRT(airplane!$B$39)))</f>
        <v>12.480264842572806</v>
      </c>
      <c r="M8">
        <f t="shared" si="0"/>
        <v>8.3550000000000004</v>
      </c>
      <c r="N8">
        <f t="shared" si="1"/>
        <v>55.51221801976385</v>
      </c>
    </row>
    <row r="9" spans="9:14" x14ac:dyDescent="0.2">
      <c r="I9">
        <f t="shared" si="2"/>
        <v>30</v>
      </c>
      <c r="J9">
        <f>SQRT(I9*2/airplane!$B$27/airplane!$B$41)</f>
        <v>5.8060101991923849</v>
      </c>
      <c r="K9">
        <f>1/(airplane!$B$40*airplane!$B$9*airplane!$B$10)*(airplane!$B$37+'Rate of climb'!J9/(0.866*airplane!$B$12*SQRT(airplane!$B$39)))</f>
        <v>12.590934419865549</v>
      </c>
      <c r="M9">
        <f t="shared" si="0"/>
        <v>10.026</v>
      </c>
      <c r="N9">
        <f t="shared" si="1"/>
        <v>56.004476299561965</v>
      </c>
    </row>
    <row r="10" spans="9:14" x14ac:dyDescent="0.2">
      <c r="I10">
        <f t="shared" si="2"/>
        <v>35</v>
      </c>
      <c r="J10">
        <f>SQRT(I10*2/airplane!$B$27/airplane!$B$41)</f>
        <v>6.271207765546202</v>
      </c>
      <c r="K10">
        <f>1/(airplane!$B$40*airplane!$B$9*airplane!$B$10)*(airplane!$B$37+'Rate of climb'!J10/(0.866*airplane!$B$12*SQRT(airplane!$B$39)))</f>
        <v>12.692705599443572</v>
      </c>
      <c r="M10">
        <f t="shared" si="0"/>
        <v>11.696999999999999</v>
      </c>
      <c r="N10">
        <f t="shared" si="1"/>
        <v>56.457154506325011</v>
      </c>
    </row>
    <row r="11" spans="9:14" x14ac:dyDescent="0.2">
      <c r="I11">
        <f t="shared" si="2"/>
        <v>40</v>
      </c>
      <c r="J11">
        <f>SQRT(I11*2/airplane!$B$27/airplane!$B$41)</f>
        <v>6.7042031028428717</v>
      </c>
      <c r="K11">
        <f>1/(airplane!$B$40*airplane!$B$9*airplane!$B$10)*(airplane!$B$37+'Rate of climb'!J11/(0.866*airplane!$B$12*SQRT(airplane!$B$39)))</f>
        <v>12.787431903740165</v>
      </c>
      <c r="M11">
        <f t="shared" si="0"/>
        <v>13.368</v>
      </c>
      <c r="N11">
        <f t="shared" si="1"/>
        <v>56.87849710783626</v>
      </c>
    </row>
    <row r="12" spans="9:14" x14ac:dyDescent="0.2">
      <c r="I12">
        <f t="shared" si="2"/>
        <v>45</v>
      </c>
      <c r="J12">
        <f>SQRT(I12*2/airplane!$B$27/airplane!$B$41)</f>
        <v>7.1108812147081313</v>
      </c>
      <c r="K12">
        <f>1/(airplane!$B$40*airplane!$B$9*airplane!$B$10)*(airplane!$B$37+'Rate of climb'!J12/(0.866*airplane!$B$12*SQRT(airplane!$B$39)))</f>
        <v>12.876400793834513</v>
      </c>
      <c r="M12">
        <f t="shared" si="0"/>
        <v>15.039</v>
      </c>
      <c r="N12">
        <f t="shared" si="1"/>
        <v>57.274230730975923</v>
      </c>
    </row>
    <row r="13" spans="9:14" x14ac:dyDescent="0.2">
      <c r="I13">
        <f t="shared" si="2"/>
        <v>50</v>
      </c>
      <c r="J13">
        <f>SQRT(I13*2/airplane!$B$27/airplane!$B$41)</f>
        <v>7.4955269364608377</v>
      </c>
      <c r="K13">
        <f>1/(airplane!$B$40*airplane!$B$9*airplane!$B$10)*(airplane!$B$37+'Rate of climb'!J13/(0.866*airplane!$B$12*SQRT(airplane!$B$39)))</f>
        <v>12.960549662301808</v>
      </c>
      <c r="M13">
        <f t="shared" si="0"/>
        <v>16.71</v>
      </c>
      <c r="N13">
        <f t="shared" si="1"/>
        <v>57.648524897918449</v>
      </c>
    </row>
    <row r="14" spans="9:14" x14ac:dyDescent="0.2">
      <c r="I14">
        <f t="shared" si="2"/>
        <v>55</v>
      </c>
      <c r="J14">
        <f>SQRT(I14*2/airplane!$B$27/airplane!$B$41)</f>
        <v>7.8613749726578357</v>
      </c>
      <c r="K14">
        <f>1/(airplane!$B$40*airplane!$B$9*airplane!$B$10)*(airplane!$B$37+'Rate of climb'!J14/(0.866*airplane!$B$12*SQRT(airplane!$B$39)))</f>
        <v>13.040586164818148</v>
      </c>
      <c r="M14">
        <f t="shared" si="0"/>
        <v>18.381</v>
      </c>
      <c r="N14">
        <f t="shared" si="1"/>
        <v>58.004527261111129</v>
      </c>
    </row>
    <row r="15" spans="9:14" x14ac:dyDescent="0.2">
      <c r="I15">
        <f t="shared" si="2"/>
        <v>60</v>
      </c>
      <c r="J15">
        <f>SQRT(I15*2/airplane!$B$27/airplane!$B$41)</f>
        <v>8.2109383669743856</v>
      </c>
      <c r="K15">
        <f>1/(airplane!$B$40*airplane!$B$9*airplane!$B$10)*(airplane!$B$37+'Rate of climb'!J15/(0.866*airplane!$B$12*SQRT(airplane!$B$39)))</f>
        <v>13.117060079451301</v>
      </c>
      <c r="M15">
        <f t="shared" si="0"/>
        <v>20.052</v>
      </c>
      <c r="N15">
        <f t="shared" si="1"/>
        <v>58.344683233399394</v>
      </c>
    </row>
    <row r="16" spans="9:14" x14ac:dyDescent="0.2">
      <c r="I16">
        <f t="shared" si="2"/>
        <v>65</v>
      </c>
      <c r="J16">
        <f>SQRT(I16*2/airplane!$B$27/airplane!$B$41)</f>
        <v>8.5462156111212746</v>
      </c>
      <c r="K16">
        <f>1/(airplane!$B$40*airplane!$B$9*airplane!$B$10)*(airplane!$B$37+'Rate of climb'!J16/(0.866*airplane!$B$12*SQRT(airplane!$B$39)))</f>
        <v>13.190408615837553</v>
      </c>
      <c r="M16">
        <f t="shared" si="0"/>
        <v>21.722999999999999</v>
      </c>
      <c r="N16">
        <f t="shared" si="1"/>
        <v>58.670937523245442</v>
      </c>
    </row>
    <row r="17" spans="9:14" x14ac:dyDescent="0.2">
      <c r="I17">
        <f t="shared" si="2"/>
        <v>70</v>
      </c>
      <c r="J17">
        <f>SQRT(I17*2/airplane!$B$27/airplane!$B$41)</f>
        <v>8.8688270744949129</v>
      </c>
      <c r="K17">
        <f>1/(airplane!$B$40*airplane!$B$9*airplane!$B$10)*(airplane!$B$37+'Rate of climb'!J17/(0.866*airplane!$B$12*SQRT(airplane!$B$39)))</f>
        <v>13.260986261869252</v>
      </c>
      <c r="M17">
        <f t="shared" si="0"/>
        <v>23.393999999999998</v>
      </c>
      <c r="N17">
        <f t="shared" si="1"/>
        <v>58.984866892794443</v>
      </c>
    </row>
    <row r="18" spans="9:14" x14ac:dyDescent="0.2">
      <c r="I18">
        <f t="shared" si="2"/>
        <v>75</v>
      </c>
      <c r="J18">
        <f>SQRT(I18*2/airplane!$B$27/airplane!$B$41)</f>
        <v>9.1801081738079198</v>
      </c>
      <c r="K18">
        <f>1/(airplane!$B$40*airplane!$B$9*airplane!$B$10)*(airplane!$B$37+'Rate of climb'!J18/(0.866*airplane!$B$12*SQRT(airplane!$B$39)))</f>
        <v>13.329085166396482</v>
      </c>
      <c r="M18">
        <f t="shared" si="0"/>
        <v>25.065000000000001</v>
      </c>
      <c r="N18">
        <f t="shared" si="1"/>
        <v>59.287770820131556</v>
      </c>
    </row>
    <row r="19" spans="9:14" x14ac:dyDescent="0.2">
      <c r="I19">
        <f t="shared" si="2"/>
        <v>80</v>
      </c>
      <c r="J19">
        <f>SQRT(I19*2/airplane!$B$27/airplane!$B$41)</f>
        <v>9.4811749529441762</v>
      </c>
      <c r="K19">
        <f>1/(airplane!$B$40*airplane!$B$9*airplane!$B$10)*(airplane!$B$37+'Rate of climb'!J19/(0.866*airplane!$B$12*SQRT(airplane!$B$39)))</f>
        <v>13.394949486118975</v>
      </c>
      <c r="M19">
        <f t="shared" si="0"/>
        <v>26.736000000000001</v>
      </c>
      <c r="N19">
        <f t="shared" si="1"/>
        <v>59.580735314257204</v>
      </c>
    </row>
    <row r="20" spans="9:14" x14ac:dyDescent="0.2">
      <c r="I20">
        <f t="shared" si="2"/>
        <v>85</v>
      </c>
      <c r="J20">
        <f>SQRT(I20*2/airplane!$B$27/airplane!$B$41)</f>
        <v>9.7729714464873467</v>
      </c>
      <c r="K20">
        <f>1/(airplane!$B$40*airplane!$B$9*airplane!$B$10)*(airplane!$B$37+'Rate of climb'!J20/(0.866*airplane!$B$12*SQRT(airplane!$B$39)))</f>
        <v>13.458785747295872</v>
      </c>
      <c r="M20">
        <f t="shared" si="0"/>
        <v>28.407</v>
      </c>
      <c r="N20">
        <f t="shared" si="1"/>
        <v>59.864679003972043</v>
      </c>
    </row>
    <row r="21" spans="9:14" x14ac:dyDescent="0.2">
      <c r="I21">
        <f t="shared" si="2"/>
        <v>90</v>
      </c>
      <c r="J21">
        <f>SQRT(I21*2/airplane!$B$27/airplane!$B$41)</f>
        <v>10.056304654264308</v>
      </c>
      <c r="K21">
        <f>1/(airplane!$B$40*airplane!$B$9*airplane!$B$10)*(airplane!$B$37+'Rate of climb'!J21/(0.866*airplane!$B$12*SQRT(airplane!$B$39)))</f>
        <v>13.520770497119683</v>
      </c>
      <c r="M21">
        <f t="shared" si="0"/>
        <v>30.077999999999999</v>
      </c>
      <c r="N21">
        <f t="shared" si="1"/>
        <v>60.140387171188358</v>
      </c>
    </row>
    <row r="22" spans="9:14" x14ac:dyDescent="0.2">
      <c r="I22">
        <f t="shared" si="2"/>
        <v>95</v>
      </c>
      <c r="J22">
        <f>SQRT(I22*2/airplane!$B$27/airplane!$B$41)</f>
        <v>10.331870871478165</v>
      </c>
      <c r="K22">
        <f>1/(airplane!$B$40*airplane!$B$9*airplane!$B$10)*(airplane!$B$37+'Rate of climb'!J22/(0.866*airplane!$B$12*SQRT(airplane!$B$39)))</f>
        <v>13.581056063954264</v>
      </c>
      <c r="M22">
        <f t="shared" si="0"/>
        <v>31.748999999999999</v>
      </c>
      <c r="N22">
        <f t="shared" si="1"/>
        <v>60.408537372468572</v>
      </c>
    </row>
    <row r="23" spans="9:14" x14ac:dyDescent="0.2">
      <c r="I23">
        <f t="shared" si="2"/>
        <v>100</v>
      </c>
      <c r="J23">
        <f>SQRT(I23*2/airplane!$B$27/airplane!$B$41)</f>
        <v>10.600275850675773</v>
      </c>
      <c r="K23">
        <f>1/(airplane!$B$40*airplane!$B$9*airplane!$B$10)*(airplane!$B$37+'Rate of climb'!J23/(0.866*airplane!$B$12*SQRT(airplane!$B$39)))</f>
        <v>13.639774968164481</v>
      </c>
      <c r="M23">
        <f t="shared" si="0"/>
        <v>33.42</v>
      </c>
      <c r="N23">
        <f t="shared" si="1"/>
        <v>60.669719058395614</v>
      </c>
    </row>
    <row r="24" spans="9:14" x14ac:dyDescent="0.2">
      <c r="I24">
        <f t="shared" si="2"/>
        <v>105</v>
      </c>
      <c r="J24">
        <f>SQRT(I24*2/airplane!$B$27/airplane!$B$41)</f>
        <v>10.862050474746514</v>
      </c>
      <c r="K24">
        <f>1/(airplane!$B$40*airplane!$B$9*airplane!$B$10)*(airplane!$B$37+'Rate of climb'!J24/(0.866*airplane!$B$12*SQRT(airplane!$B$39)))</f>
        <v>13.697043350895036</v>
      </c>
      <c r="M24">
        <f t="shared" si="0"/>
        <v>35.091000000000001</v>
      </c>
      <c r="N24">
        <f t="shared" si="1"/>
        <v>60.92444882478113</v>
      </c>
    </row>
    <row r="25" spans="9:14" x14ac:dyDescent="0.2">
      <c r="I25">
        <f t="shared" si="2"/>
        <v>110</v>
      </c>
      <c r="J25">
        <f>SQRT(I25*2/airplane!$B$27/airplane!$B$41)</f>
        <v>11.117663105233131</v>
      </c>
      <c r="K25">
        <f>1/(airplane!$B$40*airplane!$B$9*airplane!$B$10)*(airplane!$B$37+'Rate of climb'!J25/(0.866*airplane!$B$12*SQRT(airplane!$B$39)))</f>
        <v>13.752963675507996</v>
      </c>
      <c r="M25">
        <f t="shared" si="0"/>
        <v>36.762</v>
      </c>
      <c r="N25">
        <f t="shared" si="1"/>
        <v>61.173182428659572</v>
      </c>
    </row>
    <row r="26" spans="9:14" x14ac:dyDescent="0.2">
      <c r="I26">
        <f t="shared" si="2"/>
        <v>115</v>
      </c>
      <c r="J26">
        <f>SQRT(I26*2/airplane!$B$27/airplane!$B$41)</f>
        <v>11.367529429343167</v>
      </c>
      <c r="K26">
        <f>1/(airplane!$B$40*airplane!$B$9*airplane!$B$10)*(airplane!$B$37+'Rate of climb'!J26/(0.866*airplane!$B$12*SQRT(airplane!$B$39)))</f>
        <v>13.807626881811537</v>
      </c>
      <c r="M26">
        <f t="shared" si="0"/>
        <v>38.433</v>
      </c>
      <c r="N26">
        <f t="shared" si="1"/>
        <v>61.416324370297723</v>
      </c>
    </row>
    <row r="27" spans="9:14" x14ac:dyDescent="0.2">
      <c r="I27">
        <f t="shared" si="2"/>
        <v>120</v>
      </c>
      <c r="J27">
        <f>SQRT(I27*2/airplane!$B$27/airplane!$B$41)</f>
        <v>11.61202039838477</v>
      </c>
      <c r="K27">
        <f>1/(airplane!$B$40*airplane!$B$9*airplane!$B$10)*(airplane!$B$37+'Rate of climb'!J27/(0.866*airplane!$B$12*SQRT(airplane!$B$39)))</f>
        <v>13.861114122749965</v>
      </c>
      <c r="M27">
        <f t="shared" si="0"/>
        <v>40.103999999999999</v>
      </c>
      <c r="N27">
        <f t="shared" si="1"/>
        <v>61.654235617991851</v>
      </c>
    </row>
    <row r="28" spans="9:14" x14ac:dyDescent="0.2">
      <c r="I28">
        <f t="shared" si="2"/>
        <v>125</v>
      </c>
      <c r="J28">
        <f>SQRT(I28*2/airplane!$B$27/airplane!$B$41)</f>
        <v>11.851468691180218</v>
      </c>
      <c r="K28">
        <f>1/(airplane!$B$40*airplane!$B$9*airplane!$B$10)*(airplane!$B$37+'Rate of climb'!J28/(0.866*airplane!$B$12*SQRT(airplane!$B$39)))</f>
        <v>13.913498178403435</v>
      </c>
      <c r="M28">
        <f t="shared" si="0"/>
        <v>41.774999999999999</v>
      </c>
      <c r="N28">
        <f t="shared" si="1"/>
        <v>61.887239897538485</v>
      </c>
    </row>
    <row r="29" spans="9:14" x14ac:dyDescent="0.2">
      <c r="I29">
        <f t="shared" si="2"/>
        <v>130</v>
      </c>
      <c r="J29">
        <f>SQRT(I29*2/airplane!$B$27/airplane!$B$41)</f>
        <v>12.086174024212376</v>
      </c>
      <c r="K29">
        <f>1/(airplane!$B$40*airplane!$B$9*airplane!$B$10)*(airplane!$B$37+'Rate of climb'!J29/(0.866*airplane!$B$12*SQRT(airplane!$B$39)))</f>
        <v>13.964844617687618</v>
      </c>
      <c r="M29">
        <f t="shared" si="0"/>
        <v>43.445999999999998</v>
      </c>
      <c r="N29">
        <f t="shared" si="1"/>
        <v>62.115628859474526</v>
      </c>
    </row>
    <row r="30" spans="9:14" x14ac:dyDescent="0.2">
      <c r="I30">
        <f t="shared" si="2"/>
        <v>135</v>
      </c>
      <c r="J30">
        <f>SQRT(I30*2/airplane!$B$27/airplane!$B$41)</f>
        <v>12.316407550461578</v>
      </c>
      <c r="K30">
        <f>1/(airplane!$B$40*airplane!$B$9*airplane!$B$10)*(airplane!$B$37+'Rate of climb'!J30/(0.866*airplane!$B$12*SQRT(airplane!$B$39)))</f>
        <v>14.015212760686387</v>
      </c>
      <c r="M30">
        <f t="shared" si="0"/>
        <v>45.116999999999997</v>
      </c>
      <c r="N30">
        <f t="shared" si="1"/>
        <v>62.339666359533055</v>
      </c>
    </row>
    <row r="31" spans="9:14" x14ac:dyDescent="0.2">
      <c r="I31">
        <f>I30+5</f>
        <v>140</v>
      </c>
      <c r="J31">
        <f>SQRT(I31*2/airplane!$B$27/airplane!$B$41)</f>
        <v>12.542415531092404</v>
      </c>
      <c r="K31">
        <f>1/(airplane!$B$40*airplane!$B$9*airplane!$B$10)*(airplane!$B$37+'Rate of climb'!J31/(0.866*airplane!$B$12*SQRT(airplane!$B$39)))</f>
        <v>14.064656481906013</v>
      </c>
      <c r="M31">
        <f t="shared" si="0"/>
        <v>46.787999999999997</v>
      </c>
      <c r="N31">
        <f t="shared" si="1"/>
        <v>62.559592031517951</v>
      </c>
    </row>
    <row r="32" spans="9:14" x14ac:dyDescent="0.2">
      <c r="I32">
        <f t="shared" si="2"/>
        <v>145</v>
      </c>
      <c r="J32">
        <f>SQRT(I32*2/airplane!$B$27/airplane!$B$41)</f>
        <v>12.764422421720028</v>
      </c>
      <c r="K32">
        <f>1/(airplane!$B$40*airplane!$B$9*airplane!$B$10)*(airplane!$B$37+'Rate of climb'!J32/(0.866*airplane!$B$12*SQRT(airplane!$B$39)))</f>
        <v>14.113224885457029</v>
      </c>
      <c r="M32">
        <f t="shared" si="0"/>
        <v>48.458999999999996</v>
      </c>
      <c r="N32">
        <f t="shared" si="1"/>
        <v>62.775624290512873</v>
      </c>
    </row>
    <row r="33" spans="9:14" x14ac:dyDescent="0.2">
      <c r="I33">
        <f t="shared" si="2"/>
        <v>150</v>
      </c>
      <c r="J33">
        <f>SQRT(I33*2/airplane!$B$27/airplane!$B$41)</f>
        <v>12.982633483451266</v>
      </c>
      <c r="K33">
        <f>1/(airplane!$B$40*airplane!$B$9*airplane!$B$10)*(airplane!$B$37+'Rate of climb'!J33/(0.866*airplane!$B$12*SQRT(airplane!$B$39)))</f>
        <v>14.160962876271174</v>
      </c>
      <c r="M33">
        <f t="shared" si="0"/>
        <v>50.13</v>
      </c>
      <c r="N33">
        <f t="shared" si="1"/>
        <v>62.98796287365419</v>
      </c>
    </row>
    <row r="34" spans="9:14" x14ac:dyDescent="0.2">
      <c r="I34">
        <f t="shared" si="2"/>
        <v>155</v>
      </c>
      <c r="J34">
        <f>SQRT(I34*2/airplane!$B$27/airplane!$B$41)</f>
        <v>13.197237005189798</v>
      </c>
      <c r="K34">
        <f>1/(airplane!$B$40*airplane!$B$9*airplane!$B$10)*(airplane!$B$37+'Rate of climb'!J34/(0.866*airplane!$B$12*SQRT(airplane!$B$39)))</f>
        <v>14.207911646274663</v>
      </c>
      <c r="M34">
        <f t="shared" si="0"/>
        <v>51.801000000000002</v>
      </c>
      <c r="N34">
        <f t="shared" si="1"/>
        <v>63.196791002629709</v>
      </c>
    </row>
    <row r="35" spans="9:14" x14ac:dyDescent="0.2">
      <c r="I35">
        <f t="shared" si="2"/>
        <v>160</v>
      </c>
      <c r="J35">
        <f>SQRT(I35*2/airplane!$B$27/airplane!$B$41)</f>
        <v>13.408406205685743</v>
      </c>
      <c r="K35">
        <f>1/(airplane!$B$40*airplane!$B$9*airplane!$B$10)*(airplane!$B$37+'Rate of climb'!J35/(0.866*airplane!$B$12*SQRT(airplane!$B$39)))</f>
        <v>14.254109090499201</v>
      </c>
      <c r="M35">
        <f t="shared" si="0"/>
        <v>53.472000000000001</v>
      </c>
      <c r="N35">
        <f t="shared" si="1"/>
        <v>63.402277234540449</v>
      </c>
    </row>
    <row r="36" spans="9:14" x14ac:dyDescent="0.2">
      <c r="I36">
        <f t="shared" si="2"/>
        <v>165</v>
      </c>
      <c r="J36">
        <f>SQRT(I36*2/airplane!$B$27/airplane!$B$41)</f>
        <v>13.616300869993765</v>
      </c>
      <c r="K36">
        <f>1/(airplane!$B$40*airplane!$B$9*airplane!$B$10)*(airplane!$B$37+'Rate of climb'!J36/(0.866*airplane!$B$12*SQRT(airplane!$B$39)))</f>
        <v>14.299590165089587</v>
      </c>
      <c r="M36">
        <f t="shared" si="0"/>
        <v>55.143000000000001</v>
      </c>
      <c r="N36">
        <f t="shared" si="1"/>
        <v>63.60457705431849</v>
      </c>
    </row>
    <row r="37" spans="9:14" x14ac:dyDescent="0.2">
      <c r="I37">
        <f t="shared" si="2"/>
        <v>170</v>
      </c>
      <c r="J37">
        <f>SQRT(I37*2/airplane!$B$27/airplane!$B$41)</f>
        <v>13.821068764307411</v>
      </c>
      <c r="K37">
        <f>1/(airplane!$B$40*airplane!$B$9*airplane!$B$10)*(airplane!$B$37+'Rate of climb'!J37/(0.866*airplane!$B$12*SQRT(airplane!$B$39)))</f>
        <v>14.34438719682676</v>
      </c>
      <c r="M37">
        <f t="shared" si="0"/>
        <v>56.814</v>
      </c>
      <c r="N37">
        <f t="shared" si="1"/>
        <v>63.803834251485434</v>
      </c>
    </row>
    <row r="38" spans="9:14" x14ac:dyDescent="0.2">
      <c r="I38">
        <f t="shared" si="2"/>
        <v>175</v>
      </c>
      <c r="J38">
        <f>SQRT(I38*2/airplane!$B$27/airplane!$B$41)</f>
        <v>14.022846864785871</v>
      </c>
      <c r="K38">
        <f>1/(airplane!$B$40*airplane!$B$9*airplane!$B$10)*(airplane!$B$37+'Rate of climb'!J38/(0.866*airplane!$B$12*SQRT(airplane!$B$39)))</f>
        <v>14.388530151957973</v>
      </c>
      <c r="M38">
        <f t="shared" si="0"/>
        <v>58.484999999999999</v>
      </c>
      <c r="N38">
        <f t="shared" si="1"/>
        <v>64.00018211590907</v>
      </c>
    </row>
    <row r="39" spans="9:14" x14ac:dyDescent="0.2">
      <c r="I39">
        <f t="shared" si="2"/>
        <v>180</v>
      </c>
      <c r="J39">
        <f>SQRT(I39*2/airplane!$B$27/airplane!$B$41)</f>
        <v>14.221762429416263</v>
      </c>
      <c r="K39">
        <f>1/(airplane!$B$40*airplane!$B$9*airplane!$B$10)*(airplane!$B$37+'Rate of climb'!J39/(0.866*airplane!$B$12*SQRT(airplane!$B$39)))</f>
        <v>14.432046870687897</v>
      </c>
      <c r="M39">
        <f t="shared" si="0"/>
        <v>60.155999999999999</v>
      </c>
      <c r="N39">
        <f t="shared" si="1"/>
        <v>64.193744480819774</v>
      </c>
    </row>
    <row r="40" spans="9:14" x14ac:dyDescent="0.2">
      <c r="I40">
        <f t="shared" si="2"/>
        <v>185</v>
      </c>
      <c r="J40">
        <f>SQRT(I40*2/airplane!$B$27/airplane!$B$41)</f>
        <v>14.417933936742704</v>
      </c>
      <c r="K40">
        <f>1/(airplane!$B$40*airplane!$B$9*airplane!$B$10)*(airplane!$B$37+'Rate of climb'!J40/(0.866*airplane!$B$12*SQRT(airplane!$B$39)))</f>
        <v>14.474963272544191</v>
      </c>
      <c r="M40">
        <f t="shared" si="0"/>
        <v>61.826999999999998</v>
      </c>
      <c r="N40">
        <f t="shared" si="1"/>
        <v>64.384636636276568</v>
      </c>
    </row>
    <row r="41" spans="9:14" x14ac:dyDescent="0.2">
      <c r="I41">
        <f t="shared" si="2"/>
        <v>190</v>
      </c>
      <c r="J41">
        <f>SQRT(I41*2/airplane!$B$27/airplane!$B$41)</f>
        <v>14.61147191113195</v>
      </c>
      <c r="K41">
        <f>1/(airplane!$B$40*airplane!$B$9*airplane!$B$10)*(airplane!$B$37+'Rate of climb'!J41/(0.866*airplane!$B$12*SQRT(airplane!$B$39)))</f>
        <v>14.517303536920712</v>
      </c>
      <c r="M41">
        <f t="shared" si="0"/>
        <v>63.497999999999998</v>
      </c>
      <c r="N41">
        <f t="shared" si="1"/>
        <v>64.572966132223328</v>
      </c>
    </row>
    <row r="42" spans="9:14" x14ac:dyDescent="0.2">
      <c r="I42">
        <f t="shared" si="2"/>
        <v>195</v>
      </c>
      <c r="J42">
        <f>SQRT(I42*2/airplane!$B$27/airplane!$B$41)</f>
        <v>14.80247965090035</v>
      </c>
      <c r="K42">
        <f>1/(airplane!$B$40*airplane!$B$9*airplane!$B$10)*(airplane!$B$37+'Rate of climb'!J42/(0.866*airplane!$B$12*SQRT(airplane!$B$39)))</f>
        <v>14.559090262369695</v>
      </c>
      <c r="M42">
        <f t="shared" si="0"/>
        <v>65.168999999999997</v>
      </c>
      <c r="N42">
        <f t="shared" si="1"/>
        <v>64.758833487020411</v>
      </c>
    </row>
    <row r="43" spans="9:14" x14ac:dyDescent="0.2">
      <c r="I43">
        <f t="shared" si="2"/>
        <v>200</v>
      </c>
      <c r="J43">
        <f>SQRT(I43*2/airplane!$B$27/airplane!$B$41)</f>
        <v>14.991053872921675</v>
      </c>
      <c r="K43">
        <f>1/(airplane!$B$40*airplane!$B$9*airplane!$B$10)*(airplane!$B$37+'Rate of climb'!J43/(0.866*airplane!$B$12*SQRT(airplane!$B$39)))</f>
        <v>14.600344607622485</v>
      </c>
      <c r="M43">
        <f t="shared" si="0"/>
        <v>66.84</v>
      </c>
      <c r="N43">
        <f t="shared" si="1"/>
        <v>64.942332814704827</v>
      </c>
    </row>
    <row r="44" spans="9:14" x14ac:dyDescent="0.2">
      <c r="I44">
        <f t="shared" si="2"/>
        <v>205</v>
      </c>
      <c r="J44">
        <f>SQRT(I44*2/airplane!$B$27/airplane!$B$41)</f>
        <v>15.177285285134523</v>
      </c>
      <c r="K44">
        <f>1/(airplane!$B$40*airplane!$B$9*airplane!$B$10)*(airplane!$B$37+'Rate of climb'!J44/(0.866*airplane!$B$12*SQRT(airplane!$B$39)))</f>
        <v>14.64108641683687</v>
      </c>
      <c r="M44">
        <f t="shared" si="0"/>
        <v>68.510999999999996</v>
      </c>
      <c r="N44">
        <f t="shared" si="1"/>
        <v>65.123552382090409</v>
      </c>
    </row>
    <row r="45" spans="9:14" x14ac:dyDescent="0.2">
      <c r="I45">
        <f t="shared" si="2"/>
        <v>210</v>
      </c>
      <c r="J45">
        <f>SQRT(I45*2/airplane!$B$27/airplane!$B$41)</f>
        <v>15.361259096567636</v>
      </c>
      <c r="K45">
        <f>1/(airplane!$B$40*airplane!$B$9*airplane!$B$10)*(airplane!$B$37+'Rate of climb'!J45/(0.866*airplane!$B$12*SQRT(airplane!$B$39)))</f>
        <v>14.68133433117521</v>
      </c>
      <c r="M45">
        <f t="shared" si="0"/>
        <v>70.182000000000002</v>
      </c>
      <c r="N45">
        <f t="shared" si="1"/>
        <v>65.302575105067334</v>
      </c>
    </row>
    <row r="46" spans="9:14" x14ac:dyDescent="0.2">
      <c r="I46">
        <f t="shared" si="2"/>
        <v>215</v>
      </c>
      <c r="J46">
        <f>SQRT(I46*2/airplane!$B$27/airplane!$B$41)</f>
        <v>15.543055473020836</v>
      </c>
      <c r="K46">
        <f>1/(airplane!$B$40*airplane!$B$9*airplane!$B$10)*(airplane!$B$37+'Rate of climb'!J46/(0.866*airplane!$B$12*SQRT(airplane!$B$39)))</f>
        <v>14.721105888493678</v>
      </c>
      <c r="M46">
        <f t="shared" si="0"/>
        <v>71.852999999999994</v>
      </c>
      <c r="N46">
        <f t="shared" si="1"/>
        <v>65.479478992019892</v>
      </c>
    </row>
    <row r="47" spans="9:14" x14ac:dyDescent="0.2">
      <c r="I47">
        <f t="shared" si="2"/>
        <v>220</v>
      </c>
      <c r="J47">
        <f>SQRT(I47*2/airplane!$B$27/airplane!$B$41)</f>
        <v>15.722749945315671</v>
      </c>
      <c r="K47">
        <f>1/(airplane!$B$40*airplane!$B$9*airplane!$B$10)*(airplane!$B$37+'Rate of climb'!J47/(0.866*airplane!$B$12*SQRT(airplane!$B$39)))</f>
        <v>14.760417612655164</v>
      </c>
      <c r="M47">
        <f t="shared" si="0"/>
        <v>73.524000000000001</v>
      </c>
      <c r="N47">
        <f t="shared" si="1"/>
        <v>65.654337541090172</v>
      </c>
    </row>
    <row r="48" spans="9:14" x14ac:dyDescent="0.2">
      <c r="I48">
        <f t="shared" si="2"/>
        <v>225</v>
      </c>
      <c r="J48">
        <f>SQRT(I48*2/airplane!$B$27/airplane!$B$41)</f>
        <v>15.900413776013659</v>
      </c>
      <c r="K48">
        <f>1/(airplane!$B$40*airplane!$B$9*airplane!$B$10)*(airplane!$B$37+'Rate of climb'!J48/(0.866*airplane!$B$12*SQRT(airplane!$B$39)))</f>
        <v>14.799285093756156</v>
      </c>
      <c r="M48">
        <f t="shared" si="0"/>
        <v>75.194999999999993</v>
      </c>
      <c r="N48">
        <f t="shared" si="1"/>
        <v>65.827220097027393</v>
      </c>
    </row>
    <row r="49" spans="9:14" x14ac:dyDescent="0.2">
      <c r="I49">
        <f t="shared" si="2"/>
        <v>230</v>
      </c>
      <c r="J49">
        <f>SQRT(I49*2/airplane!$B$27/airplane!$B$41)</f>
        <v>16.076114289652395</v>
      </c>
      <c r="K49">
        <f>1/(airplane!$B$40*airplane!$B$9*airplane!$B$10)*(airplane!$B$37+'Rate of climb'!J49/(0.866*airplane!$B$12*SQRT(airplane!$B$39)))</f>
        <v>14.837723060372427</v>
      </c>
      <c r="M49">
        <f t="shared" si="0"/>
        <v>76.866</v>
      </c>
      <c r="N49">
        <f t="shared" si="1"/>
        <v>65.998192172536562</v>
      </c>
    </row>
    <row r="50" spans="9:14" x14ac:dyDescent="0.2">
      <c r="I50">
        <f t="shared" si="2"/>
        <v>235</v>
      </c>
      <c r="J50">
        <f>SQRT(I50*2/airplane!$B$27/airplane!$B$41)</f>
        <v>16.249915170839721</v>
      </c>
      <c r="K50">
        <f>1/(airplane!$B$40*airplane!$B$9*airplane!$B$10)*(airplane!$B$37+'Rate of climb'!J50/(0.866*airplane!$B$12*SQRT(airplane!$B$39)))</f>
        <v>14.875745444773038</v>
      </c>
      <c r="M50">
        <f t="shared" si="0"/>
        <v>78.537000000000006</v>
      </c>
      <c r="N50">
        <f t="shared" si="1"/>
        <v>66.167315738350482</v>
      </c>
    </row>
    <row r="51" spans="9:14" x14ac:dyDescent="0.2">
      <c r="I51">
        <f t="shared" si="2"/>
        <v>240</v>
      </c>
      <c r="J51">
        <f>SQRT(I51*2/airplane!$B$27/airplane!$B$41)</f>
        <v>16.421876733948771</v>
      </c>
      <c r="K51">
        <f>1/(airplane!$B$40*airplane!$B$9*airplane!$B$10)*(airplane!$B$37+'Rate of climb'!J51/(0.866*airplane!$B$12*SQRT(airplane!$B$39)))</f>
        <v>14.913365441921473</v>
      </c>
      <c r="M51">
        <f t="shared" si="0"/>
        <v>80.207999999999998</v>
      </c>
      <c r="N51">
        <f t="shared" si="1"/>
        <v>66.334649485666716</v>
      </c>
    </row>
    <row r="52" spans="9:14" x14ac:dyDescent="0.2">
      <c r="I52">
        <f t="shared" si="2"/>
        <v>245</v>
      </c>
      <c r="J52">
        <f>SQRT(I52*2/airplane!$B$27/airplane!$B$41)</f>
        <v>16.592056167652306</v>
      </c>
      <c r="K52">
        <f>1/(airplane!$B$40*airplane!$B$9*airplane!$B$10)*(airplane!$B$37+'Rate of climb'!J52/(0.866*airplane!$B$12*SQRT(airplane!$B$39)))</f>
        <v>14.950595562972355</v>
      </c>
      <c r="M52">
        <f t="shared" si="0"/>
        <v>81.879000000000005</v>
      </c>
      <c r="N52">
        <f t="shared" si="1"/>
        <v>66.500249064101041</v>
      </c>
    </row>
    <row r="53" spans="9:14" x14ac:dyDescent="0.2">
      <c r="I53">
        <f>I52+5</f>
        <v>250</v>
      </c>
      <c r="J53">
        <f>SQRT(I53*2/airplane!$B$27/airplane!$B$41)</f>
        <v>16.760507757107177</v>
      </c>
      <c r="K53">
        <f>1/(airplane!$B$40*airplane!$B$9*airplane!$B$10)*(airplane!$B$37+'Rate of climb'!J53/(0.866*airplane!$B$12*SQRT(airplane!$B$39)))</f>
        <v>14.987447683878717</v>
      </c>
      <c r="M53">
        <f t="shared" si="0"/>
        <v>83.55</v>
      </c>
      <c r="N53">
        <f t="shared" si="1"/>
        <v>66.664167297892533</v>
      </c>
    </row>
    <row r="54" spans="9:14" x14ac:dyDescent="0.2">
      <c r="I54">
        <f t="shared" si="2"/>
        <v>255</v>
      </c>
      <c r="J54">
        <f>SQRT(I54*2/airplane!$B$27/airplane!$B$41)</f>
        <v>16.927283086235988</v>
      </c>
      <c r="K54">
        <f>1/(airplane!$B$40*airplane!$B$9*airplane!$B$10)*(airplane!$B$37+'Rate of climb'!J54/(0.866*airplane!$B$12*SQRT(airplane!$B$39)))</f>
        <v>15.023933089645098</v>
      </c>
      <c r="M54">
        <f t="shared" ref="M54:M62" si="3">I54*0.3342</f>
        <v>85.221000000000004</v>
      </c>
      <c r="N54">
        <f t="shared" ref="N54:N62" si="4">K54*4.448</f>
        <v>66.826454382741403</v>
      </c>
    </row>
    <row r="55" spans="9:14" x14ac:dyDescent="0.2">
      <c r="I55">
        <f t="shared" si="2"/>
        <v>260</v>
      </c>
      <c r="J55">
        <f>SQRT(I55*2/airplane!$B$27/airplane!$B$41)</f>
        <v>17.092431222242549</v>
      </c>
      <c r="K55">
        <f>1/(airplane!$B$40*airplane!$B$9*airplane!$B$10)*(airplane!$B$37+'Rate of climb'!J55/(0.866*airplane!$B$12*SQRT(airplane!$B$39)))</f>
        <v>15.060062514693975</v>
      </c>
      <c r="M55">
        <f t="shared" si="3"/>
        <v>86.891999999999996</v>
      </c>
      <c r="N55">
        <f t="shared" si="4"/>
        <v>66.987158065358813</v>
      </c>
    </row>
    <row r="56" spans="9:14" x14ac:dyDescent="0.2">
      <c r="I56">
        <f t="shared" si="2"/>
        <v>265</v>
      </c>
      <c r="J56">
        <f>SQRT(I56*2/airplane!$B$27/airplane!$B$41)</f>
        <v>17.255998884231911</v>
      </c>
      <c r="K56">
        <f>1/(airplane!$B$40*airplane!$B$9*airplane!$B$10)*(airplane!$B$37+'Rate of climb'!J56/(0.866*airplane!$B$12*SQRT(airplane!$B$39)))</f>
        <v>15.095846179754714</v>
      </c>
      <c r="M56">
        <f t="shared" si="3"/>
        <v>88.563000000000002</v>
      </c>
      <c r="N56">
        <f t="shared" si="4"/>
        <v>67.146323807548981</v>
      </c>
    </row>
    <row r="57" spans="9:14" x14ac:dyDescent="0.2">
      <c r="I57">
        <f t="shared" si="2"/>
        <v>270</v>
      </c>
      <c r="J57">
        <f>SQRT(I57*2/airplane!$B$27/airplane!$B$41)</f>
        <v>17.418030597577154</v>
      </c>
      <c r="K57">
        <f>1/(airplane!$B$40*airplane!$B$9*airplane!$B$10)*(airplane!$B$37+'Rate of climb'!J57/(0.866*airplane!$B$12*SQRT(airplane!$B$39)))</f>
        <v>15.131293825634382</v>
      </c>
      <c r="M57">
        <f t="shared" si="3"/>
        <v>90.233999999999995</v>
      </c>
      <c r="N57">
        <f t="shared" si="4"/>
        <v>67.303994936421731</v>
      </c>
    </row>
    <row r="58" spans="9:14" x14ac:dyDescent="0.2">
      <c r="I58">
        <f t="shared" si="2"/>
        <v>275</v>
      </c>
      <c r="J58">
        <f>SQRT(I58*2/airplane!$B$27/airplane!$B$41)</f>
        <v>17.578568835478471</v>
      </c>
      <c r="K58">
        <f>1/(airplane!$B$40*airplane!$B$9*airplane!$B$10)*(airplane!$B$37+'Rate of climb'!J58/(0.866*airplane!$B$12*SQRT(airplane!$B$39)))</f>
        <v>15.166414744186584</v>
      </c>
      <c r="M58">
        <f t="shared" si="3"/>
        <v>91.905000000000001</v>
      </c>
      <c r="N58">
        <f t="shared" si="4"/>
        <v>67.460212782141937</v>
      </c>
    </row>
    <row r="59" spans="9:14" x14ac:dyDescent="0.2">
      <c r="I59">
        <f t="shared" si="2"/>
        <v>280</v>
      </c>
      <c r="J59">
        <f>SQRT(I59*2/airplane!$B$27/airplane!$B$41)</f>
        <v>17.737654148989826</v>
      </c>
      <c r="K59">
        <f>1/(airplane!$B$40*airplane!$B$9*airplane!$B$10)*(airplane!$B$37+'Rate of climb'!J59/(0.866*airplane!$B$12*SQRT(airplane!$B$39)))</f>
        <v>15.201217806757374</v>
      </c>
      <c r="M59">
        <f t="shared" si="3"/>
        <v>93.575999999999993</v>
      </c>
      <c r="N59">
        <f t="shared" si="4"/>
        <v>67.615016804456801</v>
      </c>
    </row>
    <row r="60" spans="9:14" x14ac:dyDescent="0.2">
      <c r="I60">
        <f t="shared" si="2"/>
        <v>285</v>
      </c>
      <c r="J60">
        <f>SQRT(I60*2/airplane!$B$27/airplane!$B$41)</f>
        <v>17.895325286641114</v>
      </c>
      <c r="K60">
        <f>1/(airplane!$B$40*airplane!$B$9*airplane!$B$10)*(airplane!$B$37+'Rate of climb'!J60/(0.866*airplane!$B$12*SQRT(airplane!$B$39)))</f>
        <v>15.235711490354969</v>
      </c>
      <c r="M60">
        <f t="shared" si="3"/>
        <v>95.247</v>
      </c>
      <c r="N60">
        <f t="shared" si="4"/>
        <v>67.768444709098915</v>
      </c>
    </row>
    <row r="61" spans="9:14" x14ac:dyDescent="0.2">
      <c r="I61">
        <f t="shared" si="2"/>
        <v>290</v>
      </c>
      <c r="J61">
        <f>SQRT(I61*2/airplane!$B$27/airplane!$B$41)</f>
        <v>18.051619304655688</v>
      </c>
      <c r="K61">
        <f>1/(airplane!$B$40*airplane!$B$9*airplane!$B$10)*(airplane!$B$37+'Rate of climb'!J61/(0.866*airplane!$B$12*SQRT(airplane!$B$39)))</f>
        <v>15.269903901762028</v>
      </c>
      <c r="M61">
        <f t="shared" si="3"/>
        <v>96.917999999999992</v>
      </c>
      <c r="N61">
        <f t="shared" si="4"/>
        <v>67.920532555037511</v>
      </c>
    </row>
    <row r="62" spans="9:14" x14ac:dyDescent="0.2">
      <c r="I62">
        <f t="shared" si="2"/>
        <v>295</v>
      </c>
      <c r="J62">
        <f>SQRT(I62*2/airplane!$B$27/airplane!$B$41)</f>
        <v>18.206571668651375</v>
      </c>
      <c r="K62">
        <f>1/(airplane!$B$40*airplane!$B$9*airplane!$B$10)*(airplane!$B$37+'Rate of climb'!J62/(0.866*airplane!$B$12*SQRT(airplane!$B$39)))</f>
        <v>15.303802799784743</v>
      </c>
      <c r="M62">
        <f t="shared" si="3"/>
        <v>98.588999999999999</v>
      </c>
      <c r="N62">
        <f t="shared" si="4"/>
        <v>68.071314853442544</v>
      </c>
    </row>
    <row r="63" spans="9:14" x14ac:dyDescent="0.2">
      <c r="I63">
        <f t="shared" si="2"/>
        <v>300</v>
      </c>
      <c r="J63">
        <f>SQRT(I63*2/airplane!$B$27/airplane!$B$41)</f>
        <v>18.36021634761584</v>
      </c>
      <c r="K63">
        <f>1/(airplane!$B$40*airplane!$B$9*airplane!$B$10)*(airplane!$B$37+'Rate of climb'!J63/(0.866*airplane!$B$12*SQRT(airplane!$B$39)))</f>
        <v>15.337415615811834</v>
      </c>
      <c r="M63">
        <f t="shared" ref="M63:M126" si="5">I63*0.3342</f>
        <v>100.26</v>
      </c>
      <c r="N63">
        <f t="shared" ref="N63:N126" si="6">K63*4.448</f>
        <v>68.22082465913104</v>
      </c>
    </row>
    <row r="64" spans="9:14" x14ac:dyDescent="0.2">
      <c r="I64">
        <f t="shared" si="2"/>
        <v>305</v>
      </c>
      <c r="J64">
        <f>SQRT(I64*2/airplane!$B$27/airplane!$B$41)</f>
        <v>18.512585900861634</v>
      </c>
      <c r="K64">
        <f>1/(airplane!$B$40*airplane!$B$9*airplane!$B$10)*(airplane!$B$37+'Rate of climb'!J64/(0.866*airplane!$B$12*SQRT(airplane!$B$39)))</f>
        <v>15.370749472837662</v>
      </c>
      <c r="M64">
        <f t="shared" si="5"/>
        <v>101.931</v>
      </c>
      <c r="N64">
        <f t="shared" si="6"/>
        <v>68.369093655181928</v>
      </c>
    </row>
    <row r="65" spans="9:14" x14ac:dyDescent="0.2">
      <c r="I65">
        <f t="shared" si="2"/>
        <v>310</v>
      </c>
      <c r="J65">
        <f>SQRT(I65*2/airplane!$B$27/airplane!$B$41)</f>
        <v>18.663711558591501</v>
      </c>
      <c r="K65">
        <f>1/(airplane!$B$40*airplane!$B$9*airplane!$B$10)*(airplane!$B$37+'Rate of climb'!J65/(0.866*airplane!$B$12*SQRT(airplane!$B$39)))</f>
        <v>15.403811203087502</v>
      </c>
      <c r="M65">
        <f t="shared" si="5"/>
        <v>103.602</v>
      </c>
      <c r="N65">
        <f t="shared" si="6"/>
        <v>68.516152231333209</v>
      </c>
    </row>
    <row r="66" spans="9:14" x14ac:dyDescent="0.2">
      <c r="I66">
        <f t="shared" si="2"/>
        <v>315</v>
      </c>
      <c r="J66">
        <f>SQRT(I66*2/airplane!$B$27/airplane!$B$41)</f>
        <v>18.813623296638607</v>
      </c>
      <c r="K66">
        <f>1/(airplane!$B$40*airplane!$B$9*airplane!$B$10)*(airplane!$B$37+'Rate of climb'!J66/(0.866*airplane!$B$12*SQRT(airplane!$B$39)))</f>
        <v>15.436607364368454</v>
      </c>
      <c r="M66">
        <f t="shared" si="5"/>
        <v>105.273</v>
      </c>
      <c r="N66">
        <f t="shared" si="6"/>
        <v>68.662029556710891</v>
      </c>
    </row>
    <row r="67" spans="9:14" x14ac:dyDescent="0.2">
      <c r="I67">
        <f t="shared" si="2"/>
        <v>320</v>
      </c>
      <c r="J67">
        <f>SQRT(I67*2/airplane!$B$27/airplane!$B$41)</f>
        <v>18.962349905888352</v>
      </c>
      <c r="K67">
        <f>1/(airplane!$B$40*airplane!$B$9*airplane!$B$10)*(airplane!$B$37+'Rate of climb'!J67/(0.866*airplane!$B$12*SQRT(airplane!$B$39)))</f>
        <v>15.469144255256818</v>
      </c>
      <c r="M67">
        <f t="shared" si="5"/>
        <v>106.944</v>
      </c>
      <c r="N67">
        <f t="shared" si="6"/>
        <v>68.806753647382337</v>
      </c>
    </row>
    <row r="68" spans="9:14" x14ac:dyDescent="0.2">
      <c r="I68">
        <f t="shared" si="2"/>
        <v>325</v>
      </c>
      <c r="J68">
        <f>SQRT(I68*2/airplane!$B$27/airplane!$B$41)</f>
        <v>19.109919056837079</v>
      </c>
      <c r="K68">
        <f>1/(airplane!$B$40*airplane!$B$9*airplane!$B$10)*(airplane!$B$37+'Rate of climb'!J68/(0.866*airplane!$B$12*SQRT(airplane!$B$39)))</f>
        <v>15.501427929221604</v>
      </c>
      <c r="M68">
        <f t="shared" si="5"/>
        <v>108.61499999999999</v>
      </c>
      <c r="N68">
        <f t="shared" si="6"/>
        <v>68.950351429177701</v>
      </c>
    </row>
    <row r="69" spans="9:14" x14ac:dyDescent="0.2">
      <c r="I69">
        <f t="shared" ref="I69:I132" si="7">I68+5</f>
        <v>330</v>
      </c>
      <c r="J69">
        <f>SQRT(I69*2/airplane!$B$27/airplane!$B$41)</f>
        <v>19.256357359697756</v>
      </c>
      <c r="K69">
        <f>1/(airplane!$B$40*airplane!$B$9*airplane!$B$10)*(airplane!$B$37+'Rate of climb'!J69/(0.866*airplane!$B$12*SQRT(airplane!$B$39)))</f>
        <v>15.533464207773845</v>
      </c>
      <c r="M69">
        <f t="shared" si="5"/>
        <v>110.286</v>
      </c>
      <c r="N69">
        <f t="shared" si="6"/>
        <v>69.092848796178075</v>
      </c>
    </row>
    <row r="70" spans="9:14" x14ac:dyDescent="0.2">
      <c r="I70">
        <f t="shared" si="7"/>
        <v>335</v>
      </c>
      <c r="J70">
        <f>SQRT(I70*2/airplane!$B$27/airplane!$B$41)</f>
        <v>19.401690420422312</v>
      </c>
      <c r="K70">
        <f>1/(airplane!$B$40*airplane!$B$9*airplane!$B$10)*(airplane!$B$37+'Rate of climb'!J70/(0.866*airplane!$B$12*SQRT(airplane!$B$39)))</f>
        <v>15.565258692722576</v>
      </c>
      <c r="M70">
        <f t="shared" si="5"/>
        <v>111.95699999999999</v>
      </c>
      <c r="N70">
        <f t="shared" si="6"/>
        <v>69.234270665230028</v>
      </c>
    </row>
    <row r="71" spans="9:14" x14ac:dyDescent="0.2">
      <c r="I71">
        <f t="shared" si="7"/>
        <v>340</v>
      </c>
      <c r="J71">
        <f>SQRT(I71*2/airplane!$B$27/airplane!$B$41)</f>
        <v>19.545942892974693</v>
      </c>
      <c r="K71">
        <f>1/(airplane!$B$40*airplane!$B$9*airplane!$B$10)*(airplane!$B$37+'Rate of climb'!J71/(0.866*airplane!$B$12*SQRT(airplane!$B$39)))</f>
        <v>15.596816777610615</v>
      </c>
      <c r="M71">
        <f t="shared" si="5"/>
        <v>113.628</v>
      </c>
      <c r="N71">
        <f t="shared" si="6"/>
        <v>69.374641026812014</v>
      </c>
    </row>
    <row r="72" spans="9:14" x14ac:dyDescent="0.2">
      <c r="I72">
        <f t="shared" si="7"/>
        <v>345</v>
      </c>
      <c r="J72">
        <f>SQRT(I72*2/airplane!$B$27/airplane!$B$41)</f>
        <v>19.689138528156811</v>
      </c>
      <c r="K72">
        <f>1/(airplane!$B$40*airplane!$B$9*airplane!$B$10)*(airplane!$B$37+'Rate of climb'!J72/(0.866*airplane!$B$12*SQRT(airplane!$B$39)))</f>
        <v>15.628143658396194</v>
      </c>
      <c r="M72">
        <f t="shared" si="5"/>
        <v>115.29899999999999</v>
      </c>
      <c r="N72">
        <f t="shared" si="6"/>
        <v>69.513982992546275</v>
      </c>
    </row>
    <row r="73" spans="9:14" x14ac:dyDescent="0.2">
      <c r="I73">
        <f t="shared" si="7"/>
        <v>350</v>
      </c>
      <c r="J73">
        <f>SQRT(I73*2/airplane!$B$27/airplane!$B$41)</f>
        <v>19.831300219261212</v>
      </c>
      <c r="K73">
        <f>1/(airplane!$B$40*airplane!$B$9*airplane!$B$10)*(airplane!$B$37+'Rate of climb'!J73/(0.866*airplane!$B$12*SQRT(airplane!$B$39)))</f>
        <v>15.659244343440403</v>
      </c>
      <c r="M73">
        <f t="shared" si="5"/>
        <v>116.97</v>
      </c>
      <c r="N73">
        <f t="shared" si="6"/>
        <v>69.652318839622922</v>
      </c>
    </row>
    <row r="74" spans="9:14" x14ac:dyDescent="0.2">
      <c r="I74">
        <f t="shared" si="7"/>
        <v>355</v>
      </c>
      <c r="J74">
        <f>SQRT(I74*2/airplane!$B$27/airplane!$B$41)</f>
        <v>19.972450044798983</v>
      </c>
      <c r="K74">
        <f>1/(airplane!$B$40*airplane!$B$9*airplane!$B$10)*(airplane!$B$37+'Rate of climb'!J74/(0.866*airplane!$B$12*SQRT(airplane!$B$39)))</f>
        <v>15.690123662854736</v>
      </c>
      <c r="M74">
        <f t="shared" si="5"/>
        <v>118.64100000000001</v>
      </c>
      <c r="N74">
        <f t="shared" si="6"/>
        <v>69.789670052377872</v>
      </c>
    </row>
    <row r="75" spans="9:14" x14ac:dyDescent="0.2">
      <c r="I75">
        <f t="shared" si="7"/>
        <v>360</v>
      </c>
      <c r="J75">
        <f>SQRT(I75*2/airplane!$B$27/airplane!$B$41)</f>
        <v>20.112609308528615</v>
      </c>
      <c r="K75">
        <f>1/(airplane!$B$40*airplane!$B$9*airplane!$B$10)*(airplane!$B$37+'Rate of climb'!J75/(0.866*airplane!$B$12*SQRT(airplane!$B$39)))</f>
        <v>15.720786277258235</v>
      </c>
      <c r="M75">
        <f t="shared" si="5"/>
        <v>120.312</v>
      </c>
      <c r="N75">
        <f t="shared" si="6"/>
        <v>69.926057361244631</v>
      </c>
    </row>
    <row r="76" spans="9:14" x14ac:dyDescent="0.2">
      <c r="I76">
        <f t="shared" si="7"/>
        <v>365</v>
      </c>
      <c r="J76">
        <f>SQRT(I76*2/airplane!$B$27/airplane!$B$41)</f>
        <v>20.251798576991447</v>
      </c>
      <c r="K76">
        <f>1/(airplane!$B$40*airplane!$B$9*airplane!$B$10)*(airplane!$B$37+'Rate of climb'!J76/(0.866*airplane!$B$12*SQRT(airplane!$B$39)))</f>
        <v>15.751236685989072</v>
      </c>
      <c r="M76">
        <f t="shared" si="5"/>
        <v>121.983</v>
      </c>
      <c r="N76">
        <f t="shared" si="6"/>
        <v>70.061500779279399</v>
      </c>
    </row>
    <row r="77" spans="9:14" x14ac:dyDescent="0.2">
      <c r="I77">
        <f t="shared" si="7"/>
        <v>370</v>
      </c>
      <c r="J77">
        <f>SQRT(I77*2/airplane!$B$27/airplane!$B$41)</f>
        <v>20.390037714740842</v>
      </c>
      <c r="K77">
        <f>1/(airplane!$B$40*airplane!$B$9*airplane!$B$10)*(airplane!$B$37+'Rate of climb'!J77/(0.866*airplane!$B$12*SQRT(airplane!$B$39)))</f>
        <v>15.781479234811661</v>
      </c>
      <c r="M77">
        <f t="shared" si="5"/>
        <v>123.654</v>
      </c>
      <c r="N77">
        <f t="shared" si="6"/>
        <v>70.196019636442273</v>
      </c>
    </row>
    <row r="78" spans="9:14" x14ac:dyDescent="0.2">
      <c r="I78">
        <f t="shared" si="7"/>
        <v>375</v>
      </c>
      <c r="J78">
        <f>SQRT(I78*2/airplane!$B$27/airplane!$B$41)</f>
        <v>20.527345917435962</v>
      </c>
      <c r="K78">
        <f>1/(airplane!$B$40*airplane!$B$9*airplane!$B$10)*(airplane!$B$37+'Rate of climb'!J78/(0.866*airplane!$B$12*SQRT(airplane!$B$39)))</f>
        <v>15.811518123156556</v>
      </c>
      <c r="M78">
        <f t="shared" si="5"/>
        <v>125.325</v>
      </c>
      <c r="N78">
        <f t="shared" si="6"/>
        <v>70.329632611800363</v>
      </c>
    </row>
    <row r="79" spans="9:14" x14ac:dyDescent="0.2">
      <c r="I79">
        <f t="shared" si="7"/>
        <v>380</v>
      </c>
      <c r="J79">
        <f>SQRT(I79*2/airplane!$B$27/airplane!$B$41)</f>
        <v>20.663741742956329</v>
      </c>
      <c r="K79">
        <f>1/(airplane!$B$40*airplane!$B$9*airplane!$B$10)*(airplane!$B$37+'Rate of climb'!J79/(0.866*airplane!$B$12*SQRT(airplane!$B$39)))</f>
        <v>15.841357410927399</v>
      </c>
      <c r="M79">
        <f t="shared" si="5"/>
        <v>126.996</v>
      </c>
      <c r="N79">
        <f t="shared" si="6"/>
        <v>70.462357763805073</v>
      </c>
    </row>
    <row r="80" spans="9:14" x14ac:dyDescent="0.2">
      <c r="I80">
        <f t="shared" si="7"/>
        <v>385</v>
      </c>
      <c r="J80">
        <f>SQRT(I80*2/airplane!$B$27/airplane!$B$41)</f>
        <v>20.799243140679831</v>
      </c>
      <c r="K80">
        <f>1/(airplane!$B$40*airplane!$B$9*airplane!$B$10)*(airplane!$B$37+'Rate of climb'!J80/(0.866*airplane!$B$12*SQRT(airplane!$B$39)))</f>
        <v>15.871001024906029</v>
      </c>
      <c r="M80">
        <f t="shared" si="5"/>
        <v>128.667</v>
      </c>
      <c r="N80">
        <f t="shared" si="6"/>
        <v>70.594212558782019</v>
      </c>
    </row>
    <row r="81" spans="9:14" x14ac:dyDescent="0.2">
      <c r="I81">
        <f t="shared" si="7"/>
        <v>390</v>
      </c>
      <c r="J81">
        <f>SQRT(I81*2/airplane!$B$27/airplane!$B$41)</f>
        <v>20.933867479055031</v>
      </c>
      <c r="K81">
        <f>1/(airplane!$B$40*airplane!$B$9*airplane!$B$10)*(airplane!$B$37+'Rate of climb'!J81/(0.866*airplane!$B$12*SQRT(airplane!$B$39)))</f>
        <v>15.900452764784511</v>
      </c>
      <c r="M81">
        <f t="shared" si="5"/>
        <v>130.33799999999999</v>
      </c>
      <c r="N81">
        <f t="shared" si="6"/>
        <v>70.725213897761506</v>
      </c>
    </row>
    <row r="82" spans="9:14" x14ac:dyDescent="0.2">
      <c r="I82">
        <f t="shared" si="7"/>
        <v>395</v>
      </c>
      <c r="J82">
        <f>SQRT(I82*2/airplane!$B$27/airplane!$B$41)</f>
        <v>21.0676315715877</v>
      </c>
      <c r="K82">
        <f>1/(airplane!$B$40*airplane!$B$9*airplane!$B$10)*(airplane!$B$37+'Rate of climb'!J82/(0.866*airplane!$B$12*SQRT(airplane!$B$39)))</f>
        <v>15.929716308850175</v>
      </c>
      <c r="M82">
        <f t="shared" si="5"/>
        <v>132.00899999999999</v>
      </c>
      <c r="N82">
        <f t="shared" si="6"/>
        <v>70.855378141765584</v>
      </c>
    </row>
    <row r="83" spans="9:14" x14ac:dyDescent="0.2">
      <c r="I83">
        <f t="shared" si="7"/>
        <v>400</v>
      </c>
      <c r="J83">
        <f>SQRT(I83*2/airplane!$B$27/airplane!$B$41)</f>
        <v>21.200551701351547</v>
      </c>
      <c r="K83">
        <f>1/(airplane!$B$40*airplane!$B$9*airplane!$B$10)*(airplane!$B$37+'Rate of climb'!J83/(0.866*airplane!$B$12*SQRT(airplane!$B$39)))</f>
        <v>15.958795219347831</v>
      </c>
      <c r="M83">
        <f t="shared" si="5"/>
        <v>133.68</v>
      </c>
      <c r="N83">
        <f t="shared" si="6"/>
        <v>70.984721135659157</v>
      </c>
    </row>
    <row r="84" spans="9:14" x14ac:dyDescent="0.2">
      <c r="I84">
        <f t="shared" si="7"/>
        <v>405</v>
      </c>
      <c r="J84">
        <f>SQRT(I84*2/airplane!$B$27/airplane!$B$41)</f>
        <v>21.332643644124396</v>
      </c>
      <c r="K84">
        <f>1/(airplane!$B$40*airplane!$B$9*airplane!$B$10)*(airplane!$B$37+'Rate of climb'!J84/(0.866*airplane!$B$12*SQRT(airplane!$B$39)))</f>
        <v>15.987692947541278</v>
      </c>
      <c r="M84">
        <f t="shared" si="5"/>
        <v>135.351</v>
      </c>
      <c r="N84">
        <f t="shared" si="6"/>
        <v>71.113258230663618</v>
      </c>
    </row>
    <row r="85" spans="9:14" x14ac:dyDescent="0.2">
      <c r="I85">
        <f t="shared" si="7"/>
        <v>410</v>
      </c>
      <c r="J85">
        <f>SQRT(I85*2/airplane!$B$27/airplane!$B$41)</f>
        <v>21.46392269024285</v>
      </c>
      <c r="K85">
        <f>1/(airplane!$B$40*airplane!$B$9*airplane!$B$10)*(airplane!$B$37+'Rate of climb'!J85/(0.866*airplane!$B$12*SQRT(airplane!$B$39)))</f>
        <v>16.016412838494428</v>
      </c>
      <c r="M85">
        <f t="shared" si="5"/>
        <v>137.02199999999999</v>
      </c>
      <c r="N85">
        <f t="shared" si="6"/>
        <v>71.241004305623221</v>
      </c>
    </row>
    <row r="86" spans="9:14" x14ac:dyDescent="0.2">
      <c r="I86">
        <f t="shared" si="7"/>
        <v>415</v>
      </c>
      <c r="J86">
        <f>SQRT(I86*2/airplane!$B$27/airplane!$B$41)</f>
        <v>21.594403665261119</v>
      </c>
      <c r="K86">
        <f>1/(airplane!$B$40*airplane!$B$9*airplane!$B$10)*(airplane!$B$37+'Rate of climb'!J86/(0.866*airplane!$B$12*SQRT(airplane!$B$39)))</f>
        <v>16.044958135590846</v>
      </c>
      <c r="M86">
        <f t="shared" si="5"/>
        <v>138.69300000000001</v>
      </c>
      <c r="N86">
        <f t="shared" si="6"/>
        <v>71.367973787108085</v>
      </c>
    </row>
    <row r="87" spans="9:14" x14ac:dyDescent="0.2">
      <c r="I87">
        <f t="shared" si="7"/>
        <v>420</v>
      </c>
      <c r="J87">
        <f>SQRT(I87*2/airplane!$B$27/airplane!$B$41)</f>
        <v>21.724100949493028</v>
      </c>
      <c r="K87">
        <f>1/(airplane!$B$40*airplane!$B$9*airplane!$B$10)*(airplane!$B$37+'Rate of climb'!J87/(0.866*airplane!$B$12*SQRT(airplane!$B$39)))</f>
        <v>16.073331984808942</v>
      </c>
      <c r="M87">
        <f t="shared" si="5"/>
        <v>140.364</v>
      </c>
      <c r="N87">
        <f t="shared" si="6"/>
        <v>71.494180668430175</v>
      </c>
    </row>
    <row r="88" spans="9:14" x14ac:dyDescent="0.2">
      <c r="I88">
        <f t="shared" si="7"/>
        <v>425</v>
      </c>
      <c r="J88">
        <f>SQRT(I88*2/airplane!$B$27/airplane!$B$41)</f>
        <v>21.853028496510156</v>
      </c>
      <c r="K88">
        <f>1/(airplane!$B$40*airplane!$B$9*airplane!$B$10)*(airplane!$B$37+'Rate of climb'!J88/(0.866*airplane!$B$12*SQRT(airplane!$B$39)))</f>
        <v>16.101537438768805</v>
      </c>
      <c r="M88">
        <f t="shared" si="5"/>
        <v>142.035</v>
      </c>
      <c r="N88">
        <f t="shared" si="6"/>
        <v>71.619638527643644</v>
      </c>
    </row>
    <row r="89" spans="9:14" x14ac:dyDescent="0.2">
      <c r="I89">
        <f t="shared" si="7"/>
        <v>430</v>
      </c>
      <c r="J89">
        <f>SQRT(I89*2/airplane!$B$27/airplane!$B$41)</f>
        <v>21.98119985066343</v>
      </c>
      <c r="K89">
        <f>1/(airplane!$B$40*airplane!$B$9*airplane!$B$10)*(airplane!$B$37+'Rate of climb'!J89/(0.866*airplane!$B$12*SQRT(airplane!$B$39)))</f>
        <v>16.129577460565418</v>
      </c>
      <c r="M89">
        <f t="shared" si="5"/>
        <v>143.70599999999999</v>
      </c>
      <c r="N89">
        <f t="shared" si="6"/>
        <v>71.744360544594983</v>
      </c>
    </row>
    <row r="90" spans="9:14" x14ac:dyDescent="0.2">
      <c r="I90">
        <f t="shared" si="7"/>
        <v>435</v>
      </c>
      <c r="J90">
        <f>SQRT(I90*2/airplane!$B$27/airplane!$B$41)</f>
        <v>22.108628163690458</v>
      </c>
      <c r="K90">
        <f>1/(airplane!$B$40*airplane!$B$9*airplane!$B$10)*(airplane!$B$37+'Rate of climb'!J90/(0.866*airplane!$B$12*SQRT(airplane!$B$39)))</f>
        <v>16.157454927401808</v>
      </c>
      <c r="M90">
        <f t="shared" si="5"/>
        <v>145.37700000000001</v>
      </c>
      <c r="N90">
        <f t="shared" si="6"/>
        <v>71.868359517083249</v>
      </c>
    </row>
    <row r="91" spans="9:14" x14ac:dyDescent="0.2">
      <c r="I91">
        <f t="shared" si="7"/>
        <v>440</v>
      </c>
      <c r="J91">
        <f>SQRT(I91*2/airplane!$B$27/airplane!$B$41)</f>
        <v>22.235326210466262</v>
      </c>
      <c r="K91">
        <f>1/(airplane!$B$40*airplane!$B$9*airplane!$B$10)*(airplane!$B$37+'Rate of climb'!J91/(0.866*airplane!$B$12*SQRT(airplane!$B$39)))</f>
        <v>16.18517263403486</v>
      </c>
      <c r="M91">
        <f t="shared" si="5"/>
        <v>147.048</v>
      </c>
      <c r="N91">
        <f t="shared" si="6"/>
        <v>71.991647876187059</v>
      </c>
    </row>
    <row r="92" spans="9:14" x14ac:dyDescent="0.2">
      <c r="I92">
        <f t="shared" si="7"/>
        <v>445</v>
      </c>
      <c r="J92">
        <f>SQRT(I92*2/airplane!$B$27/airplane!$B$41)</f>
        <v>22.361306403950753</v>
      </c>
      <c r="K92">
        <f>1/(airplane!$B$40*airplane!$B$9*airplane!$B$10)*(airplane!$B$37+'Rate of climb'!J92/(0.866*airplane!$B$12*SQRT(airplane!$B$39)))</f>
        <v>16.212733296045361</v>
      </c>
      <c r="M92">
        <f t="shared" si="5"/>
        <v>148.71899999999999</v>
      </c>
      <c r="N92">
        <f t="shared" si="6"/>
        <v>72.114237700809767</v>
      </c>
    </row>
    <row r="93" spans="9:14" x14ac:dyDescent="0.2">
      <c r="I93">
        <f t="shared" si="7"/>
        <v>450</v>
      </c>
      <c r="J93">
        <f>SQRT(I93*2/airplane!$B$27/airplane!$B$41)</f>
        <v>22.486580809382513</v>
      </c>
      <c r="K93">
        <f>1/(airplane!$B$40*airplane!$B$9*airplane!$B$10)*(airplane!$B$37+'Rate of climb'!J93/(0.866*airplane!$B$12*SQRT(airplane!$B$39)))</f>
        <v>16.240139552943166</v>
      </c>
      <c r="M93">
        <f t="shared" si="5"/>
        <v>150.38999999999999</v>
      </c>
      <c r="N93">
        <f t="shared" si="6"/>
        <v>72.236140731491204</v>
      </c>
    </row>
    <row r="94" spans="9:14" x14ac:dyDescent="0.2">
      <c r="I94">
        <f t="shared" si="7"/>
        <v>455</v>
      </c>
      <c r="J94">
        <f>SQRT(I94*2/airplane!$B$27/airplane!$B$41)</f>
        <v>22.611161157764784</v>
      </c>
      <c r="K94">
        <f>1/(airplane!$B$40*airplane!$B$9*airplane!$B$10)*(airplane!$B$37+'Rate of climb'!J94/(0.866*airplane!$B$12*SQRT(airplane!$B$39)))</f>
        <v>16.267393971117531</v>
      </c>
      <c r="M94">
        <f t="shared" si="5"/>
        <v>152.06100000000001</v>
      </c>
      <c r="N94">
        <f t="shared" si="6"/>
        <v>72.357368383530783</v>
      </c>
    </row>
    <row r="95" spans="9:14" x14ac:dyDescent="0.2">
      <c r="I95">
        <f t="shared" si="7"/>
        <v>460</v>
      </c>
      <c r="J95">
        <f>SQRT(I95*2/airplane!$B$27/airplane!$B$41)</f>
        <v>22.735058858686333</v>
      </c>
      <c r="K95">
        <f>1/(airplane!$B$40*airplane!$B$9*airplane!$B$10)*(airplane!$B$37+'Rate of climb'!J95/(0.866*airplane!$B$12*SQRT(airplane!$B$39)))</f>
        <v>16.294499046641942</v>
      </c>
      <c r="M95">
        <f t="shared" si="5"/>
        <v>153.732</v>
      </c>
      <c r="N95">
        <f t="shared" si="6"/>
        <v>72.47793175946336</v>
      </c>
    </row>
    <row r="96" spans="9:14" x14ac:dyDescent="0.2">
      <c r="I96">
        <f t="shared" si="7"/>
        <v>465</v>
      </c>
      <c r="J96">
        <f>SQRT(I96*2/airplane!$B$27/airplane!$B$41)</f>
        <v>22.858285012516859</v>
      </c>
      <c r="K96">
        <f>1/(airplane!$B$40*airplane!$B$9*airplane!$B$10)*(airplane!$B$37+'Rate of climb'!J96/(0.866*airplane!$B$12*SQRT(airplane!$B$39)))</f>
        <v>16.321457207942075</v>
      </c>
      <c r="M96">
        <f t="shared" si="5"/>
        <v>155.40299999999999</v>
      </c>
      <c r="N96">
        <f t="shared" si="6"/>
        <v>72.597841660926349</v>
      </c>
    </row>
    <row r="97" spans="9:14" x14ac:dyDescent="0.2">
      <c r="I97">
        <f t="shared" si="7"/>
        <v>470</v>
      </c>
      <c r="J97">
        <f>SQRT(I97*2/airplane!$B$27/airplane!$B$41)</f>
        <v>22.980850422013845</v>
      </c>
      <c r="K97">
        <f>1/(airplane!$B$40*airplane!$B$9*airplane!$B$10)*(airplane!$B$37+'Rate of climb'!J97/(0.866*airplane!$B$12*SQRT(airplane!$B$39)))</f>
        <v>16.348270818335049</v>
      </c>
      <c r="M97">
        <f t="shared" si="5"/>
        <v>157.07400000000001</v>
      </c>
      <c r="N97">
        <f t="shared" si="6"/>
        <v>72.717108599954301</v>
      </c>
    </row>
    <row r="98" spans="9:14" x14ac:dyDescent="0.2">
      <c r="I98">
        <f t="shared" si="7"/>
        <v>475</v>
      </c>
      <c r="J98">
        <f>SQRT(I98*2/airplane!$B$27/airplane!$B$41)</f>
        <v>23.102765603375172</v>
      </c>
      <c r="K98">
        <f>1/(airplane!$B$40*airplane!$B$9*airplane!$B$10)*(airplane!$B$37+'Rate of climb'!J98/(0.866*airplane!$B$12*SQRT(airplane!$B$39)))</f>
        <v>16.374942178447398</v>
      </c>
      <c r="M98">
        <f t="shared" si="5"/>
        <v>158.745</v>
      </c>
      <c r="N98">
        <f t="shared" si="6"/>
        <v>72.835742809734029</v>
      </c>
    </row>
    <row r="99" spans="9:14" x14ac:dyDescent="0.2">
      <c r="I99">
        <f t="shared" si="7"/>
        <v>480</v>
      </c>
      <c r="J99">
        <f>SQRT(I99*2/airplane!$B$27/airplane!$B$41)</f>
        <v>23.22404079676954</v>
      </c>
      <c r="K99">
        <f>1/(airplane!$B$40*airplane!$B$9*airplane!$B$10)*(airplane!$B$37+'Rate of climb'!J99/(0.866*airplane!$B$12*SQRT(airplane!$B$39)))</f>
        <v>16.4014735285188</v>
      </c>
      <c r="M99">
        <f t="shared" si="5"/>
        <v>160.416</v>
      </c>
      <c r="N99">
        <f t="shared" si="6"/>
        <v>72.953754254851631</v>
      </c>
    </row>
    <row r="100" spans="9:14" x14ac:dyDescent="0.2">
      <c r="I100">
        <f t="shared" si="7"/>
        <v>485</v>
      </c>
      <c r="J100">
        <f>SQRT(I100*2/airplane!$B$27/airplane!$B$41)</f>
        <v>23.344685976374514</v>
      </c>
      <c r="K100">
        <f>1/(airplane!$B$40*airplane!$B$9*airplane!$B$10)*(airplane!$B$37+'Rate of climb'!J100/(0.866*airplane!$B$12*SQRT(airplane!$B$39)))</f>
        <v>16.42786705059811</v>
      </c>
      <c r="M100">
        <f t="shared" si="5"/>
        <v>162.08699999999999</v>
      </c>
      <c r="N100">
        <f t="shared" si="6"/>
        <v>73.071152641060394</v>
      </c>
    </row>
    <row r="101" spans="9:14" x14ac:dyDescent="0.2">
      <c r="I101">
        <f t="shared" si="7"/>
        <v>490</v>
      </c>
      <c r="J101">
        <f>SQRT(I101*2/airplane!$B$27/airplane!$B$41)</f>
        <v>23.464710859950049</v>
      </c>
      <c r="K101">
        <f>1/(airplane!$B$40*airplane!$B$9*airplane!$B$10)*(airplane!$B$37+'Rate of climb'!J101/(0.866*airplane!$B$12*SQRT(airplane!$B$39)))</f>
        <v>16.454124870637749</v>
      </c>
      <c r="M101">
        <f t="shared" si="5"/>
        <v>163.75800000000001</v>
      </c>
      <c r="N101">
        <f t="shared" si="6"/>
        <v>73.187947424596715</v>
      </c>
    </row>
    <row r="102" spans="9:14" x14ac:dyDescent="0.2">
      <c r="I102">
        <f t="shared" si="7"/>
        <v>495</v>
      </c>
      <c r="J102">
        <f>SQRT(I102*2/airplane!$B$27/airplane!$B$41)</f>
        <v>23.584124917973508</v>
      </c>
      <c r="K102">
        <f>1/(airplane!$B$40*airplane!$B$9*airplane!$B$10)*(airplane!$B$37+'Rate of climb'!J102/(0.866*airplane!$B$12*SQRT(airplane!$B$39)))</f>
        <v>16.480249060492181</v>
      </c>
      <c r="M102">
        <f t="shared" si="5"/>
        <v>165.429</v>
      </c>
      <c r="N102">
        <f t="shared" si="6"/>
        <v>73.304147821069222</v>
      </c>
    </row>
    <row r="103" spans="9:14" x14ac:dyDescent="0.2">
      <c r="I103">
        <f t="shared" si="7"/>
        <v>500</v>
      </c>
      <c r="J103">
        <f>SQRT(I103*2/airplane!$B$27/airplane!$B$41)</f>
        <v>23.702937382360435</v>
      </c>
      <c r="K103">
        <f>1/(airplane!$B$40*airplane!$B$9*airplane!$B$10)*(airplane!$B$37+'Rate of climb'!J103/(0.866*airplane!$B$12*SQRT(airplane!$B$39)))</f>
        <v>16.506241639825738</v>
      </c>
      <c r="M103">
        <f t="shared" si="5"/>
        <v>167.1</v>
      </c>
      <c r="N103">
        <f t="shared" si="6"/>
        <v>73.419762813944885</v>
      </c>
    </row>
    <row r="104" spans="9:14" x14ac:dyDescent="0.2">
      <c r="I104">
        <f t="shared" si="7"/>
        <v>505</v>
      </c>
      <c r="J104">
        <f>SQRT(I104*2/airplane!$B$27/airplane!$B$41)</f>
        <v>23.821157254793917</v>
      </c>
      <c r="K104">
        <f>1/(airplane!$B$40*airplane!$B$9*airplane!$B$10)*(airplane!$B$37+'Rate of climb'!J104/(0.866*airplane!$B$12*SQRT(airplane!$B$39)))</f>
        <v>16.532104577934852</v>
      </c>
      <c r="M104">
        <f t="shared" si="5"/>
        <v>168.77099999999999</v>
      </c>
      <c r="N104">
        <f t="shared" si="6"/>
        <v>73.534801162654233</v>
      </c>
    </row>
    <row r="105" spans="9:14" x14ac:dyDescent="0.2">
      <c r="I105">
        <f t="shared" si="7"/>
        <v>510</v>
      </c>
      <c r="J105">
        <f>SQRT(I105*2/airplane!$B$27/airplane!$B$41)</f>
        <v>23.938793314683636</v>
      </c>
      <c r="K105">
        <f>1/(airplane!$B$40*airplane!$B$9*airplane!$B$10)*(airplane!$B$37+'Rate of climb'!J105/(0.866*airplane!$B$12*SQRT(airplane!$B$39)))</f>
        <v>16.55783979548924</v>
      </c>
      <c r="M105">
        <f t="shared" si="5"/>
        <v>170.44200000000001</v>
      </c>
      <c r="N105">
        <f t="shared" si="6"/>
        <v>73.649271410336141</v>
      </c>
    </row>
    <row r="106" spans="9:14" x14ac:dyDescent="0.2">
      <c r="I106">
        <f t="shared" si="7"/>
        <v>515</v>
      </c>
      <c r="J106">
        <f>SQRT(I106*2/airplane!$B$27/airplane!$B$41)</f>
        <v>24.05585412677469</v>
      </c>
      <c r="K106">
        <f>1/(airplane!$B$40*airplane!$B$9*airplane!$B$10)*(airplane!$B$37+'Rate of climb'!J106/(0.866*airplane!$B$12*SQRT(airplane!$B$39)))</f>
        <v>16.583449166196495</v>
      </c>
      <c r="M106">
        <f t="shared" si="5"/>
        <v>172.113</v>
      </c>
      <c r="N106">
        <f t="shared" si="6"/>
        <v>73.763181891242013</v>
      </c>
    </row>
    <row r="107" spans="9:14" x14ac:dyDescent="0.2">
      <c r="I107">
        <f t="shared" si="7"/>
        <v>520</v>
      </c>
      <c r="J107">
        <f>SQRT(I107*2/airplane!$B$27/airplane!$B$41)</f>
        <v>24.172348048424752</v>
      </c>
      <c r="K107">
        <f>1/(airplane!$B$40*airplane!$B$9*airplane!$B$10)*(airplane!$B$37+'Rate of climb'!J107/(0.866*airplane!$B$12*SQRT(airplane!$B$39)))</f>
        <v>16.608934518394104</v>
      </c>
      <c r="M107">
        <f t="shared" si="5"/>
        <v>173.78399999999999</v>
      </c>
      <c r="N107">
        <f t="shared" si="6"/>
        <v>73.876540737816981</v>
      </c>
    </row>
    <row r="108" spans="9:14" x14ac:dyDescent="0.2">
      <c r="I108">
        <f t="shared" si="7"/>
        <v>525</v>
      </c>
      <c r="J108">
        <f>SQRT(I108*2/airplane!$B$27/airplane!$B$41)</f>
        <v>24.288283236567068</v>
      </c>
      <c r="K108">
        <f>1/(airplane!$B$40*airplane!$B$9*airplane!$B$10)*(airplane!$B$37+'Rate of climb'!J108/(0.866*airplane!$B$12*SQRT(airplane!$B$39)))</f>
        <v>16.634297636572736</v>
      </c>
      <c r="M108">
        <f t="shared" si="5"/>
        <v>175.45500000000001</v>
      </c>
      <c r="N108">
        <f t="shared" si="6"/>
        <v>73.98935588747554</v>
      </c>
    </row>
    <row r="109" spans="9:14" x14ac:dyDescent="0.2">
      <c r="I109">
        <f t="shared" si="7"/>
        <v>530</v>
      </c>
      <c r="J109">
        <f>SQRT(I109*2/airplane!$B$27/airplane!$B$41)</f>
        <v>24.403667654375763</v>
      </c>
      <c r="K109">
        <f>1/(airplane!$B$40*airplane!$B$9*airplane!$B$10)*(airplane!$B$37+'Rate of climb'!J109/(0.866*airplane!$B$12*SQRT(airplane!$B$39)))</f>
        <v>16.659540262834419</v>
      </c>
      <c r="M109">
        <f t="shared" si="5"/>
        <v>177.126</v>
      </c>
      <c r="N109">
        <f t="shared" si="6"/>
        <v>74.101635089087509</v>
      </c>
    </row>
    <row r="110" spans="9:14" x14ac:dyDescent="0.2">
      <c r="I110">
        <f t="shared" si="7"/>
        <v>535</v>
      </c>
      <c r="J110">
        <f>SQRT(I110*2/airplane!$B$27/airplane!$B$41)</f>
        <v>24.518509077648805</v>
      </c>
      <c r="K110">
        <f>1/(airplane!$B$40*airplane!$B$9*airplane!$B$10)*(airplane!$B$37+'Rate of climb'!J110/(0.866*airplane!$B$12*SQRT(airplane!$B$39)))</f>
        <v>16.684664098288941</v>
      </c>
      <c r="M110">
        <f t="shared" si="5"/>
        <v>178.797</v>
      </c>
      <c r="N110">
        <f t="shared" si="6"/>
        <v>74.213385909189213</v>
      </c>
    </row>
    <row r="111" spans="9:14" x14ac:dyDescent="0.2">
      <c r="I111">
        <f t="shared" si="7"/>
        <v>540</v>
      </c>
      <c r="J111">
        <f>SQRT(I111*2/airplane!$B$27/airplane!$B$41)</f>
        <v>24.632815100923157</v>
      </c>
      <c r="K111">
        <f>1/(airplane!$B$40*airplane!$B$9*airplane!$B$10)*(airplane!$B$37+'Rate of climb'!J111/(0.866*airplane!$B$12*SQRT(airplane!$B$39)))</f>
        <v>16.709670804391642</v>
      </c>
      <c r="M111">
        <f t="shared" si="5"/>
        <v>180.46799999999999</v>
      </c>
      <c r="N111">
        <f t="shared" si="6"/>
        <v>74.324615737934025</v>
      </c>
    </row>
    <row r="112" spans="9:14" x14ac:dyDescent="0.2">
      <c r="I112">
        <f t="shared" si="7"/>
        <v>545</v>
      </c>
      <c r="J112">
        <f>SQRT(I112*2/airplane!$B$27/airplane!$B$41)</f>
        <v>24.746593143335687</v>
      </c>
      <c r="K112">
        <f>1/(airplane!$B$40*airplane!$B$9*airplane!$B$10)*(airplane!$B$37+'Rate of climb'!J112/(0.866*airplane!$B$12*SQRT(airplane!$B$39)))</f>
        <v>16.734562004225641</v>
      </c>
      <c r="M112">
        <f t="shared" si="5"/>
        <v>182.13900000000001</v>
      </c>
      <c r="N112">
        <f t="shared" si="6"/>
        <v>74.435331794795658</v>
      </c>
    </row>
    <row r="113" spans="9:14" x14ac:dyDescent="0.2">
      <c r="I113">
        <f t="shared" si="7"/>
        <v>550</v>
      </c>
      <c r="J113">
        <f>SQRT(I113*2/airplane!$B$27/airplane!$B$41)</f>
        <v>24.859850454242679</v>
      </c>
      <c r="K113">
        <f>1/(airplane!$B$40*airplane!$B$9*airplane!$B$10)*(airplane!$B$37+'Rate of climb'!J113/(0.866*airplane!$B$12*SQRT(airplane!$B$39)))</f>
        <v>16.759339283731169</v>
      </c>
      <c r="M113">
        <f t="shared" si="5"/>
        <v>183.81</v>
      </c>
      <c r="N113">
        <f t="shared" si="6"/>
        <v>74.545541134036242</v>
      </c>
    </row>
    <row r="114" spans="9:14" x14ac:dyDescent="0.2">
      <c r="I114">
        <f t="shared" si="7"/>
        <v>555</v>
      </c>
      <c r="J114">
        <f>SQRT(I114*2/airplane!$B$27/airplane!$B$41)</f>
        <v>24.972594118609923</v>
      </c>
      <c r="K114">
        <f>1/(airplane!$B$40*airplane!$B$9*airplane!$B$10)*(airplane!$B$37+'Rate of climb'!J114/(0.866*airplane!$B$12*SQRT(airplane!$B$39)))</f>
        <v>16.784004192884794</v>
      </c>
      <c r="M114">
        <f t="shared" si="5"/>
        <v>185.48099999999999</v>
      </c>
      <c r="N114">
        <f t="shared" si="6"/>
        <v>74.655250649951569</v>
      </c>
    </row>
    <row r="115" spans="9:14" x14ac:dyDescent="0.2">
      <c r="I115">
        <f t="shared" si="7"/>
        <v>560</v>
      </c>
      <c r="J115">
        <f>SQRT(I115*2/airplane!$B$27/airplane!$B$41)</f>
        <v>25.084831062184808</v>
      </c>
      <c r="K115">
        <f>1/(airplane!$B$40*airplane!$B$9*airplane!$B$10)*(airplane!$B$37+'Rate of climb'!J115/(0.866*airplane!$B$12*SQRT(airplane!$B$39)))</f>
        <v>16.808558246830898</v>
      </c>
      <c r="M115">
        <f t="shared" si="5"/>
        <v>187.15199999999999</v>
      </c>
      <c r="N115">
        <f t="shared" si="6"/>
        <v>74.764467081903845</v>
      </c>
    </row>
    <row r="116" spans="9:14" x14ac:dyDescent="0.2">
      <c r="I116">
        <f t="shared" si="7"/>
        <v>565</v>
      </c>
      <c r="J116">
        <f>SQRT(I116*2/airplane!$B$27/airplane!$B$41)</f>
        <v>25.196568056461039</v>
      </c>
      <c r="K116">
        <f>1/(airplane!$B$40*airplane!$B$9*airplane!$B$10)*(airplane!$B$37+'Rate of climb'!J116/(0.866*airplane!$B$12*SQRT(airplane!$B$39)))</f>
        <v>16.833002926967819</v>
      </c>
      <c r="M116">
        <f t="shared" si="5"/>
        <v>188.82300000000001</v>
      </c>
      <c r="N116">
        <f t="shared" si="6"/>
        <v>74.873197019152869</v>
      </c>
    </row>
    <row r="117" spans="9:14" x14ac:dyDescent="0.2">
      <c r="I117">
        <f t="shared" si="7"/>
        <v>570</v>
      </c>
      <c r="J117">
        <f>SQRT(I117*2/airplane!$B$27/airplane!$B$41)</f>
        <v>25.307811723446061</v>
      </c>
      <c r="K117">
        <f>1/(airplane!$B$40*airplane!$B$9*airplane!$B$10)*(airplane!$B$37+'Rate of climb'!J117/(0.866*airplane!$B$12*SQRT(airplane!$B$39)))</f>
        <v>16.857339681990823</v>
      </c>
      <c r="M117">
        <f t="shared" si="5"/>
        <v>190.494</v>
      </c>
      <c r="N117">
        <f t="shared" si="6"/>
        <v>74.98144690549519</v>
      </c>
    </row>
    <row r="118" spans="9:14" x14ac:dyDescent="0.2">
      <c r="I118">
        <f t="shared" si="7"/>
        <v>575</v>
      </c>
      <c r="J118">
        <f>SQRT(I118*2/airplane!$B$27/airplane!$B$41)</f>
        <v>25.41856854024071</v>
      </c>
      <c r="K118">
        <f>1/(airplane!$B$40*airplane!$B$9*airplane!$B$10)*(airplane!$B$37+'Rate of climb'!J118/(0.866*airplane!$B$12*SQRT(airplane!$B$39)))</f>
        <v>16.881569928893978</v>
      </c>
      <c r="M118">
        <f t="shared" si="5"/>
        <v>192.16499999999999</v>
      </c>
      <c r="N118">
        <f t="shared" si="6"/>
        <v>75.089223043720423</v>
      </c>
    </row>
    <row r="119" spans="9:14" x14ac:dyDescent="0.2">
      <c r="I119">
        <f t="shared" si="7"/>
        <v>580</v>
      </c>
      <c r="J119">
        <f>SQRT(I119*2/airplane!$B$27/airplane!$B$41)</f>
        <v>25.528844843440055</v>
      </c>
      <c r="K119">
        <f>1/(airplane!$B$40*airplane!$B$9*airplane!$B$10)*(airplane!$B$37+'Rate of climb'!J119/(0.866*airplane!$B$12*SQRT(airplane!$B$39)))</f>
        <v>16.905695053932927</v>
      </c>
      <c r="M119">
        <f t="shared" si="5"/>
        <v>193.83599999999998</v>
      </c>
      <c r="N119">
        <f t="shared" si="6"/>
        <v>75.19653159989366</v>
      </c>
    </row>
    <row r="120" spans="9:14" x14ac:dyDescent="0.2">
      <c r="I120">
        <f t="shared" si="7"/>
        <v>585</v>
      </c>
      <c r="J120">
        <f>SQRT(I120*2/airplane!$B$27/airplane!$B$41)</f>
        <v>25.638646833363826</v>
      </c>
      <c r="K120">
        <f>1/(airplane!$B$40*airplane!$B$9*airplane!$B$10)*(airplane!$B$37+'Rate of climb'!J120/(0.866*airplane!$B$12*SQRT(airplane!$B$39)))</f>
        <v>16.929716413550395</v>
      </c>
      <c r="M120">
        <f t="shared" si="5"/>
        <v>195.50700000000001</v>
      </c>
      <c r="N120">
        <f t="shared" si="6"/>
        <v>75.303378607472169</v>
      </c>
    </row>
    <row r="121" spans="9:14" x14ac:dyDescent="0.2">
      <c r="I121">
        <f t="shared" si="7"/>
        <v>590</v>
      </c>
      <c r="J121">
        <f>SQRT(I121*2/airplane!$B$27/airplane!$B$41)</f>
        <v>25.747980578124526</v>
      </c>
      <c r="K121">
        <f>1/(airplane!$B$40*airplane!$B$9*airplane!$B$10)*(airplane!$B$37+'Rate of climb'!J121/(0.866*airplane!$B$12*SQRT(airplane!$B$39)))</f>
        <v>16.953635335266156</v>
      </c>
      <c r="M121">
        <f t="shared" si="5"/>
        <v>197.178</v>
      </c>
      <c r="N121">
        <f t="shared" si="6"/>
        <v>75.40976997126387</v>
      </c>
    </row>
    <row r="122" spans="9:14" x14ac:dyDescent="0.2">
      <c r="I122">
        <f t="shared" si="7"/>
        <v>595</v>
      </c>
      <c r="J122">
        <f>SQRT(I122*2/airplane!$B$27/airplane!$B$41)</f>
        <v>25.856852017540707</v>
      </c>
      <c r="K122">
        <f>1/(airplane!$B$40*airplane!$B$9*airplane!$B$10)*(airplane!$B$37+'Rate of climb'!J122/(0.866*airplane!$B$12*SQRT(airplane!$B$39)))</f>
        <v>16.977453118533134</v>
      </c>
      <c r="M122">
        <f t="shared" si="5"/>
        <v>198.84899999999999</v>
      </c>
      <c r="N122">
        <f t="shared" si="6"/>
        <v>75.515711471235392</v>
      </c>
    </row>
    <row r="123" spans="9:14" x14ac:dyDescent="0.2">
      <c r="I123">
        <f t="shared" si="7"/>
        <v>600</v>
      </c>
      <c r="J123">
        <f>SQRT(I123*2/airplane!$B$27/airplane!$B$41)</f>
        <v>25.965266966902533</v>
      </c>
      <c r="K123">
        <f>1/(airplane!$B$40*airplane!$B$9*airplane!$B$10)*(airplane!$B$37+'Rate of climb'!J123/(0.866*airplane!$B$12*SQRT(airplane!$B$39)))</f>
        <v>17.001171035561217</v>
      </c>
      <c r="M123">
        <f t="shared" si="5"/>
        <v>200.52</v>
      </c>
      <c r="N123">
        <f t="shared" si="6"/>
        <v>75.621208766176295</v>
      </c>
    </row>
    <row r="124" spans="9:14" x14ac:dyDescent="0.2">
      <c r="I124">
        <f t="shared" si="7"/>
        <v>605</v>
      </c>
      <c r="J124">
        <f>SQRT(I124*2/airplane!$B$27/airplane!$B$41)</f>
        <v>26.073231120596482</v>
      </c>
      <c r="K124">
        <f>1/(airplane!$B$40*airplane!$B$9*airplane!$B$10)*(airplane!$B$37+'Rate of climb'!J124/(0.866*airplane!$B$12*SQRT(airplane!$B$39)))</f>
        <v>17.0247903321102</v>
      </c>
      <c r="M124">
        <f t="shared" si="5"/>
        <v>202.191</v>
      </c>
      <c r="N124">
        <f t="shared" si="6"/>
        <v>75.726267397226181</v>
      </c>
    </row>
    <row r="125" spans="9:14" x14ac:dyDescent="0.2">
      <c r="I125">
        <f t="shared" si="7"/>
        <v>610</v>
      </c>
      <c r="J125">
        <f>SQRT(I125*2/airplane!$B$27/airplane!$B$41)</f>
        <v>26.18075005559546</v>
      </c>
      <c r="K125">
        <f>1/(airplane!$B$40*airplane!$B$9*airplane!$B$10)*(airplane!$B$37+'Rate of climb'!J125/(0.866*airplane!$B$12*SQRT(airplane!$B$39)))</f>
        <v>17.048312228253344</v>
      </c>
      <c r="M125">
        <f t="shared" si="5"/>
        <v>203.86199999999999</v>
      </c>
      <c r="N125">
        <f t="shared" si="6"/>
        <v>75.830892791270884</v>
      </c>
    </row>
    <row r="126" spans="9:14" x14ac:dyDescent="0.2">
      <c r="I126">
        <f t="shared" si="7"/>
        <v>615</v>
      </c>
      <c r="J126">
        <f>SQRT(I126*2/airplane!$B$27/airplane!$B$41)</f>
        <v>26.287829234820489</v>
      </c>
      <c r="K126">
        <f>1/(airplane!$B$40*airplane!$B$9*airplane!$B$10)*(airplane!$B$37+'Rate of climb'!J126/(0.866*airplane!$B$12*SQRT(airplane!$B$39)))</f>
        <v>17.071737919112806</v>
      </c>
      <c r="M126">
        <f t="shared" si="5"/>
        <v>205.53299999999999</v>
      </c>
      <c r="N126">
        <f t="shared" si="6"/>
        <v>75.93509026421377</v>
      </c>
    </row>
    <row r="127" spans="9:14" x14ac:dyDescent="0.2">
      <c r="I127">
        <f t="shared" si="7"/>
        <v>620</v>
      </c>
      <c r="J127">
        <f>SQRT(I127*2/airplane!$B$27/airplane!$B$41)</f>
        <v>26.394474010379597</v>
      </c>
      <c r="K127">
        <f>1/(airplane!$B$40*airplane!$B$9*airplane!$B$10)*(airplane!$B$37+'Rate of climb'!J127/(0.866*airplane!$B$12*SQRT(airplane!$B$39)))</f>
        <v>17.095068575568195</v>
      </c>
      <c r="M127">
        <f t="shared" ref="M127:M190" si="8">I127*0.3342</f>
        <v>207.20400000000001</v>
      </c>
      <c r="N127">
        <f t="shared" ref="N127:N190" si="9">K127*4.448</f>
        <v>76.038865024127333</v>
      </c>
    </row>
    <row r="128" spans="9:14" x14ac:dyDescent="0.2">
      <c r="I128">
        <f t="shared" si="7"/>
        <v>625</v>
      </c>
      <c r="J128">
        <f>SQRT(I128*2/airplane!$B$27/airplane!$B$41)</f>
        <v>26.500689626689432</v>
      </c>
      <c r="K128">
        <f>1/(airplane!$B$40*airplane!$B$9*airplane!$B$10)*(airplane!$B$37+'Rate of climb'!J128/(0.866*airplane!$B$12*SQRT(airplane!$B$39)))</f>
        <v>17.118305344939508</v>
      </c>
      <c r="M128">
        <f t="shared" si="8"/>
        <v>208.875</v>
      </c>
      <c r="N128">
        <f t="shared" si="9"/>
        <v>76.142222174290936</v>
      </c>
    </row>
    <row r="129" spans="9:14" x14ac:dyDescent="0.2">
      <c r="I129">
        <f t="shared" si="7"/>
        <v>630</v>
      </c>
      <c r="J129">
        <f>SQRT(I129*2/airplane!$B$27/airplane!$B$41)</f>
        <v>26.606481223484735</v>
      </c>
      <c r="K129">
        <f>1/(airplane!$B$40*airplane!$B$9*airplane!$B$10)*(airplane!$B$37+'Rate of climb'!J129/(0.866*airplane!$B$12*SQRT(airplane!$B$39)))</f>
        <v>17.141449351645491</v>
      </c>
      <c r="M129">
        <f t="shared" si="8"/>
        <v>210.54599999999999</v>
      </c>
      <c r="N129">
        <f t="shared" si="9"/>
        <v>76.245166716119158</v>
      </c>
    </row>
    <row r="130" spans="9:14" x14ac:dyDescent="0.2">
      <c r="I130">
        <f t="shared" si="7"/>
        <v>635</v>
      </c>
      <c r="J130">
        <f>SQRT(I130*2/airplane!$B$27/airplane!$B$41)</f>
        <v>26.711853838720494</v>
      </c>
      <c r="K130">
        <f>1/(airplane!$B$40*airplane!$B$9*airplane!$B$10)*(airplane!$B$37+'Rate of climb'!J130/(0.866*airplane!$B$12*SQRT(airplane!$B$39)))</f>
        <v>17.164501697838567</v>
      </c>
      <c r="M130">
        <f t="shared" si="8"/>
        <v>212.21699999999998</v>
      </c>
      <c r="N130">
        <f t="shared" si="9"/>
        <v>76.347703551985958</v>
      </c>
    </row>
    <row r="131" spans="9:14" x14ac:dyDescent="0.2">
      <c r="I131">
        <f t="shared" si="7"/>
        <v>640</v>
      </c>
      <c r="J131">
        <f>SQRT(I131*2/airplane!$B$27/airplane!$B$41)</f>
        <v>26.816812411371487</v>
      </c>
      <c r="K131">
        <f>1/(airplane!$B$40*airplane!$B$9*airplane!$B$10)*(airplane!$B$37+'Rate of climb'!J131/(0.866*airplane!$B$12*SQRT(airplane!$B$39)))</f>
        <v>17.18746346401727</v>
      </c>
      <c r="M131">
        <f t="shared" si="8"/>
        <v>213.88800000000001</v>
      </c>
      <c r="N131">
        <f t="shared" si="9"/>
        <v>76.449837487948827</v>
      </c>
    </row>
    <row r="132" spans="9:14" x14ac:dyDescent="0.2">
      <c r="I132">
        <f t="shared" si="7"/>
        <v>645</v>
      </c>
      <c r="J132">
        <f>SQRT(I132*2/airplane!$B$27/airplane!$B$41)</f>
        <v>26.921361784133598</v>
      </c>
      <c r="K132">
        <f>1/(airplane!$B$40*airplane!$B$9*airplane!$B$10)*(airplane!$B$37+'Rate of climb'!J132/(0.866*airplane!$B$12*SQRT(airplane!$B$39)))</f>
        <v>17.210335709617215</v>
      </c>
      <c r="M132">
        <f t="shared" si="8"/>
        <v>215.559</v>
      </c>
      <c r="N132">
        <f t="shared" si="9"/>
        <v>76.551573236377379</v>
      </c>
    </row>
    <row r="133" spans="9:14" x14ac:dyDescent="0.2">
      <c r="I133">
        <f t="shared" ref="I133:I196" si="10">I132+5</f>
        <v>650</v>
      </c>
      <c r="J133">
        <f>SQRT(I133*2/airplane!$B$27/airplane!$B$41)</f>
        <v>27.025506706031059</v>
      </c>
      <c r="K133">
        <f>1/(airplane!$B$40*airplane!$B$9*airplane!$B$10)*(airplane!$B$37+'Rate of climb'!J133/(0.866*airplane!$B$12*SQRT(airplane!$B$39)))</f>
        <v>17.233119473581503</v>
      </c>
      <c r="M133">
        <f t="shared" si="8"/>
        <v>217.23</v>
      </c>
      <c r="N133">
        <f t="shared" si="9"/>
        <v>76.652915418490537</v>
      </c>
    </row>
    <row r="134" spans="9:14" x14ac:dyDescent="0.2">
      <c r="I134">
        <f t="shared" si="10"/>
        <v>655</v>
      </c>
      <c r="J134">
        <f>SQRT(I134*2/airplane!$B$27/airplane!$B$41)</f>
        <v>27.129251834933651</v>
      </c>
      <c r="K134">
        <f>1/(airplane!$B$40*airplane!$B$9*airplane!$B$10)*(airplane!$B$37+'Rate of climb'!J134/(0.866*airplane!$B$12*SQRT(airplane!$B$39)))</f>
        <v>17.255815774911376</v>
      </c>
      <c r="M134">
        <f t="shared" si="8"/>
        <v>218.90100000000001</v>
      </c>
      <c r="N134">
        <f t="shared" si="9"/>
        <v>76.753868566805806</v>
      </c>
    </row>
    <row r="135" spans="9:14" x14ac:dyDescent="0.2">
      <c r="I135">
        <f t="shared" si="10"/>
        <v>660</v>
      </c>
      <c r="J135">
        <f>SQRT(I135*2/airplane!$B$27/airplane!$B$41)</f>
        <v>27.23260173998753</v>
      </c>
      <c r="K135">
        <f>1/(airplane!$B$40*airplane!$B$9*airplane!$B$10)*(airplane!$B$37+'Rate of climb'!J135/(0.866*airplane!$B$12*SQRT(airplane!$B$39)))</f>
        <v>17.278425613198042</v>
      </c>
      <c r="M135">
        <f t="shared" si="8"/>
        <v>220.572</v>
      </c>
      <c r="N135">
        <f t="shared" si="9"/>
        <v>76.854437127504895</v>
      </c>
    </row>
    <row r="136" spans="9:14" x14ac:dyDescent="0.2">
      <c r="I136">
        <f t="shared" si="10"/>
        <v>665</v>
      </c>
      <c r="J136">
        <f>SQRT(I136*2/airplane!$B$27/airplane!$B$41)</f>
        <v>27.335560903963408</v>
      </c>
      <c r="K136">
        <f>1/(airplane!$B$40*airplane!$B$9*airplane!$B$10)*(airplane!$B$37+'Rate of climb'!J136/(0.866*airplane!$B$12*SQRT(airplane!$B$39)))</f>
        <v>17.300949969136362</v>
      </c>
      <c r="M136">
        <f t="shared" si="8"/>
        <v>222.24299999999999</v>
      </c>
      <c r="N136">
        <f t="shared" si="9"/>
        <v>76.954625462718539</v>
      </c>
    </row>
    <row r="137" spans="9:14" x14ac:dyDescent="0.2">
      <c r="I137">
        <f t="shared" si="10"/>
        <v>670</v>
      </c>
      <c r="J137">
        <f>SQRT(I137*2/airplane!$B$27/airplane!$B$41)</f>
        <v>27.438133725525393</v>
      </c>
      <c r="K137">
        <f>1/(airplane!$B$40*airplane!$B$9*airplane!$B$10)*(airplane!$B$37+'Rate of climb'!J137/(0.866*airplane!$B$12*SQRT(airplane!$B$39)))</f>
        <v>17.323389805021208</v>
      </c>
      <c r="M137">
        <f t="shared" si="8"/>
        <v>223.91399999999999</v>
      </c>
      <c r="N137">
        <f t="shared" si="9"/>
        <v>77.054437852734338</v>
      </c>
    </row>
    <row r="138" spans="9:14" x14ac:dyDescent="0.2">
      <c r="I138">
        <f t="shared" si="10"/>
        <v>675</v>
      </c>
      <c r="J138">
        <f>SQRT(I138*2/airplane!$B$27/airplane!$B$41)</f>
        <v>27.540324521423759</v>
      </c>
      <c r="K138">
        <f>1/(airplane!$B$40*airplane!$B$9*airplane!$B$10)*(airplane!$B$37+'Rate of climb'!J138/(0.866*airplane!$B$12*SQRT(airplane!$B$39)))</f>
        <v>17.345746065227186</v>
      </c>
      <c r="M138">
        <f t="shared" si="8"/>
        <v>225.58500000000001</v>
      </c>
      <c r="N138">
        <f t="shared" si="9"/>
        <v>77.153878498130524</v>
      </c>
    </row>
    <row r="139" spans="9:14" x14ac:dyDescent="0.2">
      <c r="I139">
        <f t="shared" si="10"/>
        <v>680</v>
      </c>
      <c r="J139">
        <f>SQRT(I139*2/airplane!$B$27/airplane!$B$41)</f>
        <v>27.642137528614821</v>
      </c>
      <c r="K139">
        <f>1/(airplane!$B$40*airplane!$B$9*airplane!$B$10)*(airplane!$B$37+'Rate of climb'!J139/(0.866*airplane!$B$12*SQRT(airplane!$B$39)))</f>
        <v>17.36801967667239</v>
      </c>
      <c r="M139">
        <f t="shared" si="8"/>
        <v>227.256</v>
      </c>
      <c r="N139">
        <f t="shared" si="9"/>
        <v>77.252951521838796</v>
      </c>
    </row>
    <row r="140" spans="9:14" x14ac:dyDescent="0.2">
      <c r="I140">
        <f t="shared" si="10"/>
        <v>685</v>
      </c>
      <c r="J140">
        <f>SQRT(I140*2/airplane!$B$27/airplane!$B$41)</f>
        <v>27.743576906310707</v>
      </c>
      <c r="K140">
        <f>1/(airplane!$B$40*airplane!$B$9*airplane!$B$10)*(airplane!$B$37+'Rate of climb'!J140/(0.866*airplane!$B$12*SQRT(airplane!$B$39)))</f>
        <v>17.390211549266837</v>
      </c>
      <c r="M140">
        <f t="shared" si="8"/>
        <v>228.92699999999999</v>
      </c>
      <c r="N140">
        <f t="shared" si="9"/>
        <v>77.351660971138898</v>
      </c>
    </row>
    <row r="141" spans="9:14" x14ac:dyDescent="0.2">
      <c r="I141">
        <f t="shared" si="10"/>
        <v>690</v>
      </c>
      <c r="J141">
        <f>SQRT(I141*2/airplane!$B$27/airplane!$B$41)</f>
        <v>27.844646737961998</v>
      </c>
      <c r="K141">
        <f>1/(airplane!$B$40*airplane!$B$9*airplane!$B$10)*(airplane!$B$37+'Rate of climb'!J141/(0.866*airplane!$B$12*SQRT(airplane!$B$39)))</f>
        <v>17.412322576346202</v>
      </c>
      <c r="M141">
        <f t="shared" si="8"/>
        <v>230.59799999999998</v>
      </c>
      <c r="N141">
        <f t="shared" si="9"/>
        <v>77.450010819587916</v>
      </c>
    </row>
    <row r="142" spans="9:14" x14ac:dyDescent="0.2">
      <c r="I142">
        <f t="shared" si="10"/>
        <v>695</v>
      </c>
      <c r="J142">
        <f>SQRT(I142*2/airplane!$B$27/airplane!$B$41)</f>
        <v>27.945351033175783</v>
      </c>
      <c r="K142">
        <f>1/(airplane!$B$40*airplane!$B$9*airplane!$B$10)*(airplane!$B$37+'Rate of climb'!J142/(0.866*airplane!$B$12*SQRT(airplane!$B$39)))</f>
        <v>17.434353635091437</v>
      </c>
      <c r="M142">
        <f t="shared" si="8"/>
        <v>232.26900000000001</v>
      </c>
      <c r="N142">
        <f t="shared" si="9"/>
        <v>77.548004968886715</v>
      </c>
    </row>
    <row r="143" spans="9:14" x14ac:dyDescent="0.2">
      <c r="I143">
        <f t="shared" si="10"/>
        <v>700</v>
      </c>
      <c r="J143">
        <f>SQRT(I143*2/airplane!$B$27/airplane!$B$41)</f>
        <v>28.045693729571742</v>
      </c>
      <c r="K143">
        <f>1/(airplane!$B$40*airplane!$B$9*airplane!$B$10)*(airplane!$B$37+'Rate of climb'!J143/(0.866*airplane!$B$12*SQRT(airplane!$B$39)))</f>
        <v>17.456305586934814</v>
      </c>
      <c r="M143">
        <f t="shared" si="8"/>
        <v>233.94</v>
      </c>
      <c r="N143">
        <f t="shared" si="9"/>
        <v>77.645647250686054</v>
      </c>
    </row>
    <row r="144" spans="9:14" x14ac:dyDescent="0.2">
      <c r="I144">
        <f t="shared" si="10"/>
        <v>705</v>
      </c>
      <c r="J144">
        <f>SQRT(I144*2/airplane!$B$27/airplane!$B$41)</f>
        <v>28.145678694578692</v>
      </c>
      <c r="K144">
        <f>1/(airplane!$B$40*airplane!$B$9*airplane!$B$10)*(airplane!$B$37+'Rate of climb'!J144/(0.866*airplane!$B$12*SQRT(airplane!$B$39)))</f>
        <v>17.478179277952975</v>
      </c>
      <c r="M144">
        <f t="shared" si="8"/>
        <v>235.61099999999999</v>
      </c>
      <c r="N144">
        <f t="shared" si="9"/>
        <v>77.742941428334845</v>
      </c>
    </row>
    <row r="145" spans="9:14" x14ac:dyDescent="0.2">
      <c r="I145">
        <f t="shared" si="10"/>
        <v>710</v>
      </c>
      <c r="J145">
        <f>SQRT(I145*2/airplane!$B$27/airplane!$B$41)</f>
        <v>28.245309727173851</v>
      </c>
      <c r="K145">
        <f>1/(airplane!$B$40*airplane!$B$9*airplane!$B$10)*(airplane!$B$37+'Rate of climb'!J145/(0.866*airplane!$B$12*SQRT(airplane!$B$39)))</f>
        <v>17.499975539247416</v>
      </c>
      <c r="M145">
        <f t="shared" si="8"/>
        <v>237.28200000000001</v>
      </c>
      <c r="N145">
        <f t="shared" si="9"/>
        <v>77.839891198572516</v>
      </c>
    </row>
    <row r="146" spans="9:14" x14ac:dyDescent="0.2">
      <c r="I146">
        <f t="shared" si="10"/>
        <v>715</v>
      </c>
      <c r="J146">
        <f>SQRT(I146*2/airplane!$B$27/airplane!$B$41)</f>
        <v>28.344590559567141</v>
      </c>
      <c r="K146">
        <f>1/(airplane!$B$40*airplane!$B$9*airplane!$B$10)*(airplane!$B$37+'Rate of climb'!J146/(0.866*airplane!$B$12*SQRT(airplane!$B$39)))</f>
        <v>17.521695187312964</v>
      </c>
      <c r="M146">
        <f t="shared" si="8"/>
        <v>238.953</v>
      </c>
      <c r="N146">
        <f t="shared" si="9"/>
        <v>77.936500193168072</v>
      </c>
    </row>
    <row r="147" spans="9:14" x14ac:dyDescent="0.2">
      <c r="I147">
        <f t="shared" si="10"/>
        <v>720</v>
      </c>
      <c r="J147">
        <f>SQRT(I147*2/airplane!$B$27/airplane!$B$41)</f>
        <v>28.443524858832525</v>
      </c>
      <c r="K147">
        <f>1/(airplane!$B$40*airplane!$B$9*airplane!$B$10)*(airplane!$B$37+'Rate of climb'!J147/(0.866*airplane!$B$12*SQRT(airplane!$B$39)))</f>
        <v>17.543339024394662</v>
      </c>
      <c r="M147">
        <f t="shared" si="8"/>
        <v>240.624</v>
      </c>
      <c r="N147">
        <f t="shared" si="9"/>
        <v>78.032771980507462</v>
      </c>
    </row>
    <row r="148" spans="9:14" x14ac:dyDescent="0.2">
      <c r="I148">
        <f t="shared" si="10"/>
        <v>725</v>
      </c>
      <c r="J148">
        <f>SQRT(I148*2/airplane!$B$27/airplane!$B$41)</f>
        <v>28.542116228488467</v>
      </c>
      <c r="K148">
        <f>1/(airplane!$B$40*airplane!$B$9*airplane!$B$10)*(airplane!$B$37+'Rate of climb'!J148/(0.866*airplane!$B$12*SQRT(airplane!$B$39)))</f>
        <v>17.564907838833527</v>
      </c>
      <c r="M148">
        <f t="shared" si="8"/>
        <v>242.29499999999999</v>
      </c>
      <c r="N148">
        <f t="shared" si="9"/>
        <v>78.128710067131536</v>
      </c>
    </row>
    <row r="149" spans="9:14" x14ac:dyDescent="0.2">
      <c r="I149">
        <f t="shared" si="10"/>
        <v>730</v>
      </c>
      <c r="J149">
        <f>SQRT(I149*2/airplane!$B$27/airplane!$B$41)</f>
        <v>28.640368210029454</v>
      </c>
      <c r="K149">
        <f>1/(airplane!$B$40*airplane!$B$9*airplane!$B$10)*(airplane!$B$37+'Rate of climb'!J149/(0.866*airplane!$B$12*SQRT(airplane!$B$39)))</f>
        <v>17.586402405401618</v>
      </c>
      <c r="M149">
        <f t="shared" si="8"/>
        <v>243.96600000000001</v>
      </c>
      <c r="N149">
        <f t="shared" si="9"/>
        <v>78.224317899226406</v>
      </c>
    </row>
    <row r="150" spans="9:14" x14ac:dyDescent="0.2">
      <c r="I150">
        <f t="shared" si="10"/>
        <v>735</v>
      </c>
      <c r="J150">
        <f>SQRT(I150*2/airplane!$B$27/airplane!$B$41)</f>
        <v>28.738284284410351</v>
      </c>
      <c r="K150">
        <f>1/(airplane!$B$40*airplane!$B$9*airplane!$B$10)*(airplane!$B$37+'Rate of climb'!J150/(0.866*airplane!$B$12*SQRT(airplane!$B$39)))</f>
        <v>17.607823485626731</v>
      </c>
      <c r="M150">
        <f t="shared" si="8"/>
        <v>245.637</v>
      </c>
      <c r="N150">
        <f t="shared" si="9"/>
        <v>78.319598864067714</v>
      </c>
    </row>
    <row r="151" spans="9:14" x14ac:dyDescent="0.2">
      <c r="I151">
        <f t="shared" si="10"/>
        <v>740</v>
      </c>
      <c r="J151">
        <f>SQRT(I151*2/airplane!$B$27/airplane!$B$41)</f>
        <v>28.835867873485409</v>
      </c>
      <c r="K151">
        <f>1/(airplane!$B$40*airplane!$B$9*airplane!$B$10)*(airplane!$B$37+'Rate of climb'!J151/(0.866*airplane!$B$12*SQRT(airplane!$B$39)))</f>
        <v>17.62917182810725</v>
      </c>
      <c r="M151">
        <f t="shared" si="8"/>
        <v>247.30799999999999</v>
      </c>
      <c r="N151">
        <f t="shared" si="9"/>
        <v>78.41455629142105</v>
      </c>
    </row>
    <row r="152" spans="9:14" x14ac:dyDescent="0.2">
      <c r="I152">
        <f t="shared" si="10"/>
        <v>745</v>
      </c>
      <c r="J152">
        <f>SQRT(I152*2/airplane!$B$27/airplane!$B$41)</f>
        <v>28.93312234140361</v>
      </c>
      <c r="K152">
        <f>1/(airplane!$B$40*airplane!$B$9*airplane!$B$10)*(airplane!$B$37+'Rate of climb'!J152/(0.866*airplane!$B$12*SQRT(airplane!$B$39)))</f>
        <v>17.650448168817384</v>
      </c>
      <c r="M152">
        <f t="shared" si="8"/>
        <v>248.97899999999998</v>
      </c>
      <c r="N152">
        <f t="shared" si="9"/>
        <v>78.50919345489973</v>
      </c>
    </row>
    <row r="153" spans="9:14" x14ac:dyDescent="0.2">
      <c r="I153">
        <f t="shared" si="10"/>
        <v>750</v>
      </c>
      <c r="J153">
        <f>SQRT(I153*2/airplane!$B$27/airplane!$B$41)</f>
        <v>29.030050995961922</v>
      </c>
      <c r="K153">
        <f>1/(airplane!$B$40*airplane!$B$9*airplane!$B$10)*(airplane!$B$37+'Rate of climb'!J153/(0.866*airplane!$B$12*SQRT(airplane!$B$39)))</f>
        <v>17.671653231403216</v>
      </c>
      <c r="M153">
        <f t="shared" si="8"/>
        <v>250.65</v>
      </c>
      <c r="N153">
        <f t="shared" si="9"/>
        <v>78.603513573281518</v>
      </c>
    </row>
    <row r="154" spans="9:14" x14ac:dyDescent="0.2">
      <c r="I154">
        <f t="shared" si="10"/>
        <v>755</v>
      </c>
      <c r="J154">
        <f>SQRT(I154*2/airplane!$B$27/airplane!$B$41)</f>
        <v>29.126657089918005</v>
      </c>
      <c r="K154">
        <f>1/(airplane!$B$40*airplane!$B$9*airplane!$B$10)*(airplane!$B$37+'Rate of climb'!J154/(0.866*airplane!$B$12*SQRT(airplane!$B$39)))</f>
        <v>17.692787727469902</v>
      </c>
      <c r="M154">
        <f t="shared" si="8"/>
        <v>252.321</v>
      </c>
      <c r="N154">
        <f t="shared" si="9"/>
        <v>78.697519811786137</v>
      </c>
    </row>
    <row r="155" spans="9:14" x14ac:dyDescent="0.2">
      <c r="I155">
        <f t="shared" si="10"/>
        <v>760</v>
      </c>
      <c r="J155">
        <f>SQRT(I155*2/airplane!$B$27/airplane!$B$41)</f>
        <v>29.2229438222639</v>
      </c>
      <c r="K155">
        <f>1/(airplane!$B$40*airplane!$B$9*airplane!$B$10)*(airplane!$B$37+'Rate of climb'!J155/(0.866*airplane!$B$12*SQRT(airplane!$B$39)))</f>
        <v>17.713852356860293</v>
      </c>
      <c r="M155">
        <f t="shared" si="8"/>
        <v>253.99199999999999</v>
      </c>
      <c r="N155">
        <f t="shared" si="9"/>
        <v>78.791215283314585</v>
      </c>
    </row>
    <row r="156" spans="9:14" x14ac:dyDescent="0.2">
      <c r="I156">
        <f t="shared" si="10"/>
        <v>765</v>
      </c>
      <c r="J156">
        <f>SQRT(I156*2/airplane!$B$27/airplane!$B$41)</f>
        <v>29.31891433946204</v>
      </c>
      <c r="K156">
        <f>1/(airplane!$B$40*airplane!$B$9*airplane!$B$10)*(airplane!$B$37+'Rate of climb'!J156/(0.866*airplane!$B$12*SQRT(airplane!$B$39)))</f>
        <v>17.734847807925355</v>
      </c>
      <c r="M156">
        <f t="shared" si="8"/>
        <v>255.66300000000001</v>
      </c>
      <c r="N156">
        <f t="shared" si="9"/>
        <v>78.884603049651986</v>
      </c>
    </row>
    <row r="157" spans="9:14" x14ac:dyDescent="0.2">
      <c r="I157">
        <f t="shared" si="10"/>
        <v>770</v>
      </c>
      <c r="J157">
        <f>SQRT(I157*2/airplane!$B$27/airplane!$B$41)</f>
        <v>29.414571736644984</v>
      </c>
      <c r="K157">
        <f>1/(airplane!$B$40*airplane!$B$9*airplane!$B$10)*(airplane!$B$37+'Rate of climb'!J157/(0.866*airplane!$B$12*SQRT(airplane!$B$39)))</f>
        <v>17.755774757786629</v>
      </c>
      <c r="M157">
        <f t="shared" si="8"/>
        <v>257.334</v>
      </c>
      <c r="N157">
        <f t="shared" si="9"/>
        <v>78.977686122634935</v>
      </c>
    </row>
    <row r="158" spans="9:14" x14ac:dyDescent="0.2">
      <c r="I158">
        <f t="shared" si="10"/>
        <v>775</v>
      </c>
      <c r="J158">
        <f>SQRT(I158*2/airplane!$B$27/airplane!$B$41)</f>
        <v>29.509919058780131</v>
      </c>
      <c r="K158">
        <f>1/(airplane!$B$40*airplane!$B$9*airplane!$B$10)*(airplane!$B$37+'Rate of climb'!J158/(0.866*airplane!$B$12*SQRT(airplane!$B$39)))</f>
        <v>17.77663387259102</v>
      </c>
      <c r="M158">
        <f t="shared" si="8"/>
        <v>259.005</v>
      </c>
      <c r="N158">
        <f t="shared" si="9"/>
        <v>79.070467465284864</v>
      </c>
    </row>
    <row r="159" spans="9:14" x14ac:dyDescent="0.2">
      <c r="I159">
        <f t="shared" si="10"/>
        <v>780</v>
      </c>
      <c r="J159">
        <f>SQRT(I159*2/airplane!$B$27/airplane!$B$41)</f>
        <v>29.604959301800701</v>
      </c>
      <c r="K159">
        <f>1/(airplane!$B$40*airplane!$B$9*airplane!$B$10)*(airplane!$B$37+'Rate of climb'!J159/(0.866*airplane!$B$12*SQRT(airplane!$B$39)))</f>
        <v>17.797425807758259</v>
      </c>
      <c r="M159">
        <f t="shared" si="8"/>
        <v>260.67599999999999</v>
      </c>
      <c r="N159">
        <f t="shared" si="9"/>
        <v>79.16294999290875</v>
      </c>
    </row>
    <row r="160" spans="9:14" x14ac:dyDescent="0.2">
      <c r="I160">
        <f t="shared" si="10"/>
        <v>785</v>
      </c>
      <c r="J160">
        <f>SQRT(I160*2/airplane!$B$27/airplane!$B$41)</f>
        <v>29.699695413704106</v>
      </c>
      <c r="K160">
        <f>1/(airplane!$B$40*airplane!$B$9*airplane!$B$10)*(airplane!$B$37+'Rate of climb'!J160/(0.866*airplane!$B$12*SQRT(airplane!$B$39)))</f>
        <v>17.818151208221153</v>
      </c>
      <c r="M160">
        <f t="shared" si="8"/>
        <v>262.34699999999998</v>
      </c>
      <c r="N160">
        <f t="shared" si="9"/>
        <v>79.255136574167693</v>
      </c>
    </row>
    <row r="161" spans="9:14" x14ac:dyDescent="0.2">
      <c r="I161">
        <f t="shared" si="10"/>
        <v>790</v>
      </c>
      <c r="J161">
        <f>SQRT(I161*2/airplane!$B$27/airplane!$B$41)</f>
        <v>29.794130295618928</v>
      </c>
      <c r="K161">
        <f>1/(airplane!$B$40*airplane!$B$9*airplane!$B$10)*(airplane!$B$37+'Rate of climb'!J161/(0.866*airplane!$B$12*SQRT(airplane!$B$39)))</f>
        <v>17.838810708659022</v>
      </c>
      <c r="M161">
        <f t="shared" si="8"/>
        <v>264.01799999999997</v>
      </c>
      <c r="N161">
        <f t="shared" si="9"/>
        <v>79.347030032115342</v>
      </c>
    </row>
    <row r="162" spans="9:14" x14ac:dyDescent="0.2">
      <c r="I162">
        <f t="shared" si="10"/>
        <v>795</v>
      </c>
      <c r="J162">
        <f>SQRT(I162*2/airplane!$B$27/airplane!$B$41)</f>
        <v>29.888266802841528</v>
      </c>
      <c r="K162">
        <f>1/(airplane!$B$40*airplane!$B$9*airplane!$B$10)*(airplane!$B$37+'Rate of climb'!J162/(0.866*airplane!$B$12*SQRT(airplane!$B$39)))</f>
        <v>17.859404933724491</v>
      </c>
      <c r="M162">
        <f t="shared" si="8"/>
        <v>265.68900000000002</v>
      </c>
      <c r="N162">
        <f t="shared" si="9"/>
        <v>79.438633145206538</v>
      </c>
    </row>
    <row r="163" spans="9:14" x14ac:dyDescent="0.2">
      <c r="I163">
        <f t="shared" si="10"/>
        <v>800</v>
      </c>
      <c r="J163">
        <f>SQRT(I163*2/airplane!$B$27/airplane!$B$41)</f>
        <v>29.982107745843351</v>
      </c>
      <c r="K163">
        <f>1/(airplane!$B$40*airplane!$B$9*airplane!$B$10)*(airplane!$B$37+'Rate of climb'!J163/(0.866*airplane!$B$12*SQRT(airplane!$B$39)))</f>
        <v>17.87993449826384</v>
      </c>
      <c r="M163">
        <f t="shared" si="8"/>
        <v>267.36</v>
      </c>
      <c r="N163">
        <f t="shared" si="9"/>
        <v>79.529948648277568</v>
      </c>
    </row>
    <row r="164" spans="9:14" x14ac:dyDescent="0.2">
      <c r="I164">
        <f t="shared" si="10"/>
        <v>805</v>
      </c>
      <c r="J164">
        <f>SQRT(I164*2/airplane!$B$27/airplane!$B$41)</f>
        <v>30.075655891250001</v>
      </c>
      <c r="K164">
        <f>1/(airplane!$B$40*airplane!$B$9*airplane!$B$10)*(airplane!$B$37+'Rate of climb'!J164/(0.866*airplane!$B$12*SQRT(airplane!$B$39)))</f>
        <v>17.900400007531211</v>
      </c>
      <c r="M164">
        <f t="shared" si="8"/>
        <v>269.03100000000001</v>
      </c>
      <c r="N164">
        <f t="shared" si="9"/>
        <v>79.620979233498829</v>
      </c>
    </row>
    <row r="165" spans="9:14" x14ac:dyDescent="0.2">
      <c r="I165">
        <f t="shared" si="10"/>
        <v>810</v>
      </c>
      <c r="J165">
        <f>SQRT(I165*2/airplane!$B$27/airplane!$B$41)</f>
        <v>30.168913962792924</v>
      </c>
      <c r="K165">
        <f>1/(airplane!$B$40*airplane!$B$9*airplane!$B$10)*(airplane!$B$37+'Rate of climb'!J165/(0.866*airplane!$B$12*SQRT(airplane!$B$39)))</f>
        <v>17.920802057396784</v>
      </c>
      <c r="M165">
        <f t="shared" si="8"/>
        <v>270.702</v>
      </c>
      <c r="N165">
        <f t="shared" si="9"/>
        <v>79.71172755130091</v>
      </c>
    </row>
    <row r="166" spans="9:14" x14ac:dyDescent="0.2">
      <c r="I166">
        <f t="shared" si="10"/>
        <v>815</v>
      </c>
      <c r="J166">
        <f>SQRT(I166*2/airplane!$B$27/airplane!$B$41)</f>
        <v>30.26188464223474</v>
      </c>
      <c r="K166">
        <f>1/(airplane!$B$40*airplane!$B$9*airplane!$B$10)*(airplane!$B$37+'Rate of climb'!J166/(0.866*airplane!$B$12*SQRT(airplane!$B$39)))</f>
        <v>17.941141234549246</v>
      </c>
      <c r="M166">
        <f t="shared" si="8"/>
        <v>272.37299999999999</v>
      </c>
      <c r="N166">
        <f t="shared" si="9"/>
        <v>79.802196211275046</v>
      </c>
    </row>
    <row r="167" spans="9:14" x14ac:dyDescent="0.2">
      <c r="I167">
        <f t="shared" si="10"/>
        <v>820</v>
      </c>
      <c r="J167">
        <f>SQRT(I167*2/airplane!$B$27/airplane!$B$41)</f>
        <v>30.354570570269047</v>
      </c>
      <c r="K167">
        <f>1/(airplane!$B$40*airplane!$B$9*airplane!$B$10)*(airplane!$B$37+'Rate of climb'!J167/(0.866*airplane!$B$12*SQRT(airplane!$B$39)))</f>
        <v>17.961418116692609</v>
      </c>
      <c r="M167">
        <f t="shared" si="8"/>
        <v>274.04399999999998</v>
      </c>
      <c r="N167">
        <f t="shared" si="9"/>
        <v>79.892387783048733</v>
      </c>
    </row>
    <row r="168" spans="9:14" x14ac:dyDescent="0.2">
      <c r="I168">
        <f t="shared" si="10"/>
        <v>825</v>
      </c>
      <c r="J168">
        <f>SQRT(I168*2/airplane!$B$27/airplane!$B$41)</f>
        <v>30.446974347395585</v>
      </c>
      <c r="K168">
        <f>1/(airplane!$B$40*airplane!$B$9*airplane!$B$10)*(airplane!$B$37+'Rate of climb'!J168/(0.866*airplane!$B$12*SQRT(airplane!$B$39)))</f>
        <v>17.981633272737689</v>
      </c>
      <c r="M168">
        <f t="shared" si="8"/>
        <v>275.71499999999997</v>
      </c>
      <c r="N168">
        <f t="shared" si="9"/>
        <v>79.982304797137246</v>
      </c>
    </row>
    <row r="169" spans="9:14" x14ac:dyDescent="0.2">
      <c r="I169">
        <f t="shared" si="10"/>
        <v>830</v>
      </c>
      <c r="J169">
        <f>SQRT(I169*2/airplane!$B$27/airplane!$B$41)</f>
        <v>30.539098534771551</v>
      </c>
      <c r="K169">
        <f>1/(airplane!$B$40*airplane!$B$9*airplane!$B$10)*(airplane!$B$37+'Rate of climb'!J169/(0.866*airplane!$B$12*SQRT(airplane!$B$39)))</f>
        <v>18.00178726298833</v>
      </c>
      <c r="M169">
        <f t="shared" si="8"/>
        <v>277.38600000000002</v>
      </c>
      <c r="N169">
        <f t="shared" si="9"/>
        <v>80.071949745772102</v>
      </c>
    </row>
    <row r="170" spans="9:14" x14ac:dyDescent="0.2">
      <c r="I170">
        <f t="shared" si="10"/>
        <v>835</v>
      </c>
      <c r="J170">
        <f>SQRT(I170*2/airplane!$B$27/airplane!$B$41)</f>
        <v>30.630945655039884</v>
      </c>
      <c r="K170">
        <f>1/(airplane!$B$40*airplane!$B$9*airplane!$B$10)*(airplane!$B$37+'Rate of climb'!J170/(0.866*airplane!$B$12*SQRT(airplane!$B$39)))</f>
        <v>18.021880639322646</v>
      </c>
      <c r="M170">
        <f t="shared" si="8"/>
        <v>279.05700000000002</v>
      </c>
      <c r="N170">
        <f t="shared" si="9"/>
        <v>80.16132508370714</v>
      </c>
    </row>
    <row r="171" spans="9:14" x14ac:dyDescent="0.2">
      <c r="I171">
        <f t="shared" si="10"/>
        <v>840</v>
      </c>
      <c r="J171">
        <f>SQRT(I171*2/airplane!$B$27/airplane!$B$41)</f>
        <v>30.722518193135272</v>
      </c>
      <c r="K171">
        <f>1/(airplane!$B$40*airplane!$B$9*airplane!$B$10)*(airplane!$B$37+'Rate of climb'!J171/(0.866*airplane!$B$12*SQRT(airplane!$B$39)))</f>
        <v>18.041913945369291</v>
      </c>
      <c r="M171">
        <f t="shared" si="8"/>
        <v>280.72800000000001</v>
      </c>
      <c r="N171">
        <f t="shared" si="9"/>
        <v>80.25043322900261</v>
      </c>
    </row>
    <row r="172" spans="9:14" x14ac:dyDescent="0.2">
      <c r="I172">
        <f t="shared" si="10"/>
        <v>845</v>
      </c>
      <c r="J172">
        <f>SQRT(I172*2/airplane!$B$27/airplane!$B$41)</f>
        <v>30.813818597068568</v>
      </c>
      <c r="K172">
        <f>1/(airplane!$B$40*airplane!$B$9*airplane!$B$10)*(airplane!$B$37+'Rate of climb'!J172/(0.866*airplane!$B$12*SQRT(airplane!$B$39)))</f>
        <v>18.06188771667912</v>
      </c>
      <c r="M172">
        <f t="shared" si="8"/>
        <v>282.399</v>
      </c>
      <c r="N172">
        <f t="shared" si="9"/>
        <v>80.339276563788729</v>
      </c>
    </row>
    <row r="173" spans="9:14" x14ac:dyDescent="0.2">
      <c r="I173">
        <f t="shared" si="10"/>
        <v>850</v>
      </c>
      <c r="J173">
        <f>SQRT(I173*2/airplane!$B$27/airplane!$B$41)</f>
        <v>30.904849278690389</v>
      </c>
      <c r="K173">
        <f>1/(airplane!$B$40*airplane!$B$9*airplane!$B$10)*(airplane!$B$37+'Rate of climb'!J173/(0.866*airplane!$B$12*SQRT(airplane!$B$39)))</f>
        <v>18.081802480892222</v>
      </c>
      <c r="M173">
        <f t="shared" si="8"/>
        <v>284.07</v>
      </c>
      <c r="N173">
        <f t="shared" si="9"/>
        <v>80.427857435008605</v>
      </c>
    </row>
    <row r="174" spans="9:14" x14ac:dyDescent="0.2">
      <c r="I174">
        <f t="shared" si="10"/>
        <v>855</v>
      </c>
      <c r="J174">
        <f>SQRT(I174*2/airplane!$B$27/airplane!$B$41)</f>
        <v>30.995612614434492</v>
      </c>
      <c r="K174">
        <f>1/(airplane!$B$40*airplane!$B$9*airplane!$B$10)*(airplane!$B$37+'Rate of climb'!J174/(0.866*airplane!$B$12*SQRT(airplane!$B$39)))</f>
        <v>18.101658757900534</v>
      </c>
      <c r="M174">
        <f t="shared" si="8"/>
        <v>285.74099999999999</v>
      </c>
      <c r="N174">
        <f t="shared" si="9"/>
        <v>80.516178155141588</v>
      </c>
    </row>
    <row r="175" spans="9:14" x14ac:dyDescent="0.2">
      <c r="I175">
        <f t="shared" si="10"/>
        <v>860</v>
      </c>
      <c r="J175">
        <f>SQRT(I175*2/airplane!$B$27/airplane!$B$41)</f>
        <v>31.086110946041671</v>
      </c>
      <c r="K175">
        <f>1/(airplane!$B$40*airplane!$B$9*airplane!$B$10)*(airplane!$B$37+'Rate of climb'!J175/(0.866*airplane!$B$12*SQRT(airplane!$B$39)))</f>
        <v>18.121457060006225</v>
      </c>
      <c r="M175">
        <f t="shared" si="8"/>
        <v>287.41199999999998</v>
      </c>
      <c r="N175">
        <f t="shared" si="9"/>
        <v>80.604241002907699</v>
      </c>
    </row>
    <row r="176" spans="9:14" x14ac:dyDescent="0.2">
      <c r="I176">
        <f t="shared" si="10"/>
        <v>865</v>
      </c>
      <c r="J176">
        <f>SQRT(I176*2/airplane!$B$27/airplane!$B$41)</f>
        <v>31.176346581264664</v>
      </c>
      <c r="K176">
        <f>1/(airplane!$B$40*airplane!$B$9*airplane!$B$10)*(airplane!$B$37+'Rate of climb'!J176/(0.866*airplane!$B$12*SQRT(airplane!$B$39)))</f>
        <v>18.141197892075908</v>
      </c>
      <c r="M176">
        <f t="shared" si="8"/>
        <v>289.08299999999997</v>
      </c>
      <c r="N176">
        <f t="shared" si="9"/>
        <v>80.692048223953648</v>
      </c>
    </row>
    <row r="177" spans="9:14" x14ac:dyDescent="0.2">
      <c r="I177">
        <f t="shared" si="10"/>
        <v>870</v>
      </c>
      <c r="J177">
        <f>SQRT(I177*2/airplane!$B$27/airplane!$B$41)</f>
        <v>31.26632179455482</v>
      </c>
      <c r="K177">
        <f>1/(airplane!$B$40*airplane!$B$9*airplane!$B$10)*(airplane!$B$37+'Rate of climb'!J177/(0.866*airplane!$B$12*SQRT(airplane!$B$39)))</f>
        <v>18.160881751690855</v>
      </c>
      <c r="M177">
        <f t="shared" si="8"/>
        <v>290.75400000000002</v>
      </c>
      <c r="N177">
        <f t="shared" si="9"/>
        <v>80.779602031520938</v>
      </c>
    </row>
    <row r="178" spans="9:14" x14ac:dyDescent="0.2">
      <c r="I178">
        <f t="shared" si="10"/>
        <v>875</v>
      </c>
      <c r="J178">
        <f>SQRT(I178*2/airplane!$B$27/airplane!$B$41)</f>
        <v>31.356038827731012</v>
      </c>
      <c r="K178">
        <f>1/(airplane!$B$40*airplane!$B$9*airplane!$B$10)*(airplane!$B$37+'Rate of climb'!J178/(0.866*airplane!$B$12*SQRT(airplane!$B$39)))</f>
        <v>18.180509129293338</v>
      </c>
      <c r="M178">
        <f t="shared" si="8"/>
        <v>292.42500000000001</v>
      </c>
      <c r="N178">
        <f t="shared" si="9"/>
        <v>80.866904607096771</v>
      </c>
    </row>
    <row r="179" spans="9:14" x14ac:dyDescent="0.2">
      <c r="I179">
        <f t="shared" si="10"/>
        <v>880</v>
      </c>
      <c r="J179">
        <f>SQRT(I179*2/airplane!$B$27/airplane!$B$41)</f>
        <v>31.445499890631343</v>
      </c>
      <c r="K179">
        <f>1/(airplane!$B$40*airplane!$B$9*airplane!$B$10)*(airplane!$B$37+'Rate of climb'!J179/(0.866*airplane!$B$12*SQRT(airplane!$B$39)))</f>
        <v>18.200080508329197</v>
      </c>
      <c r="M179">
        <f t="shared" si="8"/>
        <v>294.096</v>
      </c>
      <c r="N179">
        <f t="shared" si="9"/>
        <v>80.953958101048272</v>
      </c>
    </row>
    <row r="180" spans="9:14" x14ac:dyDescent="0.2">
      <c r="I180">
        <f t="shared" si="10"/>
        <v>885</v>
      </c>
      <c r="J180">
        <f>SQRT(I180*2/airplane!$B$27/airplane!$B$41)</f>
        <v>31.534707161748255</v>
      </c>
      <c r="K180">
        <f>1/(airplane!$B$40*airplane!$B$9*airplane!$B$10)*(airplane!$B$37+'Rate of climb'!J180/(0.866*airplane!$B$12*SQRT(airplane!$B$39)))</f>
        <v>18.219596365386796</v>
      </c>
      <c r="M180">
        <f t="shared" si="8"/>
        <v>295.767</v>
      </c>
      <c r="N180">
        <f t="shared" si="9"/>
        <v>81.040764633240471</v>
      </c>
    </row>
    <row r="181" spans="9:14" x14ac:dyDescent="0.2">
      <c r="I181">
        <f t="shared" si="10"/>
        <v>890</v>
      </c>
      <c r="J181">
        <f>SQRT(I181*2/airplane!$B$27/airplane!$B$41)</f>
        <v>31.623662788847497</v>
      </c>
      <c r="K181">
        <f>1/(airplane!$B$40*airplane!$B$9*airplane!$B$10)*(airplane!$B$37+'Rate of climb'!J181/(0.866*airplane!$B$12*SQRT(airplane!$B$39)))</f>
        <v>18.239057170332426</v>
      </c>
      <c r="M181">
        <f t="shared" si="8"/>
        <v>297.43799999999999</v>
      </c>
      <c r="N181">
        <f t="shared" si="9"/>
        <v>81.127326293638646</v>
      </c>
    </row>
    <row r="182" spans="9:14" x14ac:dyDescent="0.2">
      <c r="I182">
        <f t="shared" si="10"/>
        <v>895</v>
      </c>
      <c r="J182">
        <f>SQRT(I182*2/airplane!$B$27/airplane!$B$41)</f>
        <v>31.712368889571444</v>
      </c>
      <c r="K182">
        <f>1/(airplane!$B$40*airplane!$B$9*airplane!$B$10)*(airplane!$B$37+'Rate of climb'!J182/(0.866*airplane!$B$12*SQRT(airplane!$B$39)))</f>
        <v>18.258463386442287</v>
      </c>
      <c r="M182">
        <f t="shared" si="8"/>
        <v>299.10899999999998</v>
      </c>
      <c r="N182">
        <f t="shared" si="9"/>
        <v>81.213645142895302</v>
      </c>
    </row>
    <row r="183" spans="9:14" x14ac:dyDescent="0.2">
      <c r="I183">
        <f t="shared" si="10"/>
        <v>900</v>
      </c>
      <c r="J183">
        <f>SQRT(I183*2/airplane!$B$27/airplane!$B$41)</f>
        <v>31.800827552027318</v>
      </c>
      <c r="K183">
        <f>1/(airplane!$B$40*airplane!$B$9*airplane!$B$10)*(airplane!$B$37+'Rate of climb'!J183/(0.866*airplane!$B$12*SQRT(airplane!$B$39)))</f>
        <v>18.277815470531181</v>
      </c>
      <c r="M183">
        <f t="shared" si="8"/>
        <v>300.77999999999997</v>
      </c>
      <c r="N183">
        <f t="shared" si="9"/>
        <v>81.2997232129227</v>
      </c>
    </row>
    <row r="184" spans="9:14" x14ac:dyDescent="0.2">
      <c r="I184">
        <f t="shared" si="10"/>
        <v>905</v>
      </c>
      <c r="J184">
        <f>SQRT(I184*2/airplane!$B$27/airplane!$B$41)</f>
        <v>31.889040835360674</v>
      </c>
      <c r="K184">
        <f>1/(airplane!$B$40*airplane!$B$9*airplane!$B$10)*(airplane!$B$37+'Rate of climb'!J184/(0.866*airplane!$B$12*SQRT(airplane!$B$39)))</f>
        <v>18.297113873077979</v>
      </c>
      <c r="M184">
        <f t="shared" si="8"/>
        <v>302.45100000000002</v>
      </c>
      <c r="N184">
        <f t="shared" si="9"/>
        <v>81.385562507450857</v>
      </c>
    </row>
    <row r="185" spans="9:14" x14ac:dyDescent="0.2">
      <c r="I185">
        <f t="shared" si="10"/>
        <v>910</v>
      </c>
      <c r="J185">
        <f>SQRT(I185*2/airplane!$B$27/airplane!$B$41)</f>
        <v>31.977010770314692</v>
      </c>
      <c r="K185">
        <f>1/(airplane!$B$40*airplane!$B$9*airplane!$B$10)*(airplane!$B$37+'Rate of climb'!J185/(0.866*airplane!$B$12*SQRT(airplane!$B$39)))</f>
        <v>18.316359038347958</v>
      </c>
      <c r="M185">
        <f t="shared" si="8"/>
        <v>304.12200000000001</v>
      </c>
      <c r="N185">
        <f t="shared" si="9"/>
        <v>81.471165002571723</v>
      </c>
    </row>
    <row r="186" spans="9:14" x14ac:dyDescent="0.2">
      <c r="I186">
        <f t="shared" si="10"/>
        <v>915</v>
      </c>
      <c r="J186">
        <f>SQRT(I186*2/airplane!$B$27/airplane!$B$41)</f>
        <v>32.064739359775601</v>
      </c>
      <c r="K186">
        <f>1/(airplane!$B$40*airplane!$B$9*airplane!$B$10)*(airplane!$B$37+'Rate of climb'!J186/(0.866*airplane!$B$12*SQRT(airplane!$B$39)))</f>
        <v>18.335551404512152</v>
      </c>
      <c r="M186">
        <f t="shared" si="8"/>
        <v>305.79300000000001</v>
      </c>
      <c r="N186">
        <f t="shared" si="9"/>
        <v>81.55653264727006</v>
      </c>
    </row>
    <row r="187" spans="9:14" x14ac:dyDescent="0.2">
      <c r="I187">
        <f t="shared" si="10"/>
        <v>920</v>
      </c>
      <c r="J187">
        <f>SQRT(I187*2/airplane!$B$27/airplane!$B$41)</f>
        <v>32.15222857930479</v>
      </c>
      <c r="K187">
        <f>1/(airplane!$B$40*airplane!$B$9*airplane!$B$10)*(airplane!$B$37+'Rate of climb'!J187/(0.866*airplane!$B$12*SQRT(airplane!$B$39)))</f>
        <v>18.354691403763724</v>
      </c>
      <c r="M187">
        <f t="shared" si="8"/>
        <v>307.464</v>
      </c>
      <c r="N187">
        <f t="shared" si="9"/>
        <v>81.641667363941053</v>
      </c>
    </row>
    <row r="188" spans="9:14" x14ac:dyDescent="0.2">
      <c r="I188">
        <f t="shared" si="10"/>
        <v>925</v>
      </c>
      <c r="J188">
        <f>SQRT(I188*2/airplane!$B$27/airplane!$B$41)</f>
        <v>32.239480377657841</v>
      </c>
      <c r="K188">
        <f>1/(airplane!$B$40*airplane!$B$9*airplane!$B$10)*(airplane!$B$37+'Rate of climb'!J188/(0.866*airplane!$B$12*SQRT(airplane!$B$39)))</f>
        <v>18.373779462431553</v>
      </c>
      <c r="M188">
        <f t="shared" si="8"/>
        <v>309.13499999999999</v>
      </c>
      <c r="N188">
        <f t="shared" si="9"/>
        <v>81.726571048895551</v>
      </c>
    </row>
    <row r="189" spans="9:14" x14ac:dyDescent="0.2">
      <c r="I189">
        <f t="shared" si="10"/>
        <v>930</v>
      </c>
      <c r="J189">
        <f>SQRT(I189*2/airplane!$B$27/airplane!$B$41)</f>
        <v>32.326496677290997</v>
      </c>
      <c r="K189">
        <f>1/(airplane!$B$40*airplane!$B$9*airplane!$B$10)*(airplane!$B$37+'Rate of climb'!J189/(0.866*airplane!$B$12*SQRT(airplane!$B$39)))</f>
        <v>18.392816001091017</v>
      </c>
      <c r="M189">
        <f t="shared" si="8"/>
        <v>310.80599999999998</v>
      </c>
      <c r="N189">
        <f t="shared" si="9"/>
        <v>81.811245572852854</v>
      </c>
    </row>
    <row r="190" spans="9:14" x14ac:dyDescent="0.2">
      <c r="I190">
        <f t="shared" si="10"/>
        <v>935</v>
      </c>
      <c r="J190">
        <f>SQRT(I190*2/airplane!$B$27/airplane!$B$41)</f>
        <v>32.413279374855406</v>
      </c>
      <c r="K190">
        <f>1/(airplane!$B$40*airplane!$B$9*airplane!$B$10)*(airplane!$B$37+'Rate of climb'!J190/(0.866*airplane!$B$12*SQRT(airplane!$B$39)))</f>
        <v>18.4118014346721</v>
      </c>
      <c r="M190">
        <f t="shared" si="8"/>
        <v>312.47699999999998</v>
      </c>
      <c r="N190">
        <f t="shared" si="9"/>
        <v>81.895692781421502</v>
      </c>
    </row>
    <row r="191" spans="9:14" x14ac:dyDescent="0.2">
      <c r="I191">
        <f t="shared" si="10"/>
        <v>940</v>
      </c>
      <c r="J191">
        <f>SQRT(I191*2/airplane!$B$27/airplane!$B$41)</f>
        <v>32.499830341679441</v>
      </c>
      <c r="K191">
        <f>1/(airplane!$B$40*airplane!$B$9*airplane!$B$10)*(airplane!$B$37+'Rate of climb'!J191/(0.866*airplane!$B$12*SQRT(airplane!$B$39)))</f>
        <v>18.430736172564949</v>
      </c>
      <c r="M191">
        <f t="shared" ref="M191:M254" si="11">I191*0.3342</f>
        <v>314.14800000000002</v>
      </c>
      <c r="N191">
        <f t="shared" ref="N191:N254" si="12">K191*4.448</f>
        <v>81.979914495568892</v>
      </c>
    </row>
    <row r="192" spans="9:14" x14ac:dyDescent="0.2">
      <c r="I192">
        <f t="shared" si="10"/>
        <v>945</v>
      </c>
      <c r="J192">
        <f>SQRT(I192*2/airplane!$B$27/airplane!$B$41)</f>
        <v>32.586151424239539</v>
      </c>
      <c r="K192">
        <f>1/(airplane!$B$40*airplane!$B$9*airplane!$B$10)*(airplane!$B$37+'Rate of climb'!J192/(0.866*airplane!$B$12*SQRT(airplane!$B$39)))</f>
        <v>18.449620618722843</v>
      </c>
      <c r="M192">
        <f t="shared" si="11"/>
        <v>315.81900000000002</v>
      </c>
      <c r="N192">
        <f t="shared" si="12"/>
        <v>82.063912512079213</v>
      </c>
    </row>
    <row r="193" spans="9:14" x14ac:dyDescent="0.2">
      <c r="I193">
        <f t="shared" si="10"/>
        <v>950</v>
      </c>
      <c r="J193">
        <f>SQRT(I193*2/airplane!$B$27/airplane!$B$41)</f>
        <v>32.672244444619807</v>
      </c>
      <c r="K193">
        <f>1/(airplane!$B$40*airplane!$B$9*airplane!$B$10)*(airplane!$B$37+'Rate of climb'!J193/(0.866*airplane!$B$12*SQRT(airplane!$B$39)))</f>
        <v>18.46845517176277</v>
      </c>
      <c r="M193">
        <f t="shared" si="11"/>
        <v>317.49</v>
      </c>
      <c r="N193">
        <f t="shared" si="12"/>
        <v>82.147688604000805</v>
      </c>
    </row>
    <row r="194" spans="9:14" x14ac:dyDescent="0.2">
      <c r="I194">
        <f t="shared" si="10"/>
        <v>955</v>
      </c>
      <c r="J194">
        <f>SQRT(I194*2/airplane!$B$27/airplane!$B$41)</f>
        <v>32.758111200960762</v>
      </c>
      <c r="K194">
        <f>1/(airplane!$B$40*airplane!$B$9*airplane!$B$10)*(airplane!$B$37+'Rate of climb'!J194/(0.866*airplane!$B$12*SQRT(airplane!$B$39)))</f>
        <v>18.487240225063566</v>
      </c>
      <c r="M194">
        <f t="shared" si="11"/>
        <v>319.161</v>
      </c>
      <c r="N194">
        <f t="shared" si="12"/>
        <v>82.231244521082743</v>
      </c>
    </row>
    <row r="195" spans="9:14" x14ac:dyDescent="0.2">
      <c r="I195">
        <f t="shared" si="10"/>
        <v>960</v>
      </c>
      <c r="J195">
        <f>SQRT(I195*2/airplane!$B$27/airplane!$B$41)</f>
        <v>32.843753467897542</v>
      </c>
      <c r="K195">
        <f>1/(airplane!$B$40*airplane!$B$9*airplane!$B$10)*(airplane!$B$37+'Rate of climb'!J195/(0.866*airplane!$B$12*SQRT(airplane!$B$39)))</f>
        <v>18.505976166861814</v>
      </c>
      <c r="M195">
        <f t="shared" si="11"/>
        <v>320.83199999999999</v>
      </c>
      <c r="N195">
        <f t="shared" si="12"/>
        <v>82.314581990201361</v>
      </c>
    </row>
    <row r="196" spans="9:14" x14ac:dyDescent="0.2">
      <c r="I196">
        <f t="shared" si="10"/>
        <v>965</v>
      </c>
      <c r="J196">
        <f>SQRT(I196*2/airplane!$B$27/airplane!$B$41)</f>
        <v>32.92917299698783</v>
      </c>
      <c r="K196">
        <f>1/(airplane!$B$40*airplane!$B$9*airplane!$B$10)*(airplane!$B$37+'Rate of climb'!J196/(0.866*airplane!$B$12*SQRT(airplane!$B$39)))</f>
        <v>18.524663380345444</v>
      </c>
      <c r="M196">
        <f t="shared" si="11"/>
        <v>322.50299999999999</v>
      </c>
      <c r="N196">
        <f t="shared" si="12"/>
        <v>82.397702715776546</v>
      </c>
    </row>
    <row r="197" spans="9:14" x14ac:dyDescent="0.2">
      <c r="I197">
        <f t="shared" ref="I197:I260" si="13">I196+5</f>
        <v>970</v>
      </c>
      <c r="J197">
        <f>SQRT(I197*2/airplane!$B$27/airplane!$B$41)</f>
        <v>33.014371517129838</v>
      </c>
      <c r="K197">
        <f>1/(airplane!$B$40*airplane!$B$9*airplane!$B$10)*(airplane!$B$37+'Rate of climb'!J197/(0.866*airplane!$B$12*SQRT(airplane!$B$39)))</f>
        <v>18.54330224374517</v>
      </c>
      <c r="M197">
        <f t="shared" si="11"/>
        <v>324.17399999999998</v>
      </c>
      <c r="N197">
        <f t="shared" si="12"/>
        <v>82.480608380178523</v>
      </c>
    </row>
    <row r="198" spans="9:14" x14ac:dyDescent="0.2">
      <c r="I198">
        <f t="shared" si="13"/>
        <v>975</v>
      </c>
      <c r="J198">
        <f>SQRT(I198*2/airplane!$B$27/airplane!$B$41)</f>
        <v>33.099350734970542</v>
      </c>
      <c r="K198">
        <f>1/(airplane!$B$40*airplane!$B$9*airplane!$B$10)*(airplane!$B$37+'Rate of climb'!J198/(0.866*airplane!$B$12*SQRT(airplane!$B$39)))</f>
        <v>18.561893130423819</v>
      </c>
      <c r="M198">
        <f t="shared" si="11"/>
        <v>325.84499999999997</v>
      </c>
      <c r="N198">
        <f t="shared" si="12"/>
        <v>82.56330064412515</v>
      </c>
    </row>
    <row r="199" spans="9:14" x14ac:dyDescent="0.2">
      <c r="I199">
        <f t="shared" si="13"/>
        <v>980</v>
      </c>
      <c r="J199">
        <f>SQRT(I199*2/airplane!$B$27/airplane!$B$41)</f>
        <v>33.184112335304611</v>
      </c>
      <c r="K199">
        <f>1/(airplane!$B$40*airplane!$B$9*airplane!$B$10)*(airplane!$B$37+'Rate of climb'!J199/(0.866*airplane!$B$12*SQRT(airplane!$B$39)))</f>
        <v>18.580436408963582</v>
      </c>
      <c r="M199">
        <f t="shared" si="11"/>
        <v>327.51600000000002</v>
      </c>
      <c r="N199">
        <f t="shared" si="12"/>
        <v>82.645781147070025</v>
      </c>
    </row>
    <row r="200" spans="9:14" x14ac:dyDescent="0.2">
      <c r="I200">
        <f t="shared" si="13"/>
        <v>985</v>
      </c>
      <c r="J200">
        <f>SQRT(I200*2/airplane!$B$27/airplane!$B$41)</f>
        <v>33.268657981464131</v>
      </c>
      <c r="K200">
        <f>1/(airplane!$B$40*airplane!$B$9*airplane!$B$10)*(airplane!$B$37+'Rate of climb'!J200/(0.866*airplane!$B$12*SQRT(airplane!$B$39)))</f>
        <v>18.598932443251293</v>
      </c>
      <c r="M200">
        <f t="shared" si="11"/>
        <v>329.18700000000001</v>
      </c>
      <c r="N200">
        <f t="shared" si="12"/>
        <v>82.728051507581753</v>
      </c>
    </row>
    <row r="201" spans="9:14" x14ac:dyDescent="0.2">
      <c r="I201">
        <f t="shared" si="13"/>
        <v>990</v>
      </c>
      <c r="J201">
        <f>SQRT(I201*2/airplane!$B$27/airplane!$B$41)</f>
        <v>33.352989315699389</v>
      </c>
      <c r="K201">
        <f>1/(airplane!$B$40*airplane!$B$9*airplane!$B$10)*(airplane!$B$37+'Rate of climb'!J201/(0.866*airplane!$B$12*SQRT(airplane!$B$39)))</f>
        <v>18.617381592561724</v>
      </c>
      <c r="M201">
        <f t="shared" si="11"/>
        <v>330.858</v>
      </c>
      <c r="N201">
        <f t="shared" si="12"/>
        <v>82.81011332371456</v>
      </c>
    </row>
    <row r="202" spans="9:14" x14ac:dyDescent="0.2">
      <c r="I202">
        <f t="shared" si="13"/>
        <v>995</v>
      </c>
      <c r="J202">
        <f>SQRT(I202*2/airplane!$B$27/airplane!$B$41)</f>
        <v>33.437107959551149</v>
      </c>
      <c r="K202">
        <f>1/(airplane!$B$40*airplane!$B$9*airplane!$B$10)*(airplane!$B$37+'Rate of climb'!J202/(0.866*airplane!$B$12*SQRT(airplane!$B$39)))</f>
        <v>18.635784211639027</v>
      </c>
      <c r="M202">
        <f t="shared" si="11"/>
        <v>332.529</v>
      </c>
      <c r="N202">
        <f t="shared" si="12"/>
        <v>82.891968173370401</v>
      </c>
    </row>
    <row r="203" spans="9:14" x14ac:dyDescent="0.2">
      <c r="I203">
        <f t="shared" si="13"/>
        <v>1000</v>
      </c>
      <c r="J203">
        <f>SQRT(I203*2/airplane!$B$27/airplane!$B$41)</f>
        <v>33.521015514214355</v>
      </c>
      <c r="K203">
        <f>1/(airplane!$B$40*airplane!$B$9*airplane!$B$10)*(airplane!$B$37+'Rate of climb'!J203/(0.866*airplane!$B$12*SQRT(airplane!$B$39)))</f>
        <v>18.654140650776302</v>
      </c>
      <c r="M203">
        <f t="shared" si="11"/>
        <v>334.2</v>
      </c>
      <c r="N203">
        <f t="shared" si="12"/>
        <v>82.973617614652994</v>
      </c>
    </row>
    <row r="204" spans="9:14" x14ac:dyDescent="0.2">
      <c r="I204">
        <f t="shared" si="13"/>
        <v>1005</v>
      </c>
      <c r="J204">
        <f>SQRT(I204*2/airplane!$B$27/airplane!$B$41)</f>
        <v>33.604713560893813</v>
      </c>
      <c r="K204">
        <f>1/(airplane!$B$40*airplane!$B$9*airplane!$B$10)*(airplane!$B$37+'Rate of climb'!J204/(0.866*airplane!$B$12*SQRT(airplane!$B$39)))</f>
        <v>18.67245125589341</v>
      </c>
      <c r="M204">
        <f t="shared" si="11"/>
        <v>335.87099999999998</v>
      </c>
      <c r="N204">
        <f t="shared" si="12"/>
        <v>83.0550631862139</v>
      </c>
    </row>
    <row r="205" spans="9:14" x14ac:dyDescent="0.2">
      <c r="I205">
        <f t="shared" si="13"/>
        <v>1010</v>
      </c>
      <c r="J205">
        <f>SQRT(I205*2/airplane!$B$27/airplane!$B$41)</f>
        <v>33.688203661151803</v>
      </c>
      <c r="K205">
        <f>1/(airplane!$B$40*airplane!$B$9*airplane!$B$10)*(airplane!$B$37+'Rate of climb'!J205/(0.866*airplane!$B$12*SQRT(airplane!$B$39)))</f>
        <v>18.690716368613028</v>
      </c>
      <c r="M205">
        <f t="shared" si="11"/>
        <v>337.54199999999997</v>
      </c>
      <c r="N205">
        <f t="shared" si="12"/>
        <v>83.136306407590752</v>
      </c>
    </row>
    <row r="206" spans="9:14" x14ac:dyDescent="0.2">
      <c r="I206">
        <f t="shared" si="13"/>
        <v>1015</v>
      </c>
      <c r="J206">
        <f>SQRT(I206*2/airplane!$B$27/airplane!$B$41)</f>
        <v>33.77148735724802</v>
      </c>
      <c r="K206">
        <f>1/(airplane!$B$40*airplane!$B$9*airplane!$B$10)*(airplane!$B$37+'Rate of climb'!J206/(0.866*airplane!$B$12*SQRT(airplane!$B$39)))</f>
        <v>18.708936326334996</v>
      </c>
      <c r="M206">
        <f t="shared" si="11"/>
        <v>339.21300000000002</v>
      </c>
      <c r="N206">
        <f t="shared" si="12"/>
        <v>83.217348779538071</v>
      </c>
    </row>
    <row r="207" spans="9:14" x14ac:dyDescent="0.2">
      <c r="I207">
        <f t="shared" si="13"/>
        <v>1020</v>
      </c>
      <c r="J207">
        <f>SQRT(I207*2/airplane!$B$27/airplane!$B$41)</f>
        <v>33.854566172471976</v>
      </c>
      <c r="K207">
        <f>1/(airplane!$B$40*airplane!$B$9*airplane!$B$10)*(airplane!$B$37+'Rate of climb'!J207/(0.866*airplane!$B$12*SQRT(airplane!$B$39)))</f>
        <v>18.727111462309065</v>
      </c>
      <c r="M207">
        <f t="shared" si="11"/>
        <v>340.88400000000001</v>
      </c>
      <c r="N207">
        <f t="shared" si="12"/>
        <v>83.29819178435072</v>
      </c>
    </row>
    <row r="208" spans="9:14" x14ac:dyDescent="0.2">
      <c r="I208">
        <f t="shared" si="13"/>
        <v>1025</v>
      </c>
      <c r="J208">
        <f>SQRT(I208*2/airplane!$B$27/airplane!$B$41)</f>
        <v>33.937441611468074</v>
      </c>
      <c r="K208">
        <f>1/(airplane!$B$40*airplane!$B$9*airplane!$B$10)*(airplane!$B$37+'Rate of climb'!J208/(0.866*airplane!$B$12*SQRT(airplane!$B$39)))</f>
        <v>18.745242105705991</v>
      </c>
      <c r="M208">
        <f t="shared" si="11"/>
        <v>342.55500000000001</v>
      </c>
      <c r="N208">
        <f t="shared" si="12"/>
        <v>83.378836886180252</v>
      </c>
    </row>
    <row r="209" spans="9:14" x14ac:dyDescent="0.2">
      <c r="I209">
        <f t="shared" si="13"/>
        <v>1030</v>
      </c>
      <c r="J209">
        <f>SQRT(I209*2/airplane!$B$27/airplane!$B$41)</f>
        <v>34.020115160553551</v>
      </c>
      <c r="K209">
        <f>1/(airplane!$B$40*airplane!$B$9*airplane!$B$10)*(airplane!$B$37+'Rate of climb'!J209/(0.866*airplane!$B$12*SQRT(airplane!$B$39)))</f>
        <v>18.763328581687105</v>
      </c>
      <c r="M209">
        <f t="shared" si="11"/>
        <v>344.226</v>
      </c>
      <c r="N209">
        <f t="shared" si="12"/>
        <v>83.45928553134425</v>
      </c>
    </row>
    <row r="210" spans="9:14" x14ac:dyDescent="0.2">
      <c r="I210">
        <f t="shared" si="13"/>
        <v>1035</v>
      </c>
      <c r="J210">
        <f>SQRT(I210*2/airplane!$B$27/airplane!$B$41)</f>
        <v>34.102588288029494</v>
      </c>
      <c r="K210">
        <f>1/(airplane!$B$40*airplane!$B$9*airplane!$B$10)*(airplane!$B$37+'Rate of climb'!J210/(0.866*airplane!$B$12*SQRT(airplane!$B$39)))</f>
        <v>18.781371211472344</v>
      </c>
      <c r="M210">
        <f t="shared" si="11"/>
        <v>345.89699999999999</v>
      </c>
      <c r="N210">
        <f t="shared" si="12"/>
        <v>83.53953914862899</v>
      </c>
    </row>
    <row r="211" spans="9:14" x14ac:dyDescent="0.2">
      <c r="I211">
        <f t="shared" si="13"/>
        <v>1040</v>
      </c>
      <c r="J211">
        <f>SQRT(I211*2/airplane!$B$27/airplane!$B$41)</f>
        <v>34.184862444485098</v>
      </c>
      <c r="K211">
        <f>1/(airplane!$B$40*airplane!$B$9*airplane!$B$10)*(airplane!$B$37+'Rate of climb'!J211/(0.866*airplane!$B$12*SQRT(airplane!$B$39)))</f>
        <v>18.799370312406818</v>
      </c>
      <c r="M211">
        <f t="shared" si="11"/>
        <v>347.56799999999998</v>
      </c>
      <c r="N211">
        <f t="shared" si="12"/>
        <v>83.61959914958554</v>
      </c>
    </row>
    <row r="212" spans="9:14" x14ac:dyDescent="0.2">
      <c r="I212">
        <f t="shared" si="13"/>
        <v>1045</v>
      </c>
      <c r="J212">
        <f>SQRT(I212*2/airplane!$B$27/airplane!$B$41)</f>
        <v>34.266939063095329</v>
      </c>
      <c r="K212">
        <f>1/(airplane!$B$40*airplane!$B$9*airplane!$B$10)*(airplane!$B$37+'Rate of climb'!J212/(0.866*airplane!$B$12*SQRT(airplane!$B$39)))</f>
        <v>18.817326198025928</v>
      </c>
      <c r="M212">
        <f t="shared" si="11"/>
        <v>349.23899999999998</v>
      </c>
      <c r="N212">
        <f t="shared" si="12"/>
        <v>83.699466928819334</v>
      </c>
    </row>
    <row r="213" spans="9:14" x14ac:dyDescent="0.2">
      <c r="I213">
        <f t="shared" si="13"/>
        <v>1050</v>
      </c>
      <c r="J213">
        <f>SQRT(I213*2/airplane!$B$27/airplane!$B$41)</f>
        <v>34.348819559912243</v>
      </c>
      <c r="K213">
        <f>1/(airplane!$B$40*airplane!$B$9*airplane!$B$10)*(airplane!$B$37+'Rate of climb'!J213/(0.866*airplane!$B$12*SQRT(airplane!$B$39)))</f>
        <v>18.83523917811911</v>
      </c>
      <c r="M213">
        <f t="shared" si="11"/>
        <v>350.91</v>
      </c>
      <c r="N213">
        <f t="shared" si="12"/>
        <v>83.779143864273806</v>
      </c>
    </row>
    <row r="214" spans="9:14" x14ac:dyDescent="0.2">
      <c r="I214">
        <f t="shared" si="13"/>
        <v>1055</v>
      </c>
      <c r="J214">
        <f>SQRT(I214*2/airplane!$B$27/airplane!$B$41)</f>
        <v>34.430505334149991</v>
      </c>
      <c r="K214">
        <f>1/(airplane!$B$40*airplane!$B$9*airplane!$B$10)*(airplane!$B$37+'Rate of climb'!J214/(0.866*airplane!$B$12*SQRT(airplane!$B$39)))</f>
        <v>18.853109558792159</v>
      </c>
      <c r="M214">
        <f t="shared" si="11"/>
        <v>352.58100000000002</v>
      </c>
      <c r="N214">
        <f t="shared" si="12"/>
        <v>83.85863131750753</v>
      </c>
    </row>
    <row r="215" spans="9:14" x14ac:dyDescent="0.2">
      <c r="I215">
        <f t="shared" si="13"/>
        <v>1060</v>
      </c>
      <c r="J215">
        <f>SQRT(I215*2/airplane!$B$27/airplane!$B$41)</f>
        <v>34.511997768463822</v>
      </c>
      <c r="K215">
        <f>1/(airplane!$B$40*airplane!$B$9*airplane!$B$10)*(airplane!$B$37+'Rate of climb'!J215/(0.866*airplane!$B$12*SQRT(airplane!$B$39)))</f>
        <v>18.870937642528297</v>
      </c>
      <c r="M215">
        <f t="shared" si="11"/>
        <v>354.25200000000001</v>
      </c>
      <c r="N215">
        <f t="shared" si="12"/>
        <v>83.937930633965877</v>
      </c>
    </row>
    <row r="216" spans="9:14" x14ac:dyDescent="0.2">
      <c r="I216">
        <f t="shared" si="13"/>
        <v>1065</v>
      </c>
      <c r="J216">
        <f>SQRT(I216*2/airplane!$B$27/airplane!$B$41)</f>
        <v>34.593298229223137</v>
      </c>
      <c r="K216">
        <f>1/(airplane!$B$40*airplane!$B$9*airplane!$B$10)*(airplane!$B$37+'Rate of climb'!J216/(0.866*airplane!$B$12*SQRT(airplane!$B$39)))</f>
        <v>18.888723728247886</v>
      </c>
      <c r="M216">
        <f t="shared" si="11"/>
        <v>355.923</v>
      </c>
      <c r="N216">
        <f t="shared" si="12"/>
        <v>84.017043143246596</v>
      </c>
    </row>
    <row r="217" spans="9:14" x14ac:dyDescent="0.2">
      <c r="I217">
        <f t="shared" si="13"/>
        <v>1070</v>
      </c>
      <c r="J217">
        <f>SQRT(I217*2/airplane!$B$27/airplane!$B$41)</f>
        <v>34.674408066778781</v>
      </c>
      <c r="K217">
        <f>1/(airplane!$B$40*airplane!$B$9*airplane!$B$10)*(airplane!$B$37+'Rate of climb'!J217/(0.866*airplane!$B$12*SQRT(airplane!$B$39)))</f>
        <v>18.906468111366912</v>
      </c>
      <c r="M217">
        <f t="shared" si="11"/>
        <v>357.59399999999999</v>
      </c>
      <c r="N217">
        <f t="shared" si="12"/>
        <v>84.095970159360036</v>
      </c>
    </row>
    <row r="218" spans="9:14" x14ac:dyDescent="0.2">
      <c r="I218">
        <f t="shared" si="13"/>
        <v>1075</v>
      </c>
      <c r="J218">
        <f>SQRT(I218*2/airplane!$B$27/airplane!$B$41)</f>
        <v>34.755328615724736</v>
      </c>
      <c r="K218">
        <f>1/(airplane!$B$40*airplane!$B$9*airplane!$B$10)*(airplane!$B$37+'Rate of climb'!J218/(0.866*airplane!$B$12*SQRT(airplane!$B$39)))</f>
        <v>18.92417108385423</v>
      </c>
      <c r="M218">
        <f t="shared" si="11"/>
        <v>359.26499999999999</v>
      </c>
      <c r="N218">
        <f t="shared" si="12"/>
        <v>84.174712980983614</v>
      </c>
    </row>
    <row r="219" spans="9:14" x14ac:dyDescent="0.2">
      <c r="I219">
        <f t="shared" si="13"/>
        <v>1080</v>
      </c>
      <c r="J219">
        <f>SQRT(I219*2/airplane!$B$27/airplane!$B$41)</f>
        <v>34.836061195154308</v>
      </c>
      <c r="K219">
        <f>1/(airplane!$B$40*airplane!$B$9*airplane!$B$10)*(airplane!$B$37+'Rate of climb'!J219/(0.866*airplane!$B$12*SQRT(airplane!$B$39)))</f>
        <v>18.941832934287632</v>
      </c>
      <c r="M219">
        <f t="shared" si="11"/>
        <v>360.93599999999998</v>
      </c>
      <c r="N219">
        <f t="shared" si="12"/>
        <v>84.25327289171139</v>
      </c>
    </row>
    <row r="220" spans="9:14" x14ac:dyDescent="0.2">
      <c r="I220">
        <f t="shared" si="13"/>
        <v>1085</v>
      </c>
      <c r="J220">
        <f>SQRT(I220*2/airplane!$B$27/airplane!$B$41)</f>
        <v>34.916607108911037</v>
      </c>
      <c r="K220">
        <f>1/(airplane!$B$40*airplane!$B$9*airplane!$B$10)*(airplane!$B$37+'Rate of climb'!J220/(0.866*airplane!$B$12*SQRT(airplane!$B$39)))</f>
        <v>18.959453947908713</v>
      </c>
      <c r="M220">
        <f t="shared" si="11"/>
        <v>362.60699999999997</v>
      </c>
      <c r="N220">
        <f t="shared" si="12"/>
        <v>84.331651160297966</v>
      </c>
    </row>
    <row r="221" spans="9:14" x14ac:dyDescent="0.2">
      <c r="I221">
        <f t="shared" si="13"/>
        <v>1090</v>
      </c>
      <c r="J221">
        <f>SQRT(I221*2/airplane!$B$27/airplane!$B$41)</f>
        <v>34.996967645834374</v>
      </c>
      <c r="K221">
        <f>1/(airplane!$B$40*airplane!$B$9*airplane!$B$10)*(airplane!$B$37+'Rate of climb'!J221/(0.866*airplane!$B$12*SQRT(airplane!$B$39)))</f>
        <v>18.977034406676609</v>
      </c>
      <c r="M221">
        <f t="shared" si="11"/>
        <v>364.27800000000002</v>
      </c>
      <c r="N221">
        <f t="shared" si="12"/>
        <v>84.409849040897569</v>
      </c>
    </row>
    <row r="222" spans="9:14" x14ac:dyDescent="0.2">
      <c r="I222">
        <f t="shared" si="13"/>
        <v>1095</v>
      </c>
      <c r="J222">
        <f>SQRT(I222*2/airplane!$B$27/airplane!$B$41)</f>
        <v>35.077144080000281</v>
      </c>
      <c r="K222">
        <f>1/(airplane!$B$40*airplane!$B$9*airplane!$B$10)*(airplane!$B$37+'Rate of climb'!J222/(0.866*airplane!$B$12*SQRT(airplane!$B$39)))</f>
        <v>18.994574589320685</v>
      </c>
      <c r="M222">
        <f t="shared" si="11"/>
        <v>365.94900000000001</v>
      </c>
      <c r="N222">
        <f t="shared" si="12"/>
        <v>84.487867773298419</v>
      </c>
    </row>
    <row r="223" spans="9:14" x14ac:dyDescent="0.2">
      <c r="I223">
        <f t="shared" si="13"/>
        <v>1100</v>
      </c>
      <c r="J223">
        <f>SQRT(I223*2/airplane!$B$27/airplane!$B$41)</f>
        <v>35.157137670956942</v>
      </c>
      <c r="K223">
        <f>1/(airplane!$B$40*airplane!$B$9*airplane!$B$10)*(airplane!$B$37+'Rate of climb'!J223/(0.866*airplane!$B$12*SQRT(airplane!$B$39)))</f>
        <v>19.012074771392037</v>
      </c>
      <c r="M223">
        <f t="shared" si="11"/>
        <v>367.62</v>
      </c>
      <c r="N223">
        <f t="shared" si="12"/>
        <v>84.565708583151789</v>
      </c>
    </row>
    <row r="224" spans="9:14" x14ac:dyDescent="0.2">
      <c r="I224">
        <f t="shared" si="13"/>
        <v>1105</v>
      </c>
      <c r="J224">
        <f>SQRT(I224*2/airplane!$B$27/airplane!$B$41)</f>
        <v>35.236949663955599</v>
      </c>
      <c r="K224">
        <f>1/(airplane!$B$40*airplane!$B$9*airplane!$B$10)*(airplane!$B$37+'Rate of climb'!J224/(0.866*airplane!$B$12*SQRT(airplane!$B$39)))</f>
        <v>19.029535225314035</v>
      </c>
      <c r="M224">
        <f t="shared" si="11"/>
        <v>369.291</v>
      </c>
      <c r="N224">
        <f t="shared" si="12"/>
        <v>84.643372682196841</v>
      </c>
    </row>
    <row r="225" spans="9:14" x14ac:dyDescent="0.2">
      <c r="I225">
        <f t="shared" si="13"/>
        <v>1110</v>
      </c>
      <c r="J225">
        <f>SQRT(I225*2/airplane!$B$27/airplane!$B$41)</f>
        <v>35.316581290176742</v>
      </c>
      <c r="K225">
        <f>1/(airplane!$B$40*airplane!$B$9*airplane!$B$10)*(airplane!$B$37+'Rate of climb'!J225/(0.866*airplane!$B$12*SQRT(airplane!$B$39)))</f>
        <v>19.046956220431788</v>
      </c>
      <c r="M225">
        <f t="shared" si="11"/>
        <v>370.96199999999999</v>
      </c>
      <c r="N225">
        <f t="shared" si="12"/>
        <v>84.720861268480604</v>
      </c>
    </row>
    <row r="226" spans="9:14" x14ac:dyDescent="0.2">
      <c r="I226">
        <f t="shared" si="13"/>
        <v>1115</v>
      </c>
      <c r="J226">
        <f>SQRT(I226*2/airplane!$B$27/airplane!$B$41)</f>
        <v>35.396033766951668</v>
      </c>
      <c r="K226">
        <f>1/(airplane!$B$40*airplane!$B$9*airplane!$B$10)*(airplane!$B$37+'Rate of climb'!J226/(0.866*airplane!$B$12*SQRT(airplane!$B$39)))</f>
        <v>19.064338023060632</v>
      </c>
      <c r="M226">
        <f t="shared" si="11"/>
        <v>372.63299999999998</v>
      </c>
      <c r="N226">
        <f t="shared" si="12"/>
        <v>84.798175526573701</v>
      </c>
    </row>
    <row r="227" spans="9:14" x14ac:dyDescent="0.2">
      <c r="I227">
        <f t="shared" si="13"/>
        <v>1120</v>
      </c>
      <c r="J227">
        <f>SQRT(I227*2/airplane!$B$27/airplane!$B$41)</f>
        <v>35.475308297979652</v>
      </c>
      <c r="K227">
        <f>1/(airplane!$B$40*airplane!$B$9*airplane!$B$10)*(airplane!$B$37+'Rate of climb'!J227/(0.866*airplane!$B$12*SQRT(airplane!$B$39)))</f>
        <v>19.081680896533612</v>
      </c>
      <c r="M227">
        <f t="shared" si="11"/>
        <v>374.30399999999997</v>
      </c>
      <c r="N227">
        <f t="shared" si="12"/>
        <v>84.875316627781515</v>
      </c>
    </row>
    <row r="228" spans="9:14" x14ac:dyDescent="0.2">
      <c r="I228">
        <f t="shared" si="13"/>
        <v>1125</v>
      </c>
      <c r="J228">
        <f>SQRT(I228*2/airplane!$B$27/airplane!$B$41)</f>
        <v>35.554406073540655</v>
      </c>
      <c r="K228">
        <f>1/(airplane!$B$40*airplane!$B$9*airplane!$B$10)*(airplane!$B$37+'Rate of climb'!J228/(0.866*airplane!$B$12*SQRT(airplane!$B$39)))</f>
        <v>19.098985101248044</v>
      </c>
      <c r="M228">
        <f t="shared" si="11"/>
        <v>375.97500000000002</v>
      </c>
      <c r="N228">
        <f t="shared" si="12"/>
        <v>84.952285730351306</v>
      </c>
    </row>
    <row r="229" spans="9:14" x14ac:dyDescent="0.2">
      <c r="I229">
        <f t="shared" si="13"/>
        <v>1130</v>
      </c>
      <c r="J229">
        <f>SQRT(I229*2/airplane!$B$27/airplane!$B$41)</f>
        <v>35.633328270703899</v>
      </c>
      <c r="K229">
        <f>1/(airplane!$B$40*airplane!$B$9*airplane!$B$10)*(airplane!$B$37+'Rate of climb'!J229/(0.866*airplane!$B$12*SQRT(airplane!$B$39)))</f>
        <v>19.116250894711122</v>
      </c>
      <c r="M229">
        <f t="shared" si="11"/>
        <v>377.64600000000002</v>
      </c>
      <c r="N229">
        <f t="shared" si="12"/>
        <v>85.029083979675079</v>
      </c>
    </row>
    <row r="230" spans="9:14" x14ac:dyDescent="0.2">
      <c r="I230">
        <f t="shared" si="13"/>
        <v>1135</v>
      </c>
      <c r="J230">
        <f>SQRT(I230*2/airplane!$B$27/airplane!$B$41)</f>
        <v>35.712076053532179</v>
      </c>
      <c r="K230">
        <f>1/(airplane!$B$40*airplane!$B$9*airplane!$B$10)*(airplane!$B$37+'Rate of climb'!J230/(0.866*airplane!$B$12*SQRT(airplane!$B$39)))</f>
        <v>19.133478531584643</v>
      </c>
      <c r="M230">
        <f t="shared" si="11"/>
        <v>379.31700000000001</v>
      </c>
      <c r="N230">
        <f t="shared" si="12"/>
        <v>85.105712508488494</v>
      </c>
    </row>
    <row r="231" spans="9:14" x14ac:dyDescent="0.2">
      <c r="I231">
        <f t="shared" si="13"/>
        <v>1140</v>
      </c>
      <c r="J231">
        <f>SQRT(I231*2/airplane!$B$27/airplane!$B$41)</f>
        <v>35.790650573282228</v>
      </c>
      <c r="K231">
        <f>1/(airplane!$B$40*airplane!$B$9*airplane!$B$10)*(airplane!$B$37+'Rate of climb'!J231/(0.866*airplane!$B$12*SQRT(airplane!$B$39)))</f>
        <v>19.150668263728807</v>
      </c>
      <c r="M231">
        <f t="shared" si="11"/>
        <v>380.988</v>
      </c>
      <c r="N231">
        <f t="shared" si="12"/>
        <v>85.182172437065745</v>
      </c>
    </row>
    <row r="232" spans="9:14" x14ac:dyDescent="0.2">
      <c r="I232">
        <f t="shared" si="13"/>
        <v>1145</v>
      </c>
      <c r="J232">
        <f>SQRT(I232*2/airplane!$B$27/airplane!$B$41)</f>
        <v>35.869052968601061</v>
      </c>
      <c r="K232">
        <f>1/(airplane!$B$40*airplane!$B$9*airplane!$B$10)*(airplane!$B$37+'Rate of climb'!J232/(0.866*airplane!$B$12*SQRT(airplane!$B$39)))</f>
        <v>19.1678203402452</v>
      </c>
      <c r="M232">
        <f t="shared" si="11"/>
        <v>382.65899999999999</v>
      </c>
      <c r="N232">
        <f t="shared" si="12"/>
        <v>85.258464873410659</v>
      </c>
    </row>
    <row r="233" spans="9:14" x14ac:dyDescent="0.2">
      <c r="I233">
        <f t="shared" si="13"/>
        <v>1150</v>
      </c>
      <c r="J233">
        <f>SQRT(I233*2/airplane!$B$27/airplane!$B$41)</f>
        <v>35.947284365718495</v>
      </c>
      <c r="K233">
        <f>1/(airplane!$B$40*airplane!$B$9*airplane!$B$10)*(airplane!$B$37+'Rate of climb'!J233/(0.866*airplane!$B$12*SQRT(airplane!$B$39)))</f>
        <v>19.184935007518895</v>
      </c>
      <c r="M233">
        <f t="shared" si="11"/>
        <v>384.33</v>
      </c>
      <c r="N233">
        <f t="shared" si="12"/>
        <v>85.334590913444046</v>
      </c>
    </row>
    <row r="234" spans="9:14" x14ac:dyDescent="0.2">
      <c r="I234">
        <f t="shared" si="13"/>
        <v>1155</v>
      </c>
      <c r="J234">
        <f>SQRT(I234*2/airplane!$B$27/airplane!$B$41)</f>
        <v>36.025345878635932</v>
      </c>
      <c r="K234">
        <f>1/(airplane!$B$40*airplane!$B$9*airplane!$B$10)*(airplane!$B$37+'Rate of climb'!J234/(0.866*airplane!$B$12*SQRT(airplane!$B$39)))</f>
        <v>19.202012509259756</v>
      </c>
      <c r="M234">
        <f t="shared" si="11"/>
        <v>386.00099999999998</v>
      </c>
      <c r="N234">
        <f t="shared" si="12"/>
        <v>85.410551641187396</v>
      </c>
    </row>
    <row r="235" spans="9:14" x14ac:dyDescent="0.2">
      <c r="I235">
        <f t="shared" si="13"/>
        <v>1160</v>
      </c>
      <c r="J235">
        <f>SQRT(I235*2/airplane!$B$27/airplane!$B$41)</f>
        <v>36.103238609311376</v>
      </c>
      <c r="K235">
        <f>1/(airplane!$B$40*airplane!$B$9*airplane!$B$10)*(airplane!$B$37+'Rate of climb'!J235/(0.866*airplane!$B$12*SQRT(airplane!$B$39)))</f>
        <v>19.219053086542925</v>
      </c>
      <c r="M235">
        <f t="shared" si="11"/>
        <v>387.67199999999997</v>
      </c>
      <c r="N235">
        <f t="shared" si="12"/>
        <v>85.486348128942936</v>
      </c>
    </row>
    <row r="236" spans="9:14" x14ac:dyDescent="0.2">
      <c r="I236">
        <f t="shared" si="13"/>
        <v>1165</v>
      </c>
      <c r="J236">
        <f>SQRT(I236*2/airplane!$B$27/airplane!$B$41)</f>
        <v>36.180963647841011</v>
      </c>
      <c r="K236">
        <f>1/(airplane!$B$40*airplane!$B$9*airplane!$B$10)*(airplane!$B$37+'Rate of climb'!J236/(0.866*airplane!$B$12*SQRT(airplane!$B$39)))</f>
        <v>19.23605697784852</v>
      </c>
      <c r="M236">
        <f t="shared" si="11"/>
        <v>389.34300000000002</v>
      </c>
      <c r="N236">
        <f t="shared" si="12"/>
        <v>85.561981437470223</v>
      </c>
    </row>
    <row r="237" spans="9:14" x14ac:dyDescent="0.2">
      <c r="I237">
        <f t="shared" si="13"/>
        <v>1170</v>
      </c>
      <c r="J237">
        <f>SQRT(I237*2/airplane!$B$27/airplane!$B$41)</f>
        <v>36.258522072637128</v>
      </c>
      <c r="K237">
        <f>1/(airplane!$B$40*airplane!$B$9*airplane!$B$10)*(airplane!$B$37+'Rate of climb'!J237/(0.866*airplane!$B$12*SQRT(airplane!$B$39)))</f>
        <v>19.253024419100591</v>
      </c>
      <c r="M237">
        <f t="shared" si="11"/>
        <v>391.01400000000001</v>
      </c>
      <c r="N237">
        <f t="shared" si="12"/>
        <v>85.637452616159436</v>
      </c>
    </row>
    <row r="238" spans="9:14" x14ac:dyDescent="0.2">
      <c r="I238">
        <f t="shared" si="13"/>
        <v>1175</v>
      </c>
      <c r="J238">
        <f>SQRT(I238*2/airplane!$B$27/airplane!$B$41)</f>
        <v>36.335914950602728</v>
      </c>
      <c r="K238">
        <f>1/(airplane!$B$40*airplane!$B$9*airplane!$B$10)*(airplane!$B$37+'Rate of climb'!J238/(0.866*airplane!$B$12*SQRT(airplane!$B$39)))</f>
        <v>19.269955643705291</v>
      </c>
      <c r="M238">
        <f t="shared" si="11"/>
        <v>392.685</v>
      </c>
      <c r="N238">
        <f t="shared" si="12"/>
        <v>85.712762703201136</v>
      </c>
    </row>
    <row r="239" spans="9:14" x14ac:dyDescent="0.2">
      <c r="I239">
        <f t="shared" si="13"/>
        <v>1180</v>
      </c>
      <c r="J239">
        <f>SQRT(I239*2/airplane!$B$27/airplane!$B$41)</f>
        <v>36.413143337302749</v>
      </c>
      <c r="K239">
        <f>1/(airplane!$B$40*airplane!$B$9*airplane!$B$10)*(airplane!$B$37+'Rate of climb'!J239/(0.866*airplane!$B$12*SQRT(airplane!$B$39)))</f>
        <v>19.286850882588357</v>
      </c>
      <c r="M239">
        <f t="shared" si="11"/>
        <v>394.35599999999999</v>
      </c>
      <c r="N239">
        <f t="shared" si="12"/>
        <v>85.787912725753017</v>
      </c>
    </row>
    <row r="240" spans="9:14" x14ac:dyDescent="0.2">
      <c r="I240">
        <f t="shared" si="13"/>
        <v>1185</v>
      </c>
      <c r="J240">
        <f>SQRT(I240*2/airplane!$B$27/airplane!$B$41)</f>
        <v>36.490208277132055</v>
      </c>
      <c r="K240">
        <f>1/(airplane!$B$40*airplane!$B$9*airplane!$B$10)*(airplane!$B$37+'Rate of climb'!J240/(0.866*airplane!$B$12*SQRT(airplane!$B$39)))</f>
        <v>19.303710364231847</v>
      </c>
      <c r="M240">
        <f t="shared" si="11"/>
        <v>396.02699999999999</v>
      </c>
      <c r="N240">
        <f t="shared" si="12"/>
        <v>85.86290370010326</v>
      </c>
    </row>
    <row r="241" spans="9:14" x14ac:dyDescent="0.2">
      <c r="I241">
        <f t="shared" si="13"/>
        <v>1190</v>
      </c>
      <c r="J241">
        <f>SQRT(I241*2/airplane!$B$27/airplane!$B$41)</f>
        <v>36.56711080348019</v>
      </c>
      <c r="K241">
        <f>1/(airplane!$B$40*airplane!$B$9*airplane!$B$10)*(airplane!$B$37+'Rate of climb'!J241/(0.866*airplane!$B$12*SQRT(airplane!$B$39)))</f>
        <v>19.320534314710184</v>
      </c>
      <c r="M241">
        <f t="shared" si="11"/>
        <v>397.69799999999998</v>
      </c>
      <c r="N241">
        <f t="shared" si="12"/>
        <v>85.937736631830902</v>
      </c>
    </row>
    <row r="242" spans="9:14" x14ac:dyDescent="0.2">
      <c r="I242">
        <f t="shared" si="13"/>
        <v>1195</v>
      </c>
      <c r="J242">
        <f>SQRT(I242*2/airplane!$B$27/airplane!$B$41)</f>
        <v>36.643851938893086</v>
      </c>
      <c r="K242">
        <f>1/(airplane!$B$40*airplane!$B$9*airplane!$B$10)*(airplane!$B$37+'Rate of climb'!J242/(0.866*airplane!$B$12*SQRT(airplane!$B$39)))</f>
        <v>19.337322957725544</v>
      </c>
      <c r="M242">
        <f t="shared" si="11"/>
        <v>399.36899999999997</v>
      </c>
      <c r="N242">
        <f t="shared" si="12"/>
        <v>86.01241251596322</v>
      </c>
    </row>
    <row r="243" spans="9:14" x14ac:dyDescent="0.2">
      <c r="I243">
        <f t="shared" si="13"/>
        <v>1200</v>
      </c>
      <c r="J243">
        <f>SQRT(I243*2/airplane!$B$27/airplane!$B$41)</f>
        <v>36.720432695231679</v>
      </c>
      <c r="K243">
        <f>1/(airplane!$B$40*airplane!$B$9*airplane!$B$10)*(airplane!$B$37+'Rate of climb'!J243/(0.866*airplane!$B$12*SQRT(airplane!$B$39)))</f>
        <v>19.354076514642536</v>
      </c>
      <c r="M243">
        <f t="shared" si="11"/>
        <v>401.04</v>
      </c>
      <c r="N243">
        <f t="shared" si="12"/>
        <v>86.086932337130008</v>
      </c>
    </row>
    <row r="244" spans="9:14" x14ac:dyDescent="0.2">
      <c r="I244">
        <f t="shared" si="13"/>
        <v>1205</v>
      </c>
      <c r="J244">
        <f>SQRT(I244*2/airplane!$B$27/airplane!$B$41)</f>
        <v>36.796854073827575</v>
      </c>
      <c r="K244">
        <f>1/(airplane!$B$40*airplane!$B$9*airplane!$B$10)*(airplane!$B$37+'Rate of climb'!J244/(0.866*airplane!$B$12*SQRT(airplane!$B$39)))</f>
        <v>19.370795204522285</v>
      </c>
      <c r="M244">
        <f t="shared" si="11"/>
        <v>402.71100000000001</v>
      </c>
      <c r="N244">
        <f t="shared" si="12"/>
        <v>86.161297069715133</v>
      </c>
    </row>
    <row r="245" spans="9:14" x14ac:dyDescent="0.2">
      <c r="I245">
        <f t="shared" si="13"/>
        <v>1210</v>
      </c>
      <c r="J245">
        <f>SQRT(I245*2/airplane!$B$27/airplane!$B$41)</f>
        <v>36.873117065635796</v>
      </c>
      <c r="K245">
        <f>1/(airplane!$B$40*airplane!$B$9*airplane!$B$10)*(airplane!$B$37+'Rate of climb'!J245/(0.866*airplane!$B$12*SQRT(airplane!$B$39)))</f>
        <v>19.38747924415582</v>
      </c>
      <c r="M245">
        <f t="shared" si="11"/>
        <v>404.38200000000001</v>
      </c>
      <c r="N245">
        <f t="shared" si="12"/>
        <v>86.235507678005092</v>
      </c>
    </row>
    <row r="246" spans="9:14" x14ac:dyDescent="0.2">
      <c r="I246">
        <f t="shared" si="13"/>
        <v>1215</v>
      </c>
      <c r="J246">
        <f>SQRT(I246*2/airplane!$B$27/airplane!$B$41)</f>
        <v>36.949222651384737</v>
      </c>
      <c r="K246">
        <f>1/(airplane!$B$40*airplane!$B$9*airplane!$B$10)*(airplane!$B$37+'Rate of climb'!J246/(0.866*airplane!$B$12*SQRT(airplane!$B$39)))</f>
        <v>19.404128848096903</v>
      </c>
      <c r="M246">
        <f t="shared" si="11"/>
        <v>406.053</v>
      </c>
      <c r="N246">
        <f t="shared" si="12"/>
        <v>86.309565116335037</v>
      </c>
    </row>
    <row r="247" spans="9:14" x14ac:dyDescent="0.2">
      <c r="I247">
        <f t="shared" si="13"/>
        <v>1220</v>
      </c>
      <c r="J247">
        <f>SQRT(I247*2/airplane!$B$27/airplane!$B$41)</f>
        <v>37.025171801723268</v>
      </c>
      <c r="K247">
        <f>1/(airplane!$B$40*airplane!$B$9*airplane!$B$10)*(airplane!$B$37+'Rate of climb'!J247/(0.866*airplane!$B$12*SQRT(airplane!$B$39)))</f>
        <v>19.42074422869419</v>
      </c>
      <c r="M247">
        <f t="shared" si="11"/>
        <v>407.72399999999999</v>
      </c>
      <c r="N247">
        <f t="shared" si="12"/>
        <v>86.38347032923177</v>
      </c>
    </row>
    <row r="248" spans="9:14" x14ac:dyDescent="0.2">
      <c r="I248">
        <f t="shared" si="13"/>
        <v>1225</v>
      </c>
      <c r="J248">
        <f>SQRT(I248*2/airplane!$B$27/airplane!$B$41)</f>
        <v>37.1009654773652</v>
      </c>
      <c r="K248">
        <f>1/(airplane!$B$40*airplane!$B$9*airplane!$B$10)*(airplane!$B$37+'Rate of climb'!J248/(0.866*airplane!$B$12*SQRT(airplane!$B$39)))</f>
        <v>19.437325596122854</v>
      </c>
      <c r="M248">
        <f t="shared" si="11"/>
        <v>409.39499999999998</v>
      </c>
      <c r="N248">
        <f t="shared" si="12"/>
        <v>86.457224251554464</v>
      </c>
    </row>
    <row r="249" spans="9:14" x14ac:dyDescent="0.2">
      <c r="I249">
        <f t="shared" si="13"/>
        <v>1230</v>
      </c>
      <c r="J249">
        <f>SQRT(I249*2/airplane!$B$27/airplane!$B$41)</f>
        <v>37.176604629231079</v>
      </c>
      <c r="K249">
        <f>1/(airplane!$B$40*airplane!$B$9*airplane!$B$10)*(airplane!$B$37+'Rate of climb'!J249/(0.866*airplane!$B$12*SQRT(airplane!$B$39)))</f>
        <v>19.453873158415597</v>
      </c>
      <c r="M249">
        <f t="shared" si="11"/>
        <v>411.06599999999997</v>
      </c>
      <c r="N249">
        <f t="shared" si="12"/>
        <v>86.53082780863258</v>
      </c>
    </row>
    <row r="250" spans="9:14" x14ac:dyDescent="0.2">
      <c r="I250">
        <f t="shared" si="13"/>
        <v>1235</v>
      </c>
      <c r="J250">
        <f>SQRT(I250*2/airplane!$B$27/airplane!$B$41)</f>
        <v>37.252090198587339</v>
      </c>
      <c r="K250">
        <f>1/(airplane!$B$40*airplane!$B$9*airplane!$B$10)*(airplane!$B$37+'Rate of climb'!J250/(0.866*airplane!$B$12*SQRT(airplane!$B$39)))</f>
        <v>19.47038712149309</v>
      </c>
      <c r="M250">
        <f t="shared" si="11"/>
        <v>412.73700000000002</v>
      </c>
      <c r="N250">
        <f t="shared" si="12"/>
        <v>86.604281916401277</v>
      </c>
    </row>
    <row r="251" spans="9:14" x14ac:dyDescent="0.2">
      <c r="I251">
        <f t="shared" si="13"/>
        <v>1240</v>
      </c>
      <c r="J251">
        <f>SQRT(I251*2/airplane!$B$27/airplane!$B$41)</f>
        <v>37.327423117183002</v>
      </c>
      <c r="K251">
        <f>1/(airplane!$B$40*airplane!$B$9*airplane!$B$10)*(airplane!$B$37+'Rate of climb'!J251/(0.866*airplane!$B$12*SQRT(airplane!$B$39)))</f>
        <v>19.486867689193875</v>
      </c>
      <c r="M251">
        <f t="shared" si="11"/>
        <v>414.40800000000002</v>
      </c>
      <c r="N251">
        <f t="shared" si="12"/>
        <v>86.67758748153436</v>
      </c>
    </row>
    <row r="252" spans="9:14" x14ac:dyDescent="0.2">
      <c r="I252">
        <f t="shared" si="13"/>
        <v>1245</v>
      </c>
      <c r="J252">
        <f>SQRT(I252*2/airplane!$B$27/airplane!$B$41)</f>
        <v>37.402604307383847</v>
      </c>
      <c r="K252">
        <f>1/(airplane!$B$40*airplane!$B$9*airplane!$B$10)*(airplane!$B$37+'Rate of climb'!J252/(0.866*airplane!$B$12*SQRT(airplane!$B$39)))</f>
        <v>19.503315063303742</v>
      </c>
      <c r="M252">
        <f t="shared" si="11"/>
        <v>416.07900000000001</v>
      </c>
      <c r="N252">
        <f t="shared" si="12"/>
        <v>86.750745401575045</v>
      </c>
    </row>
    <row r="253" spans="9:14" x14ac:dyDescent="0.2">
      <c r="I253">
        <f t="shared" si="13"/>
        <v>1250</v>
      </c>
      <c r="J253">
        <f>SQRT(I253*2/airplane!$B$27/airplane!$B$41)</f>
        <v>37.477634682304185</v>
      </c>
      <c r="K253">
        <f>1/(airplane!$B$40*airplane!$B$9*airplane!$B$10)*(airplane!$B$37+'Rate of climb'!J253/(0.866*airplane!$B$12*SQRT(airplane!$B$39)))</f>
        <v>19.51972944358452</v>
      </c>
      <c r="M253">
        <f t="shared" si="11"/>
        <v>417.75</v>
      </c>
      <c r="N253">
        <f t="shared" si="12"/>
        <v>86.82375656506396</v>
      </c>
    </row>
    <row r="254" spans="9:14" x14ac:dyDescent="0.2">
      <c r="I254">
        <f t="shared" si="13"/>
        <v>1255</v>
      </c>
      <c r="J254">
        <f>SQRT(I254*2/airplane!$B$27/airplane!$B$41)</f>
        <v>37.552515145936241</v>
      </c>
      <c r="K254">
        <f>1/(airplane!$B$40*airplane!$B$9*airplane!$B$10)*(airplane!$B$37+'Rate of climb'!J254/(0.866*airplane!$B$12*SQRT(airplane!$B$39)))</f>
        <v>19.536111027802409</v>
      </c>
      <c r="M254">
        <f t="shared" si="11"/>
        <v>419.42099999999999</v>
      </c>
      <c r="N254">
        <f t="shared" si="12"/>
        <v>86.896621851665131</v>
      </c>
    </row>
    <row r="255" spans="9:14" x14ac:dyDescent="0.2">
      <c r="I255">
        <f t="shared" si="13"/>
        <v>1260</v>
      </c>
      <c r="J255">
        <f>SQRT(I255*2/airplane!$B$27/airplane!$B$41)</f>
        <v>37.627246593277214</v>
      </c>
      <c r="K255">
        <f>1/(airplane!$B$40*airplane!$B$9*airplane!$B$10)*(airplane!$B$37+'Rate of climb'!J255/(0.866*airplane!$B$12*SQRT(airplane!$B$39)))</f>
        <v>19.552460011755777</v>
      </c>
      <c r="M255">
        <f t="shared" ref="M255:M313" si="14">I255*0.3342</f>
        <v>421.09199999999998</v>
      </c>
      <c r="N255">
        <f t="shared" ref="N255:N313" si="15">K255*4.448</f>
        <v>86.969342132289697</v>
      </c>
    </row>
    <row r="256" spans="9:14" x14ac:dyDescent="0.2">
      <c r="I256">
        <f t="shared" si="13"/>
        <v>1265</v>
      </c>
      <c r="J256">
        <f>SQRT(I256*2/airplane!$B$27/airplane!$B$41)</f>
        <v>37.701829910454116</v>
      </c>
      <c r="K256">
        <f>1/(airplane!$B$40*airplane!$B$9*airplane!$B$10)*(airplane!$B$37+'Rate of climb'!J256/(0.866*airplane!$B$12*SQRT(airplane!$B$39)))</f>
        <v>19.568776589302448</v>
      </c>
      <c r="M256">
        <f t="shared" si="14"/>
        <v>422.76299999999998</v>
      </c>
      <c r="N256">
        <f t="shared" si="15"/>
        <v>87.041918269217291</v>
      </c>
    </row>
    <row r="257" spans="9:14" x14ac:dyDescent="0.2">
      <c r="I257">
        <f t="shared" si="13"/>
        <v>1270</v>
      </c>
      <c r="J257">
        <f>SQRT(I257*2/airplane!$B$27/airplane!$B$41)</f>
        <v>37.776265974846339</v>
      </c>
      <c r="K257">
        <f>1/(airplane!$B$40*airplane!$B$9*airplane!$B$10)*(airplane!$B$37+'Rate of climb'!J257/(0.866*airplane!$B$12*SQRT(airplane!$B$39)))</f>
        <v>19.585060952386545</v>
      </c>
      <c r="M257">
        <f t="shared" si="14"/>
        <v>424.43399999999997</v>
      </c>
      <c r="N257">
        <f t="shared" si="15"/>
        <v>87.11435111621536</v>
      </c>
    </row>
    <row r="258" spans="9:14" x14ac:dyDescent="0.2">
      <c r="I258">
        <f t="shared" si="13"/>
        <v>1275</v>
      </c>
      <c r="J258">
        <f>SQRT(I258*2/airplane!$B$27/airplane!$B$41)</f>
        <v>37.850555655206101</v>
      </c>
      <c r="K258">
        <f>1/(airplane!$B$40*airplane!$B$9*airplane!$B$10)*(airplane!$B$37+'Rate of climb'!J258/(0.866*airplane!$B$12*SQRT(airplane!$B$39)))</f>
        <v>19.601313291064809</v>
      </c>
      <c r="M258">
        <f t="shared" si="14"/>
        <v>426.10500000000002</v>
      </c>
      <c r="N258">
        <f t="shared" si="15"/>
        <v>87.186641518656273</v>
      </c>
    </row>
    <row r="259" spans="9:14" x14ac:dyDescent="0.2">
      <c r="I259">
        <f t="shared" si="13"/>
        <v>1280</v>
      </c>
      <c r="J259">
        <f>SQRT(I259*2/airplane!$B$27/airplane!$B$41)</f>
        <v>37.924699811776705</v>
      </c>
      <c r="K259">
        <f>1/(airplane!$B$40*airplane!$B$9*airplane!$B$10)*(airplane!$B$37+'Rate of climb'!J259/(0.866*airplane!$B$12*SQRT(airplane!$B$39)))</f>
        <v>19.617533793532505</v>
      </c>
      <c r="M259">
        <f t="shared" si="14"/>
        <v>427.77600000000001</v>
      </c>
      <c r="N259">
        <f t="shared" si="15"/>
        <v>87.258790313632588</v>
      </c>
    </row>
    <row r="260" spans="9:14" x14ac:dyDescent="0.2">
      <c r="I260">
        <f t="shared" si="13"/>
        <v>1285</v>
      </c>
      <c r="J260">
        <f>SQRT(I260*2/airplane!$B$27/airplane!$B$41)</f>
        <v>37.99869929640878</v>
      </c>
      <c r="K260">
        <f>1/(airplane!$B$40*airplane!$B$9*airplane!$B$10)*(airplane!$B$37+'Rate of climb'!J260/(0.866*airplane!$B$12*SQRT(airplane!$B$39)))</f>
        <v>19.633722646148826</v>
      </c>
      <c r="M260">
        <f t="shared" si="14"/>
        <v>429.447</v>
      </c>
      <c r="N260">
        <f t="shared" si="15"/>
        <v>87.330798330069982</v>
      </c>
    </row>
    <row r="261" spans="9:14" x14ac:dyDescent="0.2">
      <c r="I261">
        <f t="shared" ref="I261:I313" si="16">I260+5</f>
        <v>1290</v>
      </c>
      <c r="J261">
        <f>SQRT(I261*2/airplane!$B$27/airplane!$B$41)</f>
        <v>38.072554952674473</v>
      </c>
      <c r="K261">
        <f>1/(airplane!$B$40*airplane!$B$9*airplane!$B$10)*(airplane!$B$37+'Rate of climb'!J261/(0.866*airplane!$B$12*SQRT(airplane!$B$39)))</f>
        <v>19.649880033461876</v>
      </c>
      <c r="M261">
        <f t="shared" si="14"/>
        <v>431.11799999999999</v>
      </c>
      <c r="N261">
        <f t="shared" si="15"/>
        <v>87.402666388838441</v>
      </c>
    </row>
    <row r="262" spans="9:14" x14ac:dyDescent="0.2">
      <c r="I262">
        <f t="shared" si="16"/>
        <v>1295</v>
      </c>
      <c r="J262">
        <f>SQRT(I262*2/airplane!$B$27/airplane!$B$41)</f>
        <v>38.14626761597966</v>
      </c>
      <c r="K262">
        <f>1/(airplane!$B$40*airplane!$B$9*airplane!$B$10)*(airplane!$B$37+'Rate of climb'!J262/(0.866*airplane!$B$12*SQRT(airplane!$B$39)))</f>
        <v>19.666006138233243</v>
      </c>
      <c r="M262">
        <f t="shared" si="14"/>
        <v>432.78899999999999</v>
      </c>
      <c r="N262">
        <f t="shared" si="15"/>
        <v>87.474395302861467</v>
      </c>
    </row>
    <row r="263" spans="9:14" x14ac:dyDescent="0.2">
      <c r="I263">
        <f t="shared" si="16"/>
        <v>1300</v>
      </c>
      <c r="J263">
        <f>SQRT(I263*2/airplane!$B$27/airplane!$B$41)</f>
        <v>38.219838113674157</v>
      </c>
      <c r="K263">
        <f>1/(airplane!$B$40*airplane!$B$9*airplane!$B$10)*(airplane!$B$37+'Rate of climb'!J263/(0.866*airplane!$B$12*SQRT(airplane!$B$39)))</f>
        <v>19.682101141462081</v>
      </c>
      <c r="M263">
        <f t="shared" si="14"/>
        <v>434.46</v>
      </c>
      <c r="N263">
        <f t="shared" si="15"/>
        <v>87.545985877223345</v>
      </c>
    </row>
    <row r="264" spans="9:14" x14ac:dyDescent="0.2">
      <c r="I264">
        <f t="shared" si="16"/>
        <v>1305</v>
      </c>
      <c r="J264">
        <f>SQRT(I264*2/airplane!$B$27/airplane!$B$41)</f>
        <v>38.293267265160083</v>
      </c>
      <c r="K264">
        <f>1/(airplane!$B$40*airplane!$B$9*airplane!$B$10)*(airplane!$B$37+'Rate of climb'!J264/(0.866*airplane!$B$12*SQRT(airplane!$B$39)))</f>
        <v>19.698165222408825</v>
      </c>
      <c r="M264">
        <f t="shared" si="14"/>
        <v>436.13099999999997</v>
      </c>
      <c r="N264">
        <f t="shared" si="15"/>
        <v>87.617438909274455</v>
      </c>
    </row>
    <row r="265" spans="9:14" x14ac:dyDescent="0.2">
      <c r="I265">
        <f t="shared" si="16"/>
        <v>1310</v>
      </c>
      <c r="J265">
        <f>SQRT(I265*2/airplane!$B$27/airplane!$B$41)</f>
        <v>38.366555881998345</v>
      </c>
      <c r="K265">
        <f>1/(airplane!$B$40*airplane!$B$9*airplane!$B$10)*(airplane!$B$37+'Rate of climb'!J265/(0.866*airplane!$B$12*SQRT(airplane!$B$39)))</f>
        <v>19.714198558618495</v>
      </c>
      <c r="M265">
        <f t="shared" si="14"/>
        <v>437.80200000000002</v>
      </c>
      <c r="N265">
        <f t="shared" si="15"/>
        <v>87.688755188735072</v>
      </c>
    </row>
    <row r="266" spans="9:14" x14ac:dyDescent="0.2">
      <c r="I266">
        <f t="shared" si="16"/>
        <v>1315</v>
      </c>
      <c r="J266">
        <f>SQRT(I266*2/airplane!$B$27/airplane!$B$41)</f>
        <v>38.439704768013279</v>
      </c>
      <c r="K266">
        <f>1/(airplane!$B$40*airplane!$B$9*airplane!$B$10)*(airplane!$B$37+'Rate of climb'!J266/(0.866*airplane!$B$12*SQRT(airplane!$B$39)))</f>
        <v>19.730201325943586</v>
      </c>
      <c r="M266">
        <f t="shared" si="14"/>
        <v>439.47300000000001</v>
      </c>
      <c r="N266">
        <f t="shared" si="15"/>
        <v>87.759935497797073</v>
      </c>
    </row>
    <row r="267" spans="9:14" x14ac:dyDescent="0.2">
      <c r="I267">
        <f t="shared" si="16"/>
        <v>1320</v>
      </c>
      <c r="J267">
        <f>SQRT(I267*2/airplane!$B$27/airplane!$B$41)</f>
        <v>38.512714719395511</v>
      </c>
      <c r="K267">
        <f>1/(airplane!$B$40*airplane!$B$9*airplane!$B$10)*(airplane!$B$37+'Rate of climb'!J267/(0.866*airplane!$B$12*SQRT(airplane!$B$39)))</f>
        <v>19.746173698566558</v>
      </c>
      <c r="M267">
        <f t="shared" si="14"/>
        <v>441.14400000000001</v>
      </c>
      <c r="N267">
        <f t="shared" si="15"/>
        <v>87.830980611224064</v>
      </c>
    </row>
    <row r="268" spans="9:14" x14ac:dyDescent="0.2">
      <c r="I268">
        <f t="shared" si="16"/>
        <v>1325</v>
      </c>
      <c r="J268">
        <f>SQRT(I268*2/airplane!$B$27/airplane!$B$41)</f>
        <v>38.58558652480307</v>
      </c>
      <c r="K268">
        <f>1/(airplane!$B$40*airplane!$B$9*airplane!$B$10)*(airplane!$B$37+'Rate of climb'!J268/(0.866*airplane!$B$12*SQRT(airplane!$B$39)))</f>
        <v>19.762115849021981</v>
      </c>
      <c r="M268">
        <f t="shared" si="14"/>
        <v>442.815</v>
      </c>
      <c r="N268">
        <f t="shared" si="15"/>
        <v>87.901891296449776</v>
      </c>
    </row>
    <row r="269" spans="9:14" x14ac:dyDescent="0.2">
      <c r="I269">
        <f t="shared" si="16"/>
        <v>1330</v>
      </c>
      <c r="J269">
        <f>SQRT(I269*2/airplane!$B$27/airplane!$B$41)</f>
        <v>38.658320965460796</v>
      </c>
      <c r="K269">
        <f>1/(airplane!$B$40*airplane!$B$9*airplane!$B$10)*(airplane!$B$37+'Rate of climb'!J269/(0.866*airplane!$B$12*SQRT(airplane!$B$39)))</f>
        <v>19.778027948218249</v>
      </c>
      <c r="M269">
        <f t="shared" si="14"/>
        <v>444.48599999999999</v>
      </c>
      <c r="N269">
        <f t="shared" si="15"/>
        <v>87.972668313674774</v>
      </c>
    </row>
    <row r="270" spans="9:14" x14ac:dyDescent="0.2">
      <c r="I270">
        <f t="shared" si="16"/>
        <v>1335</v>
      </c>
      <c r="J270">
        <f>SQRT(I270*2/airplane!$B$27/airplane!$B$41)</f>
        <v>38.730918815258008</v>
      </c>
      <c r="K270">
        <f>1/(airplane!$B$40*airplane!$B$9*airplane!$B$10)*(airplane!$B$37+'Rate of climb'!J270/(0.866*airplane!$B$12*SQRT(airplane!$B$39)))</f>
        <v>19.793910165458975</v>
      </c>
      <c r="M270">
        <f t="shared" si="14"/>
        <v>446.15699999999998</v>
      </c>
      <c r="N270">
        <f t="shared" si="15"/>
        <v>88.043312415961523</v>
      </c>
    </row>
    <row r="271" spans="9:14" x14ac:dyDescent="0.2">
      <c r="I271">
        <f t="shared" si="16"/>
        <v>1340</v>
      </c>
      <c r="J271">
        <f>SQRT(I271*2/airplane!$B$27/airplane!$B$41)</f>
        <v>38.803380840844625</v>
      </c>
      <c r="K271">
        <f>1/(airplane!$B$40*airplane!$B$9*airplane!$B$10)*(airplane!$B$37+'Rate of climb'!J271/(0.866*airplane!$B$12*SQRT(airplane!$B$39)))</f>
        <v>19.809762668464021</v>
      </c>
      <c r="M271">
        <f t="shared" si="14"/>
        <v>447.82799999999997</v>
      </c>
      <c r="N271">
        <f t="shared" si="15"/>
        <v>88.11382434932797</v>
      </c>
    </row>
    <row r="272" spans="9:14" x14ac:dyDescent="0.2">
      <c r="I272">
        <f t="shared" si="16"/>
        <v>1345</v>
      </c>
      <c r="J272">
        <f>SQRT(I272*2/airplane!$B$27/airplane!$B$41)</f>
        <v>38.875707801725603</v>
      </c>
      <c r="K272">
        <f>1/(airplane!$B$40*airplane!$B$9*airplane!$B$10)*(airplane!$B$37+'Rate of climb'!J272/(0.866*airplane!$B$12*SQRT(airplane!$B$39)))</f>
        <v>19.825585623390126</v>
      </c>
      <c r="M272">
        <f t="shared" si="14"/>
        <v>449.49900000000002</v>
      </c>
      <c r="N272">
        <f t="shared" si="15"/>
        <v>88.184204852839287</v>
      </c>
    </row>
    <row r="273" spans="9:14" x14ac:dyDescent="0.2">
      <c r="I273">
        <f t="shared" si="16"/>
        <v>1350</v>
      </c>
      <c r="J273">
        <f>SQRT(I273*2/airplane!$B$27/airplane!$B$41)</f>
        <v>38.947900450353799</v>
      </c>
      <c r="K273">
        <f>1/(airplane!$B$40*airplane!$B$9*airplane!$B$10)*(airplane!$B$37+'Rate of climb'!J273/(0.866*airplane!$B$12*SQRT(airplane!$B$39)))</f>
        <v>19.841379194851257</v>
      </c>
      <c r="M273">
        <f t="shared" si="14"/>
        <v>451.17</v>
      </c>
      <c r="N273">
        <f t="shared" si="15"/>
        <v>88.254454658698393</v>
      </c>
    </row>
    <row r="274" spans="9:14" x14ac:dyDescent="0.2">
      <c r="I274">
        <f t="shared" si="16"/>
        <v>1355</v>
      </c>
      <c r="J274">
        <f>SQRT(I274*2/airplane!$B$27/airplane!$B$41)</f>
        <v>39.019959532221336</v>
      </c>
      <c r="K274">
        <f>1/(airplane!$B$40*airplane!$B$9*airplane!$B$10)*(airplane!$B$37+'Rate of climb'!J274/(0.866*airplane!$B$12*SQRT(airplane!$B$39)))</f>
        <v>19.85714354593858</v>
      </c>
      <c r="M274">
        <f t="shared" si="14"/>
        <v>452.84100000000001</v>
      </c>
      <c r="N274">
        <f t="shared" si="15"/>
        <v>88.324574492334818</v>
      </c>
    </row>
    <row r="275" spans="9:14" x14ac:dyDescent="0.2">
      <c r="I275">
        <f t="shared" si="16"/>
        <v>1360</v>
      </c>
      <c r="J275">
        <f>SQRT(I275*2/airplane!$B$27/airplane!$B$41)</f>
        <v>39.091885785949387</v>
      </c>
      <c r="K275">
        <f>1/(airplane!$B$40*airplane!$B$9*airplane!$B$10)*(airplane!$B$37+'Rate of climb'!J275/(0.866*airplane!$B$12*SQRT(airplane!$B$39)))</f>
        <v>19.872878838240098</v>
      </c>
      <c r="M275">
        <f t="shared" si="14"/>
        <v>454.512</v>
      </c>
      <c r="N275">
        <f t="shared" si="15"/>
        <v>88.394565072491957</v>
      </c>
    </row>
    <row r="276" spans="9:14" x14ac:dyDescent="0.2">
      <c r="I276">
        <f t="shared" si="16"/>
        <v>1365</v>
      </c>
      <c r="J276">
        <f>SQRT(I276*2/airplane!$B$27/airplane!$B$41)</f>
        <v>39.163679943376522</v>
      </c>
      <c r="K276">
        <f>1/(airplane!$B$40*airplane!$B$9*airplane!$B$10)*(airplane!$B$37+'Rate of climb'!J276/(0.866*airplane!$B$12*SQRT(airplane!$B$39)))</f>
        <v>19.888585231859992</v>
      </c>
      <c r="M276">
        <f t="shared" si="14"/>
        <v>456.18299999999999</v>
      </c>
      <c r="N276">
        <f t="shared" si="15"/>
        <v>88.464427111313256</v>
      </c>
    </row>
    <row r="277" spans="9:14" x14ac:dyDescent="0.2">
      <c r="I277">
        <f t="shared" si="16"/>
        <v>1370</v>
      </c>
      <c r="J277">
        <f>SQRT(I277*2/airplane!$B$27/airplane!$B$41)</f>
        <v>39.235342729645595</v>
      </c>
      <c r="K277">
        <f>1/(airplane!$B$40*airplane!$B$9*airplane!$B$10)*(airplane!$B$37+'Rate of climb'!J277/(0.866*airplane!$B$12*SQRT(airplane!$B$39)))</f>
        <v>19.904262885437621</v>
      </c>
      <c r="M277">
        <f t="shared" si="14"/>
        <v>457.85399999999998</v>
      </c>
      <c r="N277">
        <f t="shared" si="15"/>
        <v>88.534161314426541</v>
      </c>
    </row>
    <row r="278" spans="9:14" x14ac:dyDescent="0.2">
      <c r="I278">
        <f t="shared" si="16"/>
        <v>1375</v>
      </c>
      <c r="J278">
        <f>SQRT(I278*2/airplane!$B$27/airplane!$B$41)</f>
        <v>39.306874863289181</v>
      </c>
      <c r="K278">
        <f>1/(airplane!$B$40*airplane!$B$9*airplane!$B$10)*(airplane!$B$37+'Rate of climb'!J278/(0.866*airplane!$B$12*SQRT(airplane!$B$39)))</f>
        <v>19.919911956166214</v>
      </c>
      <c r="M278">
        <f t="shared" si="14"/>
        <v>459.52499999999998</v>
      </c>
      <c r="N278">
        <f t="shared" si="15"/>
        <v>88.603768381027322</v>
      </c>
    </row>
    <row r="279" spans="9:14" x14ac:dyDescent="0.2">
      <c r="I279">
        <f t="shared" si="16"/>
        <v>1380</v>
      </c>
      <c r="J279">
        <f>SQRT(I279*2/airplane!$B$27/airplane!$B$41)</f>
        <v>39.378277056313621</v>
      </c>
      <c r="K279">
        <f>1/(airplane!$B$40*airplane!$B$9*airplane!$B$10)*(airplane!$B$37+'Rate of climb'!J279/(0.866*airplane!$B$12*SQRT(airplane!$B$39)))</f>
        <v>19.93553259981126</v>
      </c>
      <c r="M279">
        <f t="shared" si="14"/>
        <v>461.19599999999997</v>
      </c>
      <c r="N279">
        <f t="shared" si="15"/>
        <v>88.673249003960493</v>
      </c>
    </row>
    <row r="280" spans="9:14" x14ac:dyDescent="0.2">
      <c r="I280">
        <f t="shared" si="16"/>
        <v>1385</v>
      </c>
      <c r="J280">
        <f>SQRT(I280*2/airplane!$B$27/airplane!$B$41)</f>
        <v>39.449550014281741</v>
      </c>
      <c r="K280">
        <f>1/(airplane!$B$40*airplane!$B$9*airplane!$B$10)*(airplane!$B$37+'Rate of climb'!J280/(0.866*airplane!$B$12*SQRT(airplane!$B$39)))</f>
        <v>19.951124970728593</v>
      </c>
      <c r="M280">
        <f t="shared" si="14"/>
        <v>462.86700000000002</v>
      </c>
      <c r="N280">
        <f t="shared" si="15"/>
        <v>88.742603869800789</v>
      </c>
    </row>
    <row r="281" spans="9:14" x14ac:dyDescent="0.2">
      <c r="I281">
        <f t="shared" si="16"/>
        <v>1390</v>
      </c>
      <c r="J281">
        <f>SQRT(I281*2/airplane!$B$27/airplane!$B$41)</f>
        <v>39.520694436394173</v>
      </c>
      <c r="K281">
        <f>1/(airplane!$B$40*airplane!$B$9*airplane!$B$10)*(airplane!$B$37+'Rate of climb'!J281/(0.866*airplane!$B$12*SQRT(airplane!$B$39)))</f>
        <v>19.966689221882202</v>
      </c>
      <c r="M281">
        <f t="shared" si="14"/>
        <v>464.53800000000001</v>
      </c>
      <c r="N281">
        <f t="shared" si="15"/>
        <v>88.811833658932045</v>
      </c>
    </row>
    <row r="282" spans="9:14" x14ac:dyDescent="0.2">
      <c r="I282">
        <f t="shared" si="16"/>
        <v>1395</v>
      </c>
      <c r="J282">
        <f>SQRT(I282*2/airplane!$B$27/airplane!$B$41)</f>
        <v>39.591711015569388</v>
      </c>
      <c r="K282">
        <f>1/(airplane!$B$40*airplane!$B$9*airplane!$B$10)*(airplane!$B$37+'Rate of climb'!J282/(0.866*airplane!$B$12*SQRT(airplane!$B$39)))</f>
        <v>19.982225504861727</v>
      </c>
      <c r="M282">
        <f t="shared" si="14"/>
        <v>466.209</v>
      </c>
      <c r="N282">
        <f t="shared" si="15"/>
        <v>88.88093904562497</v>
      </c>
    </row>
    <row r="283" spans="9:14" x14ac:dyDescent="0.2">
      <c r="I283">
        <f t="shared" si="16"/>
        <v>1400</v>
      </c>
      <c r="J283">
        <f>SQRT(I283*2/airplane!$B$27/airplane!$B$41)</f>
        <v>39.662600438522425</v>
      </c>
      <c r="K283">
        <f>1/(airplane!$B$40*airplane!$B$9*airplane!$B$10)*(airplane!$B$37+'Rate of climb'!J283/(0.866*airplane!$B$12*SQRT(airplane!$B$39)))</f>
        <v>19.997733969899674</v>
      </c>
      <c r="M283">
        <f t="shared" si="14"/>
        <v>467.88</v>
      </c>
      <c r="N283">
        <f t="shared" si="15"/>
        <v>88.949920698113758</v>
      </c>
    </row>
    <row r="284" spans="9:14" x14ac:dyDescent="0.2">
      <c r="I284">
        <f t="shared" si="16"/>
        <v>1405</v>
      </c>
      <c r="J284">
        <f>SQRT(I284*2/airplane!$B$27/airplane!$B$41)</f>
        <v>39.733363385842388</v>
      </c>
      <c r="K284">
        <f>1/(airplane!$B$40*airplane!$B$9*airplane!$B$10)*(airplane!$B$37+'Rate of climb'!J284/(0.866*airplane!$B$12*SQRT(airplane!$B$39)))</f>
        <v>20.013214765888389</v>
      </c>
      <c r="M284">
        <f t="shared" si="14"/>
        <v>469.55099999999999</v>
      </c>
      <c r="N284">
        <f t="shared" si="15"/>
        <v>89.018779278671559</v>
      </c>
    </row>
    <row r="285" spans="9:14" x14ac:dyDescent="0.2">
      <c r="I285">
        <f t="shared" si="16"/>
        <v>1410</v>
      </c>
      <c r="J285">
        <f>SQRT(I285*2/airplane!$B$27/airplane!$B$41)</f>
        <v>39.804000532068656</v>
      </c>
      <c r="K285">
        <f>1/(airplane!$B$40*airplane!$B$9*airplane!$B$10)*(airplane!$B$37+'Rate of climb'!J285/(0.866*airplane!$B$12*SQRT(airplane!$B$39)))</f>
        <v>20.028668040396717</v>
      </c>
      <c r="M285">
        <f t="shared" si="14"/>
        <v>471.22199999999998</v>
      </c>
      <c r="N285">
        <f t="shared" si="15"/>
        <v>89.087515443684609</v>
      </c>
    </row>
    <row r="286" spans="9:14" x14ac:dyDescent="0.2">
      <c r="I286">
        <f t="shared" si="16"/>
        <v>1415</v>
      </c>
      <c r="J286">
        <f>SQRT(I286*2/airplane!$B$27/airplane!$B$41)</f>
        <v>39.874512545765903</v>
      </c>
      <c r="K286">
        <f>1/(airplane!$B$40*airplane!$B$9*airplane!$B$10)*(airplane!$B$37+'Rate of climb'!J286/(0.866*airplane!$B$12*SQRT(airplane!$B$39)))</f>
        <v>20.044093939686423</v>
      </c>
      <c r="M286">
        <f t="shared" si="14"/>
        <v>472.89299999999997</v>
      </c>
      <c r="N286">
        <f t="shared" si="15"/>
        <v>89.156129843725225</v>
      </c>
    </row>
    <row r="287" spans="9:14" x14ac:dyDescent="0.2">
      <c r="I287">
        <f t="shared" si="16"/>
        <v>1420</v>
      </c>
      <c r="J287">
        <f>SQRT(I287*2/airplane!$B$27/airplane!$B$41)</f>
        <v>39.944900089597965</v>
      </c>
      <c r="K287">
        <f>1/(airplane!$B$40*airplane!$B$9*airplane!$B$10)*(airplane!$B$37+'Rate of climb'!J287/(0.866*airplane!$B$12*SQRT(airplane!$B$39)))</f>
        <v>20.059492608728341</v>
      </c>
      <c r="M287">
        <f t="shared" si="14"/>
        <v>474.56400000000002</v>
      </c>
      <c r="N287">
        <f t="shared" si="15"/>
        <v>89.224623123623672</v>
      </c>
    </row>
    <row r="288" spans="9:14" x14ac:dyDescent="0.2">
      <c r="I288">
        <f t="shared" si="16"/>
        <v>1425</v>
      </c>
      <c r="J288">
        <f>SQRT(I288*2/airplane!$B$27/airplane!$B$41)</f>
        <v>40.015163820400446</v>
      </c>
      <c r="K288">
        <f>1/(airplane!$B$40*airplane!$B$9*airplane!$B$10)*(airplane!$B$37+'Rate of climb'!J288/(0.866*airplane!$B$12*SQRT(airplane!$B$39)))</f>
        <v>20.074864191218271</v>
      </c>
      <c r="M288">
        <f t="shared" si="14"/>
        <v>476.23500000000001</v>
      </c>
      <c r="N288">
        <f t="shared" si="15"/>
        <v>89.292995922538879</v>
      </c>
    </row>
    <row r="289" spans="9:14" x14ac:dyDescent="0.2">
      <c r="I289">
        <f t="shared" si="16"/>
        <v>1430</v>
      </c>
      <c r="J289">
        <f>SQRT(I289*2/airplane!$B$27/airplane!$B$41)</f>
        <v>40.085304389252251</v>
      </c>
      <c r="K289">
        <f>1/(airplane!$B$40*airplane!$B$9*airplane!$B$10)*(airplane!$B$37+'Rate of climb'!J289/(0.866*airplane!$B$12*SQRT(airplane!$B$39)))</f>
        <v>20.090208829592612</v>
      </c>
      <c r="M289">
        <f t="shared" si="14"/>
        <v>477.90600000000001</v>
      </c>
      <c r="N289">
        <f t="shared" si="15"/>
        <v>89.36124887402795</v>
      </c>
    </row>
    <row r="290" spans="9:14" x14ac:dyDescent="0.2">
      <c r="I290">
        <f t="shared" si="16"/>
        <v>1435</v>
      </c>
      <c r="J290">
        <f>SQRT(I290*2/airplane!$B$27/airplane!$B$41)</f>
        <v>40.155322441545984</v>
      </c>
      <c r="K290">
        <f>1/(airplane!$B$40*airplane!$B$9*airplane!$B$10)*(airplane!$B$37+'Rate of climb'!J290/(0.866*airplane!$B$12*SQRT(airplane!$B$39)))</f>
        <v>20.105526665043772</v>
      </c>
      <c r="M290">
        <f t="shared" si="14"/>
        <v>479.577</v>
      </c>
      <c r="N290">
        <f t="shared" si="15"/>
        <v>89.4293826061147</v>
      </c>
    </row>
    <row r="291" spans="9:14" x14ac:dyDescent="0.2">
      <c r="I291">
        <f t="shared" si="16"/>
        <v>1440</v>
      </c>
      <c r="J291">
        <f>SQRT(I291*2/airplane!$B$27/airplane!$B$41)</f>
        <v>40.22521861705723</v>
      </c>
      <c r="K291">
        <f>1/(airplane!$B$40*airplane!$B$9*airplane!$B$10)*(airplane!$B$37+'Rate of climb'!J291/(0.866*airplane!$B$12*SQRT(airplane!$B$39)))</f>
        <v>20.120817837535338</v>
      </c>
      <c r="M291">
        <f t="shared" si="14"/>
        <v>481.24799999999999</v>
      </c>
      <c r="N291">
        <f t="shared" si="15"/>
        <v>89.49739774135719</v>
      </c>
    </row>
    <row r="292" spans="9:14" x14ac:dyDescent="0.2">
      <c r="I292">
        <f t="shared" si="16"/>
        <v>1445</v>
      </c>
      <c r="J292">
        <f>SQRT(I292*2/airplane!$B$27/airplane!$B$41)</f>
        <v>40.294993550012741</v>
      </c>
      <c r="K292">
        <f>1/(airplane!$B$40*airplane!$B$9*airplane!$B$10)*(airplane!$B$37+'Rate of climb'!J292/(0.866*airplane!$B$12*SQRT(airplane!$B$39)))</f>
        <v>20.136082485816967</v>
      </c>
      <c r="M292">
        <f t="shared" si="14"/>
        <v>482.91899999999998</v>
      </c>
      <c r="N292">
        <f t="shared" si="15"/>
        <v>89.565294896913883</v>
      </c>
    </row>
    <row r="293" spans="9:14" x14ac:dyDescent="0.2">
      <c r="I293">
        <f t="shared" si="16"/>
        <v>1450</v>
      </c>
      <c r="J293">
        <f>SQRT(I293*2/airplane!$B$27/airplane!$B$41)</f>
        <v>40.364647869157608</v>
      </c>
      <c r="K293">
        <f>1/(airplane!$B$40*airplane!$B$9*airplane!$B$10)*(airplane!$B$37+'Rate of climb'!J293/(0.866*airplane!$B$12*SQRT(airplane!$B$39)))</f>
        <v>20.151320747439094</v>
      </c>
      <c r="M293">
        <f t="shared" si="14"/>
        <v>484.59</v>
      </c>
      <c r="N293">
        <f t="shared" si="15"/>
        <v>89.633074684609099</v>
      </c>
    </row>
    <row r="294" spans="9:14" x14ac:dyDescent="0.2">
      <c r="I294">
        <f t="shared" si="16"/>
        <v>1455</v>
      </c>
      <c r="J294">
        <f>SQRT(I294*2/airplane!$B$27/airplane!$B$41)</f>
        <v>40.434182197821322</v>
      </c>
      <c r="K294">
        <f>1/(airplane!$B$40*airplane!$B$9*airplane!$B$10)*(airplane!$B$37+'Rate of climb'!J294/(0.866*airplane!$B$12*SQRT(airplane!$B$39)))</f>
        <v>20.166532758767392</v>
      </c>
      <c r="M294">
        <f t="shared" si="14"/>
        <v>486.26100000000002</v>
      </c>
      <c r="N294">
        <f t="shared" si="15"/>
        <v>89.700737710997373</v>
      </c>
    </row>
    <row r="295" spans="9:14" x14ac:dyDescent="0.2">
      <c r="I295">
        <f t="shared" si="16"/>
        <v>1460</v>
      </c>
      <c r="J295">
        <f>SQRT(I295*2/airplane!$B$27/airplane!$B$41)</f>
        <v>40.503597153982895</v>
      </c>
      <c r="K295">
        <f>1/(airplane!$B$40*airplane!$B$9*airplane!$B$10)*(airplane!$B$37+'Rate of climb'!J295/(0.866*airplane!$B$12*SQRT(airplane!$B$39)))</f>
        <v>20.181718654997013</v>
      </c>
      <c r="M295">
        <f t="shared" si="14"/>
        <v>487.93200000000002</v>
      </c>
      <c r="N295">
        <f t="shared" si="15"/>
        <v>89.768284577426726</v>
      </c>
    </row>
    <row r="296" spans="9:14" x14ac:dyDescent="0.2">
      <c r="I296">
        <f t="shared" si="16"/>
        <v>1465</v>
      </c>
      <c r="J296">
        <f>SQRT(I296*2/airplane!$B$27/airplane!$B$41)</f>
        <v>40.572893350334937</v>
      </c>
      <c r="K296">
        <f>1/(airplane!$B$40*airplane!$B$9*airplane!$B$10)*(airplane!$B$37+'Rate of climb'!J296/(0.866*airplane!$B$12*SQRT(airplane!$B$39)))</f>
        <v>20.196878570166589</v>
      </c>
      <c r="M296">
        <f t="shared" si="14"/>
        <v>489.60300000000001</v>
      </c>
      <c r="N296">
        <f t="shared" si="15"/>
        <v>89.835715880100992</v>
      </c>
    </row>
    <row r="297" spans="9:14" x14ac:dyDescent="0.2">
      <c r="I297">
        <f t="shared" si="16"/>
        <v>1470</v>
      </c>
      <c r="J297">
        <f>SQRT(I297*2/airplane!$B$27/airplane!$B$41)</f>
        <v>40.642071394346694</v>
      </c>
      <c r="K297">
        <f>1/(airplane!$B$40*airplane!$B$9*airplane!$B$10)*(airplane!$B$37+'Rate of climb'!J297/(0.866*airplane!$B$12*SQRT(airplane!$B$39)))</f>
        <v>20.212012637172052</v>
      </c>
      <c r="M297">
        <f t="shared" si="14"/>
        <v>491.274</v>
      </c>
      <c r="N297">
        <f t="shared" si="15"/>
        <v>89.903032210141291</v>
      </c>
    </row>
    <row r="298" spans="9:14" x14ac:dyDescent="0.2">
      <c r="I298">
        <f t="shared" si="16"/>
        <v>1475</v>
      </c>
      <c r="J298">
        <f>SQRT(I298*2/airplane!$B$27/airplane!$B$41)</f>
        <v>40.71113188832625</v>
      </c>
      <c r="K298">
        <f>1/(airplane!$B$40*airplane!$B$9*airplane!$B$10)*(airplane!$B$37+'Rate of climb'!J298/(0.866*airplane!$B$12*SQRT(airplane!$B$39)))</f>
        <v>20.227120987780221</v>
      </c>
      <c r="M298">
        <f t="shared" si="14"/>
        <v>492.94499999999999</v>
      </c>
      <c r="N298">
        <f t="shared" si="15"/>
        <v>89.97023415364643</v>
      </c>
    </row>
    <row r="299" spans="9:14" x14ac:dyDescent="0.2">
      <c r="I299">
        <f t="shared" si="16"/>
        <v>1480</v>
      </c>
      <c r="J299">
        <f>SQRT(I299*2/airplane!$B$27/airplane!$B$41)</f>
        <v>40.780075429481684</v>
      </c>
      <c r="K299">
        <f>1/(airplane!$B$40*airplane!$B$9*airplane!$B$10)*(airplane!$B$37+'Rate of climb'!J299/(0.866*airplane!$B$12*SQRT(airplane!$B$39)))</f>
        <v>20.24220375264219</v>
      </c>
      <c r="M299">
        <f t="shared" si="14"/>
        <v>494.61599999999999</v>
      </c>
      <c r="N299">
        <f t="shared" si="15"/>
        <v>90.037322291752474</v>
      </c>
    </row>
    <row r="300" spans="9:14" x14ac:dyDescent="0.2">
      <c r="I300">
        <f t="shared" si="16"/>
        <v>1485</v>
      </c>
      <c r="J300">
        <f>SQRT(I300*2/airplane!$B$27/airplane!$B$41)</f>
        <v>40.848902609981295</v>
      </c>
      <c r="K300">
        <f>1/(airplane!$B$40*airplane!$B$9*airplane!$B$10)*(airplane!$B$37+'Rate of climb'!J300/(0.866*airplane!$B$12*SQRT(airplane!$B$39)))</f>
        <v>20.257261061306501</v>
      </c>
      <c r="M300">
        <f t="shared" si="14"/>
        <v>496.28699999999998</v>
      </c>
      <c r="N300">
        <f t="shared" si="15"/>
        <v>90.10429720069132</v>
      </c>
    </row>
    <row r="301" spans="9:14" x14ac:dyDescent="0.2">
      <c r="I301">
        <f t="shared" si="16"/>
        <v>1490</v>
      </c>
      <c r="J301">
        <f>SQRT(I301*2/airplane!$B$27/airplane!$B$41)</f>
        <v>40.917614017012987</v>
      </c>
      <c r="K301">
        <f>1/(airplane!$B$40*airplane!$B$9*airplane!$B$10)*(airplane!$B$37+'Rate of climb'!J301/(0.866*airplane!$B$12*SQRT(airplane!$B$39)))</f>
        <v>20.272293042232128</v>
      </c>
      <c r="M301">
        <f t="shared" si="14"/>
        <v>497.95799999999997</v>
      </c>
      <c r="N301">
        <f t="shared" si="15"/>
        <v>90.17115945184851</v>
      </c>
    </row>
    <row r="302" spans="9:14" x14ac:dyDescent="0.2">
      <c r="I302">
        <f t="shared" si="16"/>
        <v>1495</v>
      </c>
      <c r="J302">
        <f>SQRT(I302*2/airplane!$B$27/airplane!$B$41)</f>
        <v>40.986210232842687</v>
      </c>
      <c r="K302">
        <f>1/(airplane!$B$40*airplane!$B$9*airplane!$B$10)*(airplane!$B$37+'Rate of climb'!J302/(0.866*airplane!$B$12*SQRT(airplane!$B$39)))</f>
        <v>20.287299822801288</v>
      </c>
      <c r="M302">
        <f t="shared" si="14"/>
        <v>499.62900000000002</v>
      </c>
      <c r="N302">
        <f t="shared" si="15"/>
        <v>90.237909611820129</v>
      </c>
    </row>
    <row r="303" spans="9:14" x14ac:dyDescent="0.2">
      <c r="I303">
        <f t="shared" si="16"/>
        <v>1500</v>
      </c>
      <c r="J303">
        <f>SQRT(I303*2/airplane!$B$27/airplane!$B$41)</f>
        <v>41.054691834871925</v>
      </c>
      <c r="K303">
        <f>1/(airplane!$B$40*airplane!$B$9*airplane!$B$10)*(airplane!$B$37+'Rate of climb'!J303/(0.866*airplane!$B$12*SQRT(airplane!$B$39)))</f>
        <v>20.302281529331985</v>
      </c>
      <c r="M303">
        <f t="shared" si="14"/>
        <v>501.3</v>
      </c>
      <c r="N303">
        <f t="shared" si="15"/>
        <v>90.304548242468684</v>
      </c>
    </row>
    <row r="304" spans="9:14" x14ac:dyDescent="0.2">
      <c r="I304">
        <f t="shared" si="16"/>
        <v>1505</v>
      </c>
      <c r="J304">
        <f>SQRT(I304*2/airplane!$B$27/airplane!$B$41)</f>
        <v>41.123059395694533</v>
      </c>
      <c r="K304">
        <f>1/(airplane!$B$40*airplane!$B$9*airplane!$B$10)*(airplane!$B$37+'Rate of climb'!J304/(0.866*airplane!$B$12*SQRT(airplane!$B$39)))</f>
        <v>20.317238287090468</v>
      </c>
      <c r="M304">
        <f t="shared" si="14"/>
        <v>502.971</v>
      </c>
      <c r="N304">
        <f t="shared" si="15"/>
        <v>90.371075900978411</v>
      </c>
    </row>
    <row r="305" spans="9:14" x14ac:dyDescent="0.2">
      <c r="I305">
        <f t="shared" si="16"/>
        <v>1510</v>
      </c>
      <c r="J305">
        <f>SQRT(I305*2/airplane!$B$27/airplane!$B$41)</f>
        <v>41.191313483152506</v>
      </c>
      <c r="K305">
        <f>1/(airplane!$B$40*airplane!$B$9*airplane!$B$10)*(airplane!$B$37+'Rate of climb'!J305/(0.866*airplane!$B$12*SQRT(airplane!$B$39)))</f>
        <v>20.332170220303414</v>
      </c>
      <c r="M305">
        <f t="shared" si="14"/>
        <v>504.642</v>
      </c>
      <c r="N305">
        <f t="shared" si="15"/>
        <v>90.437493139909591</v>
      </c>
    </row>
    <row r="306" spans="9:14" x14ac:dyDescent="0.2">
      <c r="I306">
        <f t="shared" si="16"/>
        <v>1515</v>
      </c>
      <c r="J306">
        <f>SQRT(I306*2/airplane!$B$27/airplane!$B$41)</f>
        <v>41.259454660391022</v>
      </c>
      <c r="K306">
        <f>1/(airplane!$B$40*airplane!$B$9*airplane!$B$10)*(airplane!$B$37+'Rate of climb'!J306/(0.866*airplane!$B$12*SQRT(airplane!$B$39)))</f>
        <v>20.34707745216998</v>
      </c>
      <c r="M306">
        <f t="shared" si="14"/>
        <v>506.31299999999999</v>
      </c>
      <c r="N306">
        <f t="shared" si="15"/>
        <v>90.50380050725208</v>
      </c>
    </row>
    <row r="307" spans="9:14" x14ac:dyDescent="0.2">
      <c r="I307">
        <f t="shared" si="16"/>
        <v>1520</v>
      </c>
      <c r="J307">
        <f>SQRT(I307*2/airplane!$B$27/airplane!$B$41)</f>
        <v>41.327483485912659</v>
      </c>
      <c r="K307">
        <f>1/(airplane!$B$40*airplane!$B$9*airplane!$B$10)*(airplane!$B$37+'Rate of climb'!J307/(0.866*airplane!$B$12*SQRT(airplane!$B$39)))</f>
        <v>20.361960104873667</v>
      </c>
      <c r="M307">
        <f t="shared" si="14"/>
        <v>507.98399999999998</v>
      </c>
      <c r="N307">
        <f t="shared" si="15"/>
        <v>90.569998546478075</v>
      </c>
    </row>
    <row r="308" spans="9:14" x14ac:dyDescent="0.2">
      <c r="I308">
        <f t="shared" si="16"/>
        <v>1525</v>
      </c>
      <c r="J308">
        <f>SQRT(I308*2/airplane!$B$27/airplane!$B$41)</f>
        <v>41.395400513630797</v>
      </c>
      <c r="K308">
        <f>1/(airplane!$B$40*airplane!$B$9*airplane!$B$10)*(airplane!$B$37+'Rate of climb'!J308/(0.866*airplane!$B$12*SQRT(airplane!$B$39)))</f>
        <v>20.376818299593996</v>
      </c>
      <c r="M308">
        <f t="shared" si="14"/>
        <v>509.65499999999997</v>
      </c>
      <c r="N308">
        <f t="shared" si="15"/>
        <v>90.636087796594097</v>
      </c>
    </row>
    <row r="309" spans="9:14" x14ac:dyDescent="0.2">
      <c r="I309">
        <f t="shared" si="16"/>
        <v>1530</v>
      </c>
      <c r="J309">
        <f>SQRT(I309*2/airplane!$B$27/airplane!$B$41)</f>
        <v>41.46320629292223</v>
      </c>
      <c r="K309">
        <f>1/(airplane!$B$40*airplane!$B$9*airplane!$B$10)*(airplane!$B$37+'Rate of climb'!J309/(0.866*airplane!$B$12*SQRT(airplane!$B$39)))</f>
        <v>20.39165215651802</v>
      </c>
      <c r="M309">
        <f t="shared" si="14"/>
        <v>511.32600000000002</v>
      </c>
      <c r="N309">
        <f t="shared" si="15"/>
        <v>90.702068792192165</v>
      </c>
    </row>
    <row r="310" spans="9:14" x14ac:dyDescent="0.2">
      <c r="I310">
        <f t="shared" si="16"/>
        <v>1535</v>
      </c>
      <c r="J310">
        <f>SQRT(I310*2/airplane!$B$27/airplane!$B$41)</f>
        <v>41.530901368679039</v>
      </c>
      <c r="K310">
        <f>1/(airplane!$B$40*airplane!$B$9*airplane!$B$10)*(airplane!$B$37+'Rate of climb'!J310/(0.866*airplane!$B$12*SQRT(airplane!$B$39)))</f>
        <v>20.406461794851669</v>
      </c>
      <c r="M310">
        <f t="shared" si="14"/>
        <v>512.99699999999996</v>
      </c>
      <c r="N310">
        <f t="shared" si="15"/>
        <v>90.767942063500229</v>
      </c>
    </row>
    <row r="311" spans="9:14" x14ac:dyDescent="0.2">
      <c r="I311">
        <f t="shared" si="16"/>
        <v>1540</v>
      </c>
      <c r="J311">
        <f>SQRT(I311*2/airplane!$B$27/airplane!$B$41)</f>
        <v>41.598486281359662</v>
      </c>
      <c r="K311">
        <f>1/(airplane!$B$40*airplane!$B$9*airplane!$B$10)*(airplane!$B$37+'Rate of climb'!J311/(0.866*airplane!$B$12*SQRT(airplane!$B$39)))</f>
        <v>20.42124733283093</v>
      </c>
      <c r="M311">
        <f t="shared" si="14"/>
        <v>514.66800000000001</v>
      </c>
      <c r="N311">
        <f t="shared" si="15"/>
        <v>90.83370813643198</v>
      </c>
    </row>
    <row r="312" spans="9:14" x14ac:dyDescent="0.2">
      <c r="I312">
        <f t="shared" si="16"/>
        <v>1545</v>
      </c>
      <c r="J312">
        <f>SQRT(I312*2/airplane!$B$27/airplane!$B$41)</f>
        <v>41.665961567039211</v>
      </c>
      <c r="K312">
        <f>1/(airplane!$B$40*airplane!$B$9*airplane!$B$10)*(airplane!$B$37+'Rate of climb'!J312/(0.866*airplane!$B$12*SQRT(airplane!$B$39)))</f>
        <v>20.436008887732854</v>
      </c>
      <c r="M312">
        <f t="shared" si="14"/>
        <v>516.33899999999994</v>
      </c>
      <c r="N312">
        <f t="shared" si="15"/>
        <v>90.899367532635736</v>
      </c>
    </row>
    <row r="313" spans="9:14" x14ac:dyDescent="0.2">
      <c r="I313">
        <f t="shared" si="16"/>
        <v>1550</v>
      </c>
      <c r="J313">
        <f>SQRT(I313*2/airplane!$B$27/airplane!$B$41)</f>
        <v>41.733327757459143</v>
      </c>
      <c r="K313">
        <f>1/(airplane!$B$40*airplane!$B$9*airplane!$B$10)*(airplane!$B$37+'Rate of climb'!J313/(0.866*airplane!$B$12*SQRT(airplane!$B$39)))</f>
        <v>20.450746575886406</v>
      </c>
      <c r="M313">
        <f t="shared" si="14"/>
        <v>518.01</v>
      </c>
      <c r="N313">
        <f t="shared" si="15"/>
        <v>90.964920769542744</v>
      </c>
    </row>
  </sheetData>
  <phoneticPr fontId="5" type="noConversion"/>
  <pageMargins left="0.7" right="0.7" top="0.75" bottom="0.75" header="0.3" footer="0.3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I1:N412"/>
  <sheetViews>
    <sheetView topLeftCell="A307" workbookViewId="0">
      <selection activeCell="I53" sqref="I52:N412"/>
    </sheetView>
  </sheetViews>
  <sheetFormatPr baseColWidth="10" defaultColWidth="8.83203125" defaultRowHeight="15" x14ac:dyDescent="0.2"/>
  <cols>
    <col min="1" max="1" width="16.83203125" bestFit="1" customWidth="1"/>
    <col min="9" max="9" width="14.5" customWidth="1"/>
  </cols>
  <sheetData>
    <row r="1" spans="9:14" x14ac:dyDescent="0.2">
      <c r="I1" t="s">
        <v>23</v>
      </c>
      <c r="J1" t="s">
        <v>31</v>
      </c>
      <c r="K1" t="s">
        <v>25</v>
      </c>
      <c r="M1" t="s">
        <v>23</v>
      </c>
      <c r="N1" t="s">
        <v>25</v>
      </c>
    </row>
    <row r="2" spans="9:14" x14ac:dyDescent="0.2">
      <c r="I2" t="s">
        <v>16</v>
      </c>
      <c r="M2" t="s">
        <v>66</v>
      </c>
      <c r="N2" t="s">
        <v>65</v>
      </c>
    </row>
    <row r="3" spans="9:14" x14ac:dyDescent="0.2">
      <c r="M3">
        <f>I3*0.3342</f>
        <v>0</v>
      </c>
      <c r="N3">
        <f>K3*4.448</f>
        <v>0</v>
      </c>
    </row>
    <row r="4" spans="9:14" x14ac:dyDescent="0.2">
      <c r="I4">
        <f>I3+5</f>
        <v>5</v>
      </c>
      <c r="J4">
        <f>(1/airplane!$B$48)*(airplane!$B$49*airplane!$B$7/Turns!I4+airplane!$B$46^2*airplane!$B$11*Turns!I4/airplane!$B$49)</f>
        <v>5.8808783816276415</v>
      </c>
      <c r="K4">
        <f>airplane!$B$45*J4/(airplane!$B$9*airplane!$B$10)</f>
        <v>443.83987785868993</v>
      </c>
      <c r="M4">
        <f t="shared" ref="M4:M53" si="0">I4*0.3342</f>
        <v>1.671</v>
      </c>
      <c r="N4">
        <f t="shared" ref="N4:N53" si="1">K4*4.448</f>
        <v>1974.199776715453</v>
      </c>
    </row>
    <row r="5" spans="9:14" x14ac:dyDescent="0.2">
      <c r="I5">
        <f t="shared" ref="I5:I68" si="2">I4+5</f>
        <v>10</v>
      </c>
      <c r="J5">
        <f>(1/airplane!$B$48)*(airplane!$B$49*airplane!$B$7/Turns!I5+airplane!$B$46^2*airplane!$B$11*Turns!I5/airplane!$B$49)</f>
        <v>2.9417567632552828</v>
      </c>
      <c r="K5">
        <f>airplane!$B$45*J5/(airplane!$B$9*airplane!$B$10)</f>
        <v>222.01937835888927</v>
      </c>
      <c r="M5">
        <f t="shared" si="0"/>
        <v>3.3420000000000001</v>
      </c>
      <c r="N5">
        <f t="shared" si="1"/>
        <v>987.54219494033953</v>
      </c>
    </row>
    <row r="6" spans="9:14" x14ac:dyDescent="0.2">
      <c r="I6">
        <f t="shared" si="2"/>
        <v>15</v>
      </c>
      <c r="J6">
        <f>(1/airplane!$B$48)*(airplane!$B$49*airplane!$B$7/Turns!I6+airplane!$B$46^2*airplane!$B$11*Turns!I6/airplane!$B$49)</f>
        <v>1.9626351448829238</v>
      </c>
      <c r="K6">
        <f>airplane!$B$45*J6/(airplane!$B$9*airplane!$B$10)</f>
        <v>148.12340716097538</v>
      </c>
      <c r="M6">
        <f t="shared" si="0"/>
        <v>5.0129999999999999</v>
      </c>
      <c r="N6">
        <f t="shared" si="1"/>
        <v>658.85291505201849</v>
      </c>
    </row>
    <row r="7" spans="9:14" x14ac:dyDescent="0.2">
      <c r="I7">
        <f t="shared" si="2"/>
        <v>20</v>
      </c>
      <c r="J7">
        <f>(1/airplane!$B$48)*(airplane!$B$49*airplane!$B$7/Turns!I7+airplane!$B$46^2*airplane!$B$11*Turns!I7/airplane!$B$49)</f>
        <v>1.473513526510565</v>
      </c>
      <c r="K7">
        <f>airplane!$B$45*J7/(airplane!$B$9*airplane!$B$10)</f>
        <v>111.20856803853322</v>
      </c>
      <c r="M7">
        <f t="shared" si="0"/>
        <v>6.6840000000000002</v>
      </c>
      <c r="N7">
        <f t="shared" si="1"/>
        <v>494.65571063539579</v>
      </c>
    </row>
    <row r="8" spans="9:14" x14ac:dyDescent="0.2">
      <c r="I8">
        <f t="shared" si="2"/>
        <v>25</v>
      </c>
      <c r="J8">
        <f>(1/airplane!$B$48)*(airplane!$B$49*airplane!$B$7/Turns!I8+airplane!$B$46^2*airplane!$B$11*Turns!I8/airplane!$B$49)</f>
        <v>1.1803919081382062</v>
      </c>
      <c r="K8">
        <f>airplane!$B$45*J8/(airplane!$B$9*airplane!$B$10)</f>
        <v>89.086181746279706</v>
      </c>
      <c r="M8">
        <f t="shared" si="0"/>
        <v>8.3550000000000004</v>
      </c>
      <c r="N8">
        <f t="shared" si="1"/>
        <v>396.25533640745215</v>
      </c>
    </row>
    <row r="9" spans="9:14" x14ac:dyDescent="0.2">
      <c r="I9">
        <f t="shared" si="2"/>
        <v>30</v>
      </c>
      <c r="J9">
        <f>(1/airplane!$B$48)*(airplane!$B$49*airplane!$B$7/Turns!I9+airplane!$B$46^2*airplane!$B$11*Turns!I9/airplane!$B$49)</f>
        <v>0.9852702897658473</v>
      </c>
      <c r="K9">
        <f>airplane!$B$45*J9/(airplane!$B$9*airplane!$B$10)</f>
        <v>74.360021869120544</v>
      </c>
      <c r="M9">
        <f t="shared" si="0"/>
        <v>10.026</v>
      </c>
      <c r="N9">
        <f t="shared" si="1"/>
        <v>330.75337727384823</v>
      </c>
    </row>
    <row r="10" spans="9:14" x14ac:dyDescent="0.2">
      <c r="I10">
        <f t="shared" si="2"/>
        <v>35</v>
      </c>
      <c r="J10">
        <f>(1/airplane!$B$48)*(airplane!$B$49*airplane!$B$7/Turns!I10+airplane!$B$46^2*airplane!$B$11*Turns!I10/airplane!$B$49)</f>
        <v>0.84614867139348848</v>
      </c>
      <c r="K10">
        <f>airplane!$B$45*J10/(airplane!$B$9*airplane!$B$10)</f>
        <v>63.860277086301018</v>
      </c>
      <c r="M10">
        <f t="shared" si="0"/>
        <v>11.696999999999999</v>
      </c>
      <c r="N10">
        <f t="shared" si="1"/>
        <v>284.05051247986694</v>
      </c>
    </row>
    <row r="11" spans="9:14" x14ac:dyDescent="0.2">
      <c r="I11">
        <f t="shared" si="2"/>
        <v>40</v>
      </c>
      <c r="J11">
        <f>(1/airplane!$B$48)*(airplane!$B$49*airplane!$B$7/Turns!I11+airplane!$B$46^2*airplane!$B$11*Turns!I11/airplane!$B$49)</f>
        <v>0.7420270530211297</v>
      </c>
      <c r="K11">
        <f>airplane!$B$45*J11/(airplane!$B$9*airplane!$B$10)</f>
        <v>56.002041737443754</v>
      </c>
      <c r="M11">
        <f t="shared" si="0"/>
        <v>13.368</v>
      </c>
      <c r="N11">
        <f t="shared" si="1"/>
        <v>249.09708164814984</v>
      </c>
    </row>
    <row r="12" spans="9:14" x14ac:dyDescent="0.2">
      <c r="I12">
        <f t="shared" si="2"/>
        <v>45</v>
      </c>
      <c r="J12">
        <f>(1/airplane!$B$48)*(airplane!$B$49*airplane!$B$7/Turns!I12+airplane!$B$46^2*airplane!$B$11*Turns!I12/airplane!$B$49)</f>
        <v>0.66123876798210424</v>
      </c>
      <c r="K12">
        <f>airplane!$B$45*J12/(airplane!$B$9*airplane!$B$10)</f>
        <v>49.904812677894654</v>
      </c>
      <c r="M12">
        <f t="shared" si="0"/>
        <v>15.039</v>
      </c>
      <c r="N12">
        <f t="shared" si="1"/>
        <v>221.97660679127543</v>
      </c>
    </row>
    <row r="13" spans="9:14" x14ac:dyDescent="0.2">
      <c r="I13">
        <f t="shared" si="2"/>
        <v>50</v>
      </c>
      <c r="J13">
        <f>(1/airplane!$B$48)*(airplane!$B$49*airplane!$B$7/Turns!I13+airplane!$B$46^2*airplane!$B$11*Turns!I13/airplane!$B$49)</f>
        <v>0.59678381627641208</v>
      </c>
      <c r="K13">
        <f>airplane!$B$45*J13/(airplane!$B$9*airplane!$B$10)</f>
        <v>45.04028802086129</v>
      </c>
      <c r="M13">
        <f t="shared" si="0"/>
        <v>16.71</v>
      </c>
      <c r="N13">
        <f t="shared" si="1"/>
        <v>200.33920111679103</v>
      </c>
    </row>
    <row r="14" spans="9:14" x14ac:dyDescent="0.2">
      <c r="I14">
        <f t="shared" si="2"/>
        <v>55</v>
      </c>
      <c r="J14">
        <f>(1/airplane!$B$48)*(airplane!$B$49*airplane!$B$7/Turns!I14+airplane!$B$46^2*airplane!$B$11*Turns!I14/airplane!$B$49)</f>
        <v>0.54420765244950775</v>
      </c>
      <c r="K14">
        <f>airplane!$B$45*J14/(airplane!$B$9*airplane!$B$10)</f>
        <v>41.072275656566624</v>
      </c>
      <c r="M14">
        <f t="shared" si="0"/>
        <v>18.381</v>
      </c>
      <c r="N14">
        <f t="shared" si="1"/>
        <v>182.68948212040837</v>
      </c>
    </row>
    <row r="15" spans="9:14" x14ac:dyDescent="0.2">
      <c r="I15">
        <f t="shared" si="2"/>
        <v>60</v>
      </c>
      <c r="J15">
        <f>(1/airplane!$B$48)*(airplane!$B$49*airplane!$B$7/Turns!I15+airplane!$B$46^2*airplane!$B$11*Turns!I15/airplane!$B$49)</f>
        <v>0.5005405795316944</v>
      </c>
      <c r="K15">
        <f>airplane!$B$45*J15/(airplane!$B$9*airplane!$B$10)</f>
        <v>37.776647511825992</v>
      </c>
      <c r="M15">
        <f t="shared" si="0"/>
        <v>20.052</v>
      </c>
      <c r="N15">
        <f t="shared" si="1"/>
        <v>168.03052813260203</v>
      </c>
    </row>
    <row r="16" spans="9:14" x14ac:dyDescent="0.2">
      <c r="I16">
        <f t="shared" si="2"/>
        <v>65</v>
      </c>
      <c r="J16">
        <f>(1/airplane!$B$48)*(airplane!$B$49*airplane!$B$7/Turns!I16+airplane!$B$46^2*airplane!$B$11*Turns!I16/airplane!$B$49)</f>
        <v>0.46372665346702796</v>
      </c>
      <c r="K16">
        <f>airplane!$B$45*J16/(airplane!$B$9*airplane!$B$10)</f>
        <v>34.998237997511545</v>
      </c>
      <c r="M16">
        <f t="shared" si="0"/>
        <v>21.722999999999999</v>
      </c>
      <c r="N16">
        <f t="shared" si="1"/>
        <v>155.67216261293137</v>
      </c>
    </row>
    <row r="17" spans="9:14" x14ac:dyDescent="0.2">
      <c r="I17">
        <f t="shared" si="2"/>
        <v>70</v>
      </c>
      <c r="J17">
        <f>(1/airplane!$B$48)*(airplane!$B$49*airplane!$B$7/Turns!I17+airplane!$B$46^2*airplane!$B$11*Turns!I17/airplane!$B$49)</f>
        <v>0.43229734278697685</v>
      </c>
      <c r="K17">
        <f>airplane!$B$45*J17/(airplane!$B$9*airplane!$B$10)</f>
        <v>32.626214549960515</v>
      </c>
      <c r="M17">
        <f t="shared" si="0"/>
        <v>23.393999999999998</v>
      </c>
      <c r="N17">
        <f t="shared" si="1"/>
        <v>145.1214023182244</v>
      </c>
    </row>
    <row r="18" spans="9:14" x14ac:dyDescent="0.2">
      <c r="I18">
        <f t="shared" si="2"/>
        <v>75</v>
      </c>
      <c r="J18">
        <f>(1/airplane!$B$48)*(airplane!$B$49*airplane!$B$7/Turns!I18+airplane!$B$46^2*airplane!$B$11*Turns!I18/airplane!$B$49)</f>
        <v>0.40517572441461802</v>
      </c>
      <c r="K18">
        <f>airplane!$B$45*J18/(airplane!$B$9*airplane!$B$10)</f>
        <v>30.579299955820225</v>
      </c>
      <c r="M18">
        <f t="shared" si="0"/>
        <v>25.065000000000001</v>
      </c>
      <c r="N18">
        <f t="shared" si="1"/>
        <v>136.01672620348836</v>
      </c>
    </row>
    <row r="19" spans="9:14" x14ac:dyDescent="0.2">
      <c r="I19">
        <f t="shared" si="2"/>
        <v>80</v>
      </c>
      <c r="J19">
        <f>(1/airplane!$B$48)*(airplane!$B$49*airplane!$B$7/Turns!I19+airplane!$B$46^2*airplane!$B$11*Turns!I19/airplane!$B$49)</f>
        <v>0.38155410604225926</v>
      </c>
      <c r="K19">
        <f>airplane!$B$45*J19/(airplane!$B$9*airplane!$B$10)</f>
        <v>28.79653630507617</v>
      </c>
      <c r="M19">
        <f t="shared" si="0"/>
        <v>26.736000000000001</v>
      </c>
      <c r="N19">
        <f t="shared" si="1"/>
        <v>128.08699348497882</v>
      </c>
    </row>
    <row r="20" spans="9:14" x14ac:dyDescent="0.2">
      <c r="I20">
        <f t="shared" si="2"/>
        <v>85</v>
      </c>
      <c r="J20">
        <f>(1/airplane!$B$48)*(airplane!$B$49*airplane!$B$7/Turns!I20+airplane!$B$46^2*airplane!$B$11*Turns!I20/airplane!$B$49)</f>
        <v>0.36081484061107688</v>
      </c>
      <c r="K20">
        <f>airplane!$B$45*J20/(airplane!$B$9*airplane!$B$10)</f>
        <v>27.231308725364293</v>
      </c>
      <c r="M20">
        <f t="shared" si="0"/>
        <v>28.407</v>
      </c>
      <c r="N20">
        <f t="shared" si="1"/>
        <v>121.12486121042039</v>
      </c>
    </row>
    <row r="21" spans="9:14" x14ac:dyDescent="0.2">
      <c r="I21">
        <f t="shared" si="2"/>
        <v>90</v>
      </c>
      <c r="J21">
        <f>(1/airplane!$B$48)*(airplane!$B$49*airplane!$B$7/Turns!I21+airplane!$B$46^2*airplane!$B$11*Turns!I21/airplane!$B$49)</f>
        <v>0.34247753596420832</v>
      </c>
      <c r="K21">
        <f>airplane!$B$45*J21/(airplane!$B$9*airplane!$B$10)</f>
        <v>25.84736120484591</v>
      </c>
      <c r="M21">
        <f t="shared" si="0"/>
        <v>30.077999999999999</v>
      </c>
      <c r="N21">
        <f t="shared" si="1"/>
        <v>114.96906263915461</v>
      </c>
    </row>
    <row r="22" spans="9:14" x14ac:dyDescent="0.2">
      <c r="I22">
        <f t="shared" si="2"/>
        <v>95</v>
      </c>
      <c r="J22">
        <f>(1/airplane!$B$48)*(airplane!$B$49*airplane!$B$7/Turns!I22+airplane!$B$46^2*airplane!$B$11*Turns!I22/airplane!$B$49)</f>
        <v>0.32616293513570915</v>
      </c>
      <c r="K22">
        <f>airplane!$B$45*J22/(airplane!$B$9*airplane!$B$10)</f>
        <v>24.616070576279935</v>
      </c>
      <c r="M22">
        <f t="shared" si="0"/>
        <v>31.748999999999999</v>
      </c>
      <c r="N22">
        <f t="shared" si="1"/>
        <v>109.49228192329316</v>
      </c>
    </row>
    <row r="23" spans="9:14" x14ac:dyDescent="0.2">
      <c r="I23">
        <f t="shared" si="2"/>
        <v>100</v>
      </c>
      <c r="J23">
        <f>(1/airplane!$B$48)*(airplane!$B$49*airplane!$B$7/Turns!I23+airplane!$B$46^2*airplane!$B$11*Turns!I23/airplane!$B$49)</f>
        <v>0.31156763255282405</v>
      </c>
      <c r="K23">
        <f>airplane!$B$45*J23/(airplane!$B$9*airplane!$B$10)</f>
        <v>23.514538305873511</v>
      </c>
      <c r="M23">
        <f t="shared" si="0"/>
        <v>33.42</v>
      </c>
      <c r="N23">
        <f t="shared" si="1"/>
        <v>104.59266638452539</v>
      </c>
    </row>
    <row r="24" spans="9:14" x14ac:dyDescent="0.2">
      <c r="I24">
        <f t="shared" si="2"/>
        <v>105</v>
      </c>
      <c r="J24">
        <f>(1/airplane!$B$48)*(airplane!$B$49*airplane!$B$7/Turns!I24+airplane!$B$46^2*airplane!$B$11*Turns!I24/airplane!$B$49)</f>
        <v>0.29844601418046524</v>
      </c>
      <c r="K24">
        <f>airplane!$B$45*J24/(airplane!$B$9*airplane!$B$10)</f>
        <v>22.524227485318129</v>
      </c>
      <c r="M24">
        <f t="shared" si="0"/>
        <v>35.091000000000001</v>
      </c>
      <c r="N24">
        <f t="shared" si="1"/>
        <v>100.18776385469505</v>
      </c>
    </row>
    <row r="25" spans="9:14" x14ac:dyDescent="0.2">
      <c r="I25">
        <f t="shared" si="2"/>
        <v>110</v>
      </c>
      <c r="J25">
        <f>(1/airplane!$B$48)*(airplane!$B$49*airplane!$B$7/Turns!I25+airplane!$B$46^2*airplane!$B$11*Turns!I25/airplane!$B$49)</f>
        <v>0.28659712308083368</v>
      </c>
      <c r="K25">
        <f>airplane!$B$45*J25/(airplane!$B$9*airplane!$B$10)</f>
        <v>21.629971553270465</v>
      </c>
      <c r="M25">
        <f t="shared" si="0"/>
        <v>36.762</v>
      </c>
      <c r="N25">
        <f t="shared" si="1"/>
        <v>96.210113468947043</v>
      </c>
    </row>
    <row r="26" spans="9:14" x14ac:dyDescent="0.2">
      <c r="I26">
        <f t="shared" si="2"/>
        <v>115</v>
      </c>
      <c r="J26">
        <f>(1/airplane!$B$48)*(airplane!$B$49*airplane!$B$7/Turns!I26+airplane!$B$46^2*airplane!$B$11*Turns!I26/airplane!$B$49)</f>
        <v>0.27585495134879112</v>
      </c>
      <c r="K26">
        <f>airplane!$B$45*J26/(airplane!$B$9*airplane!$B$10)</f>
        <v>20.819241611229518</v>
      </c>
      <c r="M26">
        <f t="shared" si="0"/>
        <v>38.433</v>
      </c>
      <c r="N26">
        <f t="shared" si="1"/>
        <v>92.603986686748911</v>
      </c>
    </row>
    <row r="27" spans="9:14" x14ac:dyDescent="0.2">
      <c r="I27">
        <f t="shared" si="2"/>
        <v>120</v>
      </c>
      <c r="J27">
        <f>(1/airplane!$B$48)*(airplane!$B$49*airplane!$B$7/Turns!I27+airplane!$B$46^2*airplane!$B$11*Turns!I27/airplane!$B$49)</f>
        <v>0.26608115906338881</v>
      </c>
      <c r="K27">
        <f>airplane!$B$45*J27/(airplane!$B$9*airplane!$B$10)</f>
        <v>20.081596910444439</v>
      </c>
      <c r="M27">
        <f t="shared" si="0"/>
        <v>40.103999999999999</v>
      </c>
      <c r="N27">
        <f t="shared" si="1"/>
        <v>89.322943057656872</v>
      </c>
    </row>
    <row r="28" spans="9:14" x14ac:dyDescent="0.2">
      <c r="I28">
        <f t="shared" si="2"/>
        <v>125</v>
      </c>
      <c r="J28">
        <f>(1/airplane!$B$48)*(airplane!$B$49*airplane!$B$7/Turns!I28+airplane!$B$46^2*airplane!$B$11*Turns!I28/airplane!$B$49)</f>
        <v>0.25715954069103003</v>
      </c>
      <c r="K28">
        <f>airplane!$B$45*J28/(airplane!$B$9*airplane!$B$10)</f>
        <v>19.408267221964529</v>
      </c>
      <c r="M28">
        <f t="shared" si="0"/>
        <v>41.774999999999999</v>
      </c>
      <c r="N28">
        <f t="shared" si="1"/>
        <v>86.327972603298235</v>
      </c>
    </row>
    <row r="29" spans="9:14" x14ac:dyDescent="0.2">
      <c r="I29">
        <f t="shared" si="2"/>
        <v>130</v>
      </c>
      <c r="J29">
        <f>(1/airplane!$B$48)*(airplane!$B$49*airplane!$B$7/Turns!I29+airplane!$B$46^2*airplane!$B$11*Turns!I29/airplane!$B$49)</f>
        <v>0.24899176847251739</v>
      </c>
      <c r="K29">
        <f>airplane!$B$45*J29/(airplane!$B$9*airplane!$B$10)</f>
        <v>18.791831582831502</v>
      </c>
      <c r="M29">
        <f t="shared" si="0"/>
        <v>43.445999999999998</v>
      </c>
      <c r="N29">
        <f t="shared" si="1"/>
        <v>83.586066880434529</v>
      </c>
    </row>
    <row r="30" spans="9:14" x14ac:dyDescent="0.2">
      <c r="I30">
        <f t="shared" si="2"/>
        <v>135</v>
      </c>
      <c r="J30">
        <f>(1/airplane!$B$48)*(airplane!$B$49*airplane!$B$7/Turns!I30+airplane!$B$46^2*airplane!$B$11*Turns!I30/airplane!$B$49)</f>
        <v>0.2414940817240902</v>
      </c>
      <c r="K30">
        <f>airplane!$B$45*J30/(airplane!$B$9*airplane!$B$10)</f>
        <v>18.225968432006809</v>
      </c>
      <c r="M30">
        <f t="shared" si="0"/>
        <v>45.116999999999997</v>
      </c>
      <c r="N30">
        <f t="shared" si="1"/>
        <v>81.0691075855663</v>
      </c>
    </row>
    <row r="31" spans="9:14" x14ac:dyDescent="0.2">
      <c r="I31">
        <f>I30+5</f>
        <v>140</v>
      </c>
      <c r="J31">
        <f>(1/airplane!$B$48)*(airplane!$B$49*airplane!$B$7/Turns!I31+airplane!$B$46^2*airplane!$B$11*Turns!I31/airplane!$B$49)</f>
        <v>0.23459468557395363</v>
      </c>
      <c r="K31">
        <f>airplane!$B$45*J31/(airplane!$B$9*airplane!$B$10)</f>
        <v>17.705259288600271</v>
      </c>
      <c r="M31">
        <f t="shared" si="0"/>
        <v>46.787999999999997</v>
      </c>
      <c r="N31">
        <f t="shared" si="1"/>
        <v>78.752993315694013</v>
      </c>
    </row>
    <row r="32" spans="9:14" x14ac:dyDescent="0.2">
      <c r="I32">
        <f t="shared" si="2"/>
        <v>145</v>
      </c>
      <c r="J32">
        <f>(1/airplane!$B$48)*(airplane!$B$49*airplane!$B$7/Turns!I32+airplane!$B$46^2*airplane!$B$11*Turns!I32/airplane!$B$49)</f>
        <v>0.22823168789125001</v>
      </c>
      <c r="K32">
        <f>airplane!$B$45*J32/(airplane!$B$9*airplane!$B$10)</f>
        <v>17.225033048396224</v>
      </c>
      <c r="M32">
        <f t="shared" si="0"/>
        <v>48.458999999999996</v>
      </c>
      <c r="N32">
        <f t="shared" si="1"/>
        <v>76.616946999266403</v>
      </c>
    </row>
    <row r="33" spans="9:14" x14ac:dyDescent="0.2">
      <c r="I33">
        <f t="shared" si="2"/>
        <v>150</v>
      </c>
      <c r="J33">
        <f>(1/airplane!$B$48)*(airplane!$B$49*airplane!$B$7/Turns!I33+airplane!$B$46^2*airplane!$B$11*Turns!I33/airplane!$B$49)</f>
        <v>0.22235144882923602</v>
      </c>
      <c r="K33">
        <f>airplane!$B$45*J33/(airplane!$B$9*airplane!$B$10)</f>
        <v>16.781241421074416</v>
      </c>
      <c r="M33">
        <f t="shared" si="0"/>
        <v>50.13</v>
      </c>
      <c r="N33">
        <f t="shared" si="1"/>
        <v>74.642961840939009</v>
      </c>
    </row>
    <row r="34" spans="9:14" x14ac:dyDescent="0.2">
      <c r="I34">
        <f t="shared" si="2"/>
        <v>155</v>
      </c>
      <c r="J34">
        <f>(1/airplane!$B$48)*(airplane!$B$49*airplane!$B$7/Turns!I34+airplane!$B$46^2*airplane!$B$11*Turns!I34/airplane!$B$49)</f>
        <v>0.21690724981171594</v>
      </c>
      <c r="K34">
        <f>airplane!$B$45*J34/(airplane!$B$9*airplane!$B$10)</f>
        <v>16.370358476355918</v>
      </c>
      <c r="M34">
        <f t="shared" si="0"/>
        <v>51.801000000000002</v>
      </c>
      <c r="N34">
        <f t="shared" si="1"/>
        <v>72.815354502831127</v>
      </c>
    </row>
    <row r="35" spans="9:14" x14ac:dyDescent="0.2">
      <c r="I35">
        <f t="shared" si="2"/>
        <v>160</v>
      </c>
      <c r="J35">
        <f>(1/airplane!$B$48)*(airplane!$B$49*airplane!$B$7/Turns!I35+airplane!$B$46^2*airplane!$B$11*Turns!I35/airplane!$B$49)</f>
        <v>0.21185821208451844</v>
      </c>
      <c r="K35">
        <f>airplane!$B$45*J35/(airplane!$B$9*airplane!$B$10)</f>
        <v>15.989299025246675</v>
      </c>
      <c r="M35">
        <f t="shared" si="0"/>
        <v>53.472000000000001</v>
      </c>
      <c r="N35">
        <f t="shared" si="1"/>
        <v>71.12040206429721</v>
      </c>
    </row>
    <row r="36" spans="9:14" x14ac:dyDescent="0.2">
      <c r="I36">
        <f t="shared" si="2"/>
        <v>165</v>
      </c>
      <c r="J36">
        <f>(1/airplane!$B$48)*(airplane!$B$49*airplane!$B$7/Turns!I36+airplane!$B$46^2*airplane!$B$11*Turns!I36/airplane!$B$49)</f>
        <v>0.20716841189397778</v>
      </c>
      <c r="K36">
        <f>airplane!$B$45*J36/(airplane!$B$9*airplane!$B$10)</f>
        <v>15.635351841054927</v>
      </c>
      <c r="M36">
        <f t="shared" si="0"/>
        <v>55.143000000000001</v>
      </c>
      <c r="N36">
        <f t="shared" si="1"/>
        <v>69.546044989012316</v>
      </c>
    </row>
    <row r="37" spans="9:14" x14ac:dyDescent="0.2">
      <c r="I37">
        <f t="shared" si="2"/>
        <v>170</v>
      </c>
      <c r="J37">
        <f>(1/airplane!$B$48)*(airplane!$B$49*airplane!$B$7/Turns!I37+airplane!$B$46^2*airplane!$B$11*Turns!I37/airplane!$B$49)</f>
        <v>0.20280615181038902</v>
      </c>
      <c r="K37">
        <f>airplane!$B$45*J37/(airplane!$B$9*airplane!$B$10)</f>
        <v>15.30612466493502</v>
      </c>
      <c r="M37">
        <f t="shared" si="0"/>
        <v>56.814</v>
      </c>
      <c r="N37">
        <f t="shared" si="1"/>
        <v>68.081642509630967</v>
      </c>
    </row>
    <row r="38" spans="9:14" x14ac:dyDescent="0.2">
      <c r="I38">
        <f t="shared" si="2"/>
        <v>175</v>
      </c>
      <c r="J38">
        <f>(1/airplane!$B$48)*(airplane!$B$49*airplane!$B$7/Turns!I38+airplane!$B$46^2*airplane!$B$11*Turns!I38/airplane!$B$49)</f>
        <v>0.198743356967442</v>
      </c>
      <c r="K38">
        <f>airplane!$B$45*J38/(airplane!$B$9*airplane!$B$10)</f>
        <v>14.999498639052225</v>
      </c>
      <c r="M38">
        <f t="shared" si="0"/>
        <v>58.484999999999999</v>
      </c>
      <c r="N38">
        <f t="shared" si="1"/>
        <v>66.717769946504305</v>
      </c>
    </row>
    <row r="39" spans="9:14" x14ac:dyDescent="0.2">
      <c r="I39">
        <f t="shared" si="2"/>
        <v>180</v>
      </c>
      <c r="J39">
        <f>(1/airplane!$B$48)*(airplane!$B$49*airplane!$B$7/Turns!I39+airplane!$B$46^2*airplane!$B$11*Turns!I39/airplane!$B$49)</f>
        <v>0.19495507192841655</v>
      </c>
      <c r="K39">
        <f>airplane!$B$45*J39/(airplane!$B$9*airplane!$B$10)</f>
        <v>14.713590334220116</v>
      </c>
      <c r="M39">
        <f t="shared" si="0"/>
        <v>60.155999999999999</v>
      </c>
      <c r="N39">
        <f t="shared" si="1"/>
        <v>65.446049806611086</v>
      </c>
    </row>
    <row r="40" spans="9:14" x14ac:dyDescent="0.2">
      <c r="I40">
        <f t="shared" si="2"/>
        <v>185</v>
      </c>
      <c r="J40">
        <f>(1/airplane!$B$48)*(airplane!$B$49*airplane!$B$7/Turns!I40+airplane!$B$46^2*airplane!$B$11*Turns!I40/airplane!$B$49)</f>
        <v>0.19141903914164332</v>
      </c>
      <c r="K40">
        <f>airplane!$B$45*J40/(airplane!$B$9*airplane!$B$10)</f>
        <v>14.446719935218363</v>
      </c>
      <c r="M40">
        <f t="shared" si="0"/>
        <v>61.826999999999998</v>
      </c>
      <c r="N40">
        <f t="shared" si="1"/>
        <v>64.259010271851281</v>
      </c>
    </row>
    <row r="41" spans="9:14" x14ac:dyDescent="0.2">
      <c r="I41">
        <f t="shared" si="2"/>
        <v>190</v>
      </c>
      <c r="J41">
        <f>(1/airplane!$B$48)*(airplane!$B$49*airplane!$B$7/Turns!I41+airplane!$B$46^2*airplane!$B$11*Turns!I41/airplane!$B$49)</f>
        <v>0.18811534395562879</v>
      </c>
      <c r="K41">
        <f>airplane!$B$45*J41/(airplane!$B$9*airplane!$B$10)</f>
        <v>14.197384449481417</v>
      </c>
      <c r="M41">
        <f t="shared" si="0"/>
        <v>63.497999999999998</v>
      </c>
      <c r="N41">
        <f t="shared" si="1"/>
        <v>63.149966031293346</v>
      </c>
    </row>
    <row r="42" spans="9:14" x14ac:dyDescent="0.2">
      <c r="I42">
        <f t="shared" si="2"/>
        <v>195</v>
      </c>
      <c r="J42">
        <f>(1/airplane!$B$48)*(airplane!$B$49*airplane!$B$7/Turns!I42+airplane!$B$46^2*airplane!$B$11*Turns!I42/airplane!$B$49)</f>
        <v>0.18502611424723758</v>
      </c>
      <c r="K42">
        <f>airplane!$B$45*J42/(airplane!$B$9*airplane!$B$10)</f>
        <v>13.964235037527365</v>
      </c>
      <c r="M42">
        <f t="shared" si="0"/>
        <v>65.168999999999997</v>
      </c>
      <c r="N42">
        <f t="shared" si="1"/>
        <v>62.11291744692172</v>
      </c>
    </row>
    <row r="43" spans="9:14" x14ac:dyDescent="0.2">
      <c r="I43">
        <f t="shared" si="2"/>
        <v>200</v>
      </c>
      <c r="J43">
        <f>(1/airplane!$B$48)*(airplane!$B$49*airplane!$B$7/Turns!I43+airplane!$B$46^2*airplane!$B$11*Turns!I43/airplane!$B$49)</f>
        <v>0.18213526510564801</v>
      </c>
      <c r="K43">
        <f>airplane!$B$45*J43/(airplane!$B$9*airplane!$B$10)</f>
        <v>13.74605774382249</v>
      </c>
      <c r="M43">
        <f t="shared" si="0"/>
        <v>66.84</v>
      </c>
      <c r="N43">
        <f t="shared" si="1"/>
        <v>61.142464844522443</v>
      </c>
    </row>
    <row r="44" spans="9:14" x14ac:dyDescent="0.2">
      <c r="I44">
        <f t="shared" si="2"/>
        <v>205</v>
      </c>
      <c r="J44">
        <f>(1/airplane!$B$48)*(airplane!$B$49*airplane!$B$7/Turns!I44+airplane!$B$46^2*airplane!$B$11*Turns!I44/airplane!$B$49)</f>
        <v>0.1794282808796307</v>
      </c>
      <c r="K44">
        <f>airplane!$B$45*J44/(airplane!$B$9*airplane!$B$10)</f>
        <v>13.541757047519297</v>
      </c>
      <c r="M44">
        <f t="shared" si="0"/>
        <v>68.510999999999996</v>
      </c>
      <c r="N44">
        <f t="shared" si="1"/>
        <v>60.233735347365844</v>
      </c>
    </row>
    <row r="45" spans="9:14" x14ac:dyDescent="0.2">
      <c r="I45">
        <f t="shared" si="2"/>
        <v>210</v>
      </c>
      <c r="J45">
        <f>(1/airplane!$B$48)*(airplane!$B$49*airplane!$B$7/Turns!I45+airplane!$B$46^2*airplane!$B$11*Turns!I45/airplane!$B$49)</f>
        <v>0.17689202836093043</v>
      </c>
      <c r="K45">
        <f>airplane!$B$45*J45/(airplane!$B$9*airplane!$B$10)</f>
        <v>13.350341763089089</v>
      </c>
      <c r="M45">
        <f t="shared" si="0"/>
        <v>70.182000000000002</v>
      </c>
      <c r="N45">
        <f t="shared" si="1"/>
        <v>59.382320162220275</v>
      </c>
    </row>
    <row r="46" spans="9:14" x14ac:dyDescent="0.2">
      <c r="I46">
        <f t="shared" si="2"/>
        <v>215</v>
      </c>
      <c r="J46">
        <f>(1/airplane!$B$48)*(airplane!$B$49*airplane!$B$7/Turns!I46+airplane!$B$46^2*airplane!$B$11*Turns!I46/airplane!$B$49)</f>
        <v>0.17451459603508324</v>
      </c>
      <c r="K46">
        <f>airplane!$B$45*J46/(airplane!$B$9*airplane!$B$10)</f>
        <v>13.170912908308168</v>
      </c>
      <c r="M46">
        <f t="shared" si="0"/>
        <v>71.852999999999994</v>
      </c>
      <c r="N46">
        <f t="shared" si="1"/>
        <v>58.584220616154738</v>
      </c>
    </row>
    <row r="47" spans="9:14" x14ac:dyDescent="0.2">
      <c r="I47">
        <f t="shared" si="2"/>
        <v>220</v>
      </c>
      <c r="J47">
        <f>(1/airplane!$B$48)*(airplane!$B$49*airplane!$B$7/Turns!I47+airplane!$B$46^2*airplane!$B$11*Turns!I47/airplane!$B$49)</f>
        <v>0.17228515525257643</v>
      </c>
      <c r="K47">
        <f>airplane!$B$45*J47/(airplane!$B$9*airplane!$B$10)</f>
        <v>13.00265322660954</v>
      </c>
      <c r="M47">
        <f t="shared" si="0"/>
        <v>73.524000000000001</v>
      </c>
      <c r="N47">
        <f t="shared" si="1"/>
        <v>57.835801551959243</v>
      </c>
    </row>
    <row r="48" spans="9:14" x14ac:dyDescent="0.2">
      <c r="I48">
        <f t="shared" si="2"/>
        <v>225</v>
      </c>
      <c r="J48">
        <f>(1/airplane!$B$48)*(airplane!$B$49*airplane!$B$7/Turns!I48+airplane!$B$46^2*airplane!$B$11*Turns!I48/airplane!$B$49)</f>
        <v>0.17019383991052067</v>
      </c>
      <c r="K48">
        <f>airplane!$B$45*J48/(airplane!$B$9*airplane!$B$10)</f>
        <v>12.84481810645439</v>
      </c>
      <c r="M48">
        <f t="shared" si="0"/>
        <v>75.194999999999993</v>
      </c>
      <c r="N48">
        <f t="shared" si="1"/>
        <v>57.133750937509134</v>
      </c>
    </row>
    <row r="49" spans="9:14" x14ac:dyDescent="0.2">
      <c r="I49">
        <f t="shared" si="2"/>
        <v>230</v>
      </c>
      <c r="J49">
        <f>(1/airplane!$B$48)*(airplane!$B$49*airplane!$B$7/Turns!I49+airplane!$B$46^2*airplane!$B$11*Turns!I49/airplane!$B$49)</f>
        <v>0.16823164182801698</v>
      </c>
      <c r="K49">
        <f>airplane!$B$45*J49/(airplane!$B$9*airplane!$B$10)</f>
        <v>12.696727685133355</v>
      </c>
      <c r="M49">
        <f t="shared" si="0"/>
        <v>76.866</v>
      </c>
      <c r="N49">
        <f t="shared" si="1"/>
        <v>56.47504474347317</v>
      </c>
    </row>
    <row r="50" spans="9:14" x14ac:dyDescent="0.2">
      <c r="I50">
        <f t="shared" si="2"/>
        <v>235</v>
      </c>
      <c r="J50">
        <f>(1/airplane!$B$48)*(airplane!$B$49*airplane!$B$7/Turns!I50+airplane!$B$46^2*airplane!$B$11*Turns!I50/airplane!$B$49)</f>
        <v>0.16639031947785982</v>
      </c>
      <c r="K50">
        <f>airplane!$B$45*J50/(airplane!$B$9*airplane!$B$10)</f>
        <v>12.557759960593192</v>
      </c>
      <c r="M50">
        <f t="shared" si="0"/>
        <v>78.537000000000006</v>
      </c>
      <c r="N50">
        <f t="shared" si="1"/>
        <v>55.856916304718524</v>
      </c>
    </row>
    <row r="51" spans="9:14" x14ac:dyDescent="0.2">
      <c r="I51">
        <f t="shared" si="2"/>
        <v>240</v>
      </c>
      <c r="J51">
        <f>(1/airplane!$B$48)*(airplane!$B$49*airplane!$B$7/Turns!I51+airplane!$B$46^2*airplane!$B$11*Turns!I51/airplane!$B$49)</f>
        <v>0.16466231812677762</v>
      </c>
      <c r="K51">
        <f>airplane!$B$45*J51/(airplane!$B$9*airplane!$B$10)</f>
        <v>12.427344764285104</v>
      </c>
      <c r="M51">
        <f t="shared" si="0"/>
        <v>80.207999999999998</v>
      </c>
      <c r="N51">
        <f t="shared" si="1"/>
        <v>55.27682951154015</v>
      </c>
    </row>
    <row r="52" spans="9:14" x14ac:dyDescent="0.2">
      <c r="I52">
        <f t="shared" si="2"/>
        <v>245</v>
      </c>
      <c r="J52">
        <f>(1/airplane!$B$48)*(airplane!$B$49*airplane!$B$7/Turns!I52+airplane!$B$46^2*airplane!$B$11*Turns!I52/airplane!$B$49)</f>
        <v>0.16304069975441882</v>
      </c>
      <c r="K52">
        <f>airplane!$B$45*J52/(airplane!$B$9*airplane!$B$10)</f>
        <v>12.304958472031608</v>
      </c>
      <c r="M52">
        <f t="shared" si="0"/>
        <v>81.879000000000005</v>
      </c>
      <c r="N52">
        <f t="shared" si="1"/>
        <v>54.732455283596593</v>
      </c>
    </row>
    <row r="53" spans="9:14" x14ac:dyDescent="0.2">
      <c r="I53">
        <f t="shared" si="2"/>
        <v>250</v>
      </c>
      <c r="J53">
        <f>(1/airplane!$B$48)*(airplane!$B$49*airplane!$B$7/Turns!I53+airplane!$B$46^2*airplane!$B$11*Turns!I53/airplane!$B$49)</f>
        <v>0.16151908138206</v>
      </c>
      <c r="K53">
        <f>airplane!$B$45*J53/(airplane!$B$9*airplane!$B$10)</f>
        <v>12.190119349589432</v>
      </c>
      <c r="M53">
        <f t="shared" si="0"/>
        <v>83.55</v>
      </c>
      <c r="N53">
        <f t="shared" si="1"/>
        <v>54.221650866973796</v>
      </c>
    </row>
    <row r="54" spans="9:14" x14ac:dyDescent="0.2">
      <c r="I54">
        <f t="shared" si="2"/>
        <v>255</v>
      </c>
      <c r="J54">
        <f>(1/airplane!$B$48)*(airplane!$B$49*airplane!$B$7/Turns!I54+airplane!$B$46^2*airplane!$B$11*Turns!I54/airplane!$B$49)</f>
        <v>0.16009158065676005</v>
      </c>
      <c r="K54">
        <f>airplane!$B$45*J54/(airplane!$B$9*airplane!$B$10)</f>
        <v>12.08238344579321</v>
      </c>
      <c r="M54">
        <f t="shared" ref="M54:M77" si="3">I54*0.3342</f>
        <v>85.221000000000004</v>
      </c>
      <c r="N54">
        <f t="shared" ref="N54:N77" si="4">K54*4.448</f>
        <v>53.742441566888203</v>
      </c>
    </row>
    <row r="55" spans="9:14" x14ac:dyDescent="0.2">
      <c r="I55">
        <f t="shared" si="2"/>
        <v>260</v>
      </c>
      <c r="J55">
        <f>(1/airplane!$B$48)*(airplane!$B$49*airplane!$B$7/Turns!I55+airplane!$B$46^2*airplane!$B$11*Turns!I55/airplane!$B$49)</f>
        <v>0.1587527677142655</v>
      </c>
      <c r="K55">
        <f>airplane!$B$45*J55/(airplane!$B$9*airplane!$B$10)</f>
        <v>11.981340959567207</v>
      </c>
      <c r="M55">
        <f t="shared" si="3"/>
        <v>86.891999999999996</v>
      </c>
      <c r="N55">
        <f t="shared" si="4"/>
        <v>53.293004588154943</v>
      </c>
    </row>
    <row r="56" spans="9:14" x14ac:dyDescent="0.2">
      <c r="I56">
        <f t="shared" si="2"/>
        <v>265</v>
      </c>
      <c r="J56">
        <f>(1/airplane!$B$48)*(airplane!$B$49*airplane!$B$7/Turns!I56+airplane!$B$46^2*airplane!$B$11*Turns!I56/airplane!$B$49)</f>
        <v>0.1574976224913987</v>
      </c>
      <c r="K56">
        <f>airplane!$B$45*J56/(airplane!$B$9*airplane!$B$10)</f>
        <v>11.886613018218769</v>
      </c>
      <c r="M56">
        <f t="shared" si="3"/>
        <v>88.563000000000002</v>
      </c>
      <c r="N56">
        <f t="shared" si="4"/>
        <v>52.871654705037088</v>
      </c>
    </row>
    <row r="57" spans="9:14" x14ac:dyDescent="0.2">
      <c r="I57">
        <f t="shared" si="2"/>
        <v>270</v>
      </c>
      <c r="J57">
        <f>(1/airplane!$B$48)*(airplane!$B$49*airplane!$B$7/Turns!I57+airplane!$B$46^2*airplane!$B$11*Turns!I57/airplane!$B$49)</f>
        <v>0.15632149678151369</v>
      </c>
      <c r="K57">
        <f>airplane!$B$45*J57/(airplane!$B$9*airplane!$B$10)</f>
        <v>11.797848813699146</v>
      </c>
      <c r="M57">
        <f t="shared" si="3"/>
        <v>90.233999999999995</v>
      </c>
      <c r="N57">
        <f t="shared" si="4"/>
        <v>52.476831523333807</v>
      </c>
    </row>
    <row r="58" spans="9:14" x14ac:dyDescent="0.2">
      <c r="I58">
        <f t="shared" si="2"/>
        <v>275</v>
      </c>
      <c r="J58">
        <f>(1/airplane!$B$48)*(airplane!$B$49*airplane!$B$7/Turns!I58+airplane!$B$46^2*airplane!$B$11*Turns!I58/airplane!$B$49)</f>
        <v>0.15522008042935692</v>
      </c>
      <c r="K58">
        <f>airplane!$B$45*J58/(airplane!$B$9*airplane!$B$10)</f>
        <v>11.71472305127222</v>
      </c>
      <c r="M58">
        <f t="shared" si="3"/>
        <v>91.905000000000001</v>
      </c>
      <c r="N58">
        <f t="shared" si="4"/>
        <v>52.107088132058834</v>
      </c>
    </row>
    <row r="59" spans="9:14" x14ac:dyDescent="0.2">
      <c r="I59">
        <f t="shared" si="2"/>
        <v>280</v>
      </c>
      <c r="J59">
        <f>(1/airplane!$B$48)*(airplane!$B$49*airplane!$B$7/Turns!I59+airplane!$B$46^2*airplane!$B$11*Turns!I59/airplane!$B$49)</f>
        <v>0.15418937114790721</v>
      </c>
      <c r="K59">
        <f>airplane!$B$45*J59/(airplane!$B$9*airplane!$B$10)</f>
        <v>11.636933671540167</v>
      </c>
      <c r="M59">
        <f t="shared" si="3"/>
        <v>93.575999999999993</v>
      </c>
      <c r="N59">
        <f t="shared" si="4"/>
        <v>51.761080971010664</v>
      </c>
    </row>
    <row r="60" spans="9:14" x14ac:dyDescent="0.2">
      <c r="I60">
        <f t="shared" si="2"/>
        <v>285</v>
      </c>
      <c r="J60">
        <f>(1/airplane!$B$48)*(airplane!$B$49*airplane!$B$7/Turns!I60+airplane!$B$46^2*airplane!$B$11*Turns!I60/airplane!$B$49)</f>
        <v>0.15322564751239051</v>
      </c>
      <c r="K60">
        <f>airplane!$B$45*J60/(airplane!$B$9*airplane!$B$10)</f>
        <v>11.564199812255888</v>
      </c>
      <c r="M60">
        <f t="shared" si="3"/>
        <v>95.247</v>
      </c>
      <c r="N60">
        <f t="shared" si="4"/>
        <v>51.437560764914195</v>
      </c>
    </row>
    <row r="61" spans="9:14" x14ac:dyDescent="0.2">
      <c r="I61">
        <f t="shared" si="2"/>
        <v>290</v>
      </c>
      <c r="J61">
        <f>(1/airplane!$B$48)*(airplane!$B$49*airplane!$B$7/Turns!I61+airplane!$B$46^2*airplane!$B$11*Turns!I61/airplane!$B$49)</f>
        <v>0.15232544474801721</v>
      </c>
      <c r="K61">
        <f>airplane!$B$45*J61/(airplane!$B$9*airplane!$B$10)</f>
        <v>11.496259980982432</v>
      </c>
      <c r="M61">
        <f t="shared" si="3"/>
        <v>96.917999999999992</v>
      </c>
      <c r="N61">
        <f t="shared" si="4"/>
        <v>51.135364395409859</v>
      </c>
    </row>
    <row r="62" spans="9:14" x14ac:dyDescent="0.2">
      <c r="I62">
        <f t="shared" si="2"/>
        <v>295</v>
      </c>
      <c r="J62">
        <f>(1/airplane!$B$48)*(airplane!$B$49*airplane!$B$7/Turns!I62+airplane!$B$46^2*airplane!$B$11*Turns!I62/airplane!$B$49)</f>
        <v>0.15148553297998335</v>
      </c>
      <c r="K62">
        <f>airplane!$B$45*J62/(airplane!$B$9*airplane!$B$10)</f>
        <v>11.432870413583649</v>
      </c>
      <c r="M62">
        <f t="shared" si="3"/>
        <v>98.588999999999999</v>
      </c>
      <c r="N62">
        <f t="shared" si="4"/>
        <v>50.85340759962007</v>
      </c>
    </row>
    <row r="63" spans="9:14" x14ac:dyDescent="0.2">
      <c r="I63">
        <f t="shared" si="2"/>
        <v>300</v>
      </c>
      <c r="J63">
        <f>(1/airplane!$B$48)*(airplane!$B$49*airplane!$B$7/Turns!I63+airplane!$B$46^2*airplane!$B$11*Turns!I63/airplane!$B$49)</f>
        <v>0.150702897658472</v>
      </c>
      <c r="K63">
        <f>airplane!$B$45*J63/(airplane!$B$9*airplane!$B$10)</f>
        <v>11.373803596865811</v>
      </c>
      <c r="M63">
        <f t="shared" si="3"/>
        <v>100.26</v>
      </c>
      <c r="N63">
        <f t="shared" si="4"/>
        <v>50.590678398859133</v>
      </c>
    </row>
    <row r="64" spans="9:14" x14ac:dyDescent="0.2">
      <c r="I64">
        <f t="shared" si="2"/>
        <v>305</v>
      </c>
      <c r="J64">
        <f>(1/airplane!$B$48)*(airplane!$B$49*airplane!$B$7/Turns!I64+airplane!$B$46^2*airplane!$B$11*Turns!I64/airplane!$B$49)</f>
        <v>0.14997472190906402</v>
      </c>
      <c r="K64">
        <f>airplane!$B$45*J64/(airplane!$B$9*airplane!$B$10)</f>
        <v>11.318846936533133</v>
      </c>
      <c r="M64">
        <f t="shared" si="3"/>
        <v>101.931</v>
      </c>
      <c r="N64">
        <f t="shared" si="4"/>
        <v>50.34623117369938</v>
      </c>
    </row>
    <row r="65" spans="9:14" x14ac:dyDescent="0.2">
      <c r="I65">
        <f t="shared" si="2"/>
        <v>310</v>
      </c>
      <c r="J65">
        <f>(1/airplane!$B$48)*(airplane!$B$49*airplane!$B$7/Turns!I65+airplane!$B$46^2*airplane!$B$11*Turns!I65/airplane!$B$49)</f>
        <v>0.14929837059117376</v>
      </c>
      <c r="K65">
        <f>airplane!$B$45*J65/(airplane!$B$9*airplane!$B$10)</f>
        <v>11.26780155405085</v>
      </c>
      <c r="M65">
        <f t="shared" si="3"/>
        <v>103.602</v>
      </c>
      <c r="N65">
        <f t="shared" si="4"/>
        <v>50.119181312418185</v>
      </c>
    </row>
    <row r="66" spans="9:14" x14ac:dyDescent="0.2">
      <c r="I66">
        <f t="shared" si="2"/>
        <v>315</v>
      </c>
      <c r="J66">
        <f>(1/airplane!$B$48)*(airplane!$B$49*airplane!$B$7/Turns!I66+airplane!$B$46^2*airplane!$B$11*Turns!I66/airplane!$B$49)</f>
        <v>0.14867137587472895</v>
      </c>
      <c r="K66">
        <f>airplane!$B$45*J66/(airplane!$B$9*airplane!$B$10)</f>
        <v>11.220481198092749</v>
      </c>
      <c r="M66">
        <f t="shared" si="3"/>
        <v>105.273</v>
      </c>
      <c r="N66">
        <f t="shared" si="4"/>
        <v>49.908700369116552</v>
      </c>
    </row>
    <row r="67" spans="9:14" x14ac:dyDescent="0.2">
      <c r="I67">
        <f t="shared" si="2"/>
        <v>320</v>
      </c>
      <c r="J67">
        <f>(1/airplane!$B$48)*(airplane!$B$49*airplane!$B$7/Turns!I67+airplane!$B$46^2*airplane!$B$11*Turns!I67/airplane!$B$49)</f>
        <v>0.14809142416903681</v>
      </c>
      <c r="K67">
        <f>airplane!$B$45*J67/(airplane!$B$9*airplane!$B$10)</f>
        <v>11.176711258040513</v>
      </c>
      <c r="M67">
        <f t="shared" si="3"/>
        <v>106.944</v>
      </c>
      <c r="N67">
        <f t="shared" si="4"/>
        <v>49.714011675764205</v>
      </c>
    </row>
    <row r="68" spans="9:14" x14ac:dyDescent="0.2">
      <c r="I68">
        <f t="shared" si="2"/>
        <v>325</v>
      </c>
      <c r="J68">
        <f>(1/airplane!$B$48)*(airplane!$B$49*airplane!$B$7/Turns!I68+airplane!$B$46^2*airplane!$B$11*Turns!I68/airplane!$B$49)</f>
        <v>0.14755634425821645</v>
      </c>
      <c r="K68">
        <f>airplane!$B$45*J68/(airplane!$B$9*airplane!$B$10)</f>
        <v>11.136327868544637</v>
      </c>
      <c r="M68">
        <f t="shared" si="3"/>
        <v>108.61499999999999</v>
      </c>
      <c r="N68">
        <f t="shared" si="4"/>
        <v>49.53438635928655</v>
      </c>
    </row>
    <row r="69" spans="9:14" x14ac:dyDescent="0.2">
      <c r="I69">
        <f t="shared" ref="I69:I132" si="5">I68+5</f>
        <v>330</v>
      </c>
      <c r="J69">
        <f>(1/airplane!$B$48)*(airplane!$B$49*airplane!$B$7/Turns!I69+airplane!$B$46^2*airplane!$B$11*Turns!I69/airplane!$B$49)</f>
        <v>0.14706409651522828</v>
      </c>
      <c r="K69">
        <f>airplane!$B$45*J69/(airplane!$B$9*airplane!$B$10)</f>
        <v>11.099177095488928</v>
      </c>
      <c r="M69">
        <f t="shared" si="3"/>
        <v>110.286</v>
      </c>
      <c r="N69">
        <f t="shared" si="4"/>
        <v>49.369139720734758</v>
      </c>
    </row>
    <row r="70" spans="9:14" x14ac:dyDescent="0.2">
      <c r="I70">
        <f t="shared" si="5"/>
        <v>335</v>
      </c>
      <c r="J70">
        <f>(1/airplane!$B$48)*(airplane!$B$49*airplane!$B$7/Turns!I70+airplane!$B$46^2*airplane!$B$11*Turns!I70/airplane!$B$49)</f>
        <v>0.14661276308181115</v>
      </c>
      <c r="K70">
        <f>airplane!$B$45*J70/(airplane!$B$9*airplane!$B$10)</f>
        <v>11.06511419485367</v>
      </c>
      <c r="M70">
        <f t="shared" si="3"/>
        <v>111.95699999999999</v>
      </c>
      <c r="N70">
        <f t="shared" si="4"/>
        <v>49.217627938709128</v>
      </c>
    </row>
    <row r="71" spans="9:14" x14ac:dyDescent="0.2">
      <c r="I71">
        <f t="shared" si="5"/>
        <v>340</v>
      </c>
      <c r="J71">
        <f>(1/airplane!$B$48)*(airplane!$B$49*airplane!$B$7/Turns!I71+airplane!$B$46^2*airplane!$B$11*Turns!I71/airplane!$B$49)</f>
        <v>0.14620053891489571</v>
      </c>
      <c r="K71">
        <f>airplane!$B$45*J71/(airplane!$B$9*airplane!$B$10)</f>
        <v>11.034002936973261</v>
      </c>
      <c r="M71">
        <f t="shared" si="3"/>
        <v>113.628</v>
      </c>
      <c r="N71">
        <f t="shared" si="4"/>
        <v>49.079245063657069</v>
      </c>
    </row>
    <row r="72" spans="9:14" x14ac:dyDescent="0.2">
      <c r="I72">
        <f t="shared" si="5"/>
        <v>345</v>
      </c>
      <c r="J72">
        <f>(1/airplane!$B$48)*(airplane!$B$49*airplane!$B$7/Turns!I72+airplane!$B$46^2*airplane!$B$11*Turns!I72/airplane!$B$49)</f>
        <v>0.14582572361159063</v>
      </c>
      <c r="K72">
        <f>airplane!$B$45*J72/(airplane!$B$9*airplane!$B$10)</f>
        <v>11.00571498955401</v>
      </c>
      <c r="M72">
        <f t="shared" si="3"/>
        <v>115.29899999999999</v>
      </c>
      <c r="N72">
        <f t="shared" si="4"/>
        <v>48.953420273536238</v>
      </c>
    </row>
    <row r="73" spans="9:14" x14ac:dyDescent="0.2">
      <c r="I73">
        <f t="shared" si="5"/>
        <v>350</v>
      </c>
      <c r="J73">
        <f>(1/airplane!$B$48)*(airplane!$B$49*airplane!$B$7/Turns!I73+airplane!$B$46^2*airplane!$B$11*Turns!I73/airplane!$B$49)</f>
        <v>0.14548671393488399</v>
      </c>
      <c r="K73">
        <f>airplane!$B$45*J73/(airplane!$B$9*airplane!$B$10)</f>
        <v>10.980129353576149</v>
      </c>
      <c r="M73">
        <f t="shared" si="3"/>
        <v>116.97</v>
      </c>
      <c r="N73">
        <f t="shared" si="4"/>
        <v>48.839615364706717</v>
      </c>
    </row>
    <row r="74" spans="9:14" x14ac:dyDescent="0.2">
      <c r="I74">
        <f t="shared" si="5"/>
        <v>355</v>
      </c>
      <c r="J74">
        <f>(1/airplane!$B$48)*(airplane!$B$49*airplane!$B$7/Turns!I74+airplane!$B$46^2*airplane!$B$11*Turns!I74/airplane!$B$49)</f>
        <v>0.14518199697097592</v>
      </c>
      <c r="K74">
        <f>airplane!$B$45*J74/(airplane!$B$9*airplane!$B$10)</f>
        <v>10.957131846866107</v>
      </c>
      <c r="M74">
        <f t="shared" si="3"/>
        <v>118.64100000000001</v>
      </c>
      <c r="N74">
        <f t="shared" si="4"/>
        <v>48.737322454860447</v>
      </c>
    </row>
    <row r="75" spans="9:14" x14ac:dyDescent="0.2">
      <c r="I75">
        <f t="shared" si="5"/>
        <v>360</v>
      </c>
      <c r="J75">
        <f>(1/airplane!$B$48)*(airplane!$B$49*airplane!$B$7/Turns!I75+airplane!$B$46^2*airplane!$B$11*Turns!I75/airplane!$B$49)</f>
        <v>0.1449101438568331</v>
      </c>
      <c r="K75">
        <f>airplane!$B$45*J75/(airplane!$B$9*airplane!$B$10)</f>
        <v>10.936614630704383</v>
      </c>
      <c r="M75">
        <f t="shared" si="3"/>
        <v>120.312</v>
      </c>
      <c r="N75">
        <f t="shared" si="4"/>
        <v>48.6460618773731</v>
      </c>
    </row>
    <row r="76" spans="9:14" x14ac:dyDescent="0.2">
      <c r="I76">
        <f t="shared" si="5"/>
        <v>365</v>
      </c>
      <c r="J76">
        <f>(1/airplane!$B$48)*(airplane!$B$49*airplane!$B$7/Turns!I76+airplane!$B$46^2*airplane!$B$11*Turns!I76/airplane!$B$49)</f>
        <v>0.14466980402328705</v>
      </c>
      <c r="K76">
        <f>airplane!$B$45*J76/(airplane!$B$9*airplane!$B$10)</f>
        <v>10.918475775342417</v>
      </c>
      <c r="M76">
        <f t="shared" si="3"/>
        <v>121.983</v>
      </c>
      <c r="N76">
        <f t="shared" si="4"/>
        <v>48.565380248723073</v>
      </c>
    </row>
    <row r="77" spans="9:14" x14ac:dyDescent="0.2">
      <c r="I77">
        <f t="shared" si="5"/>
        <v>370</v>
      </c>
      <c r="J77">
        <f>(1/airplane!$B$48)*(airplane!$B$49*airplane!$B$7/Turns!I77+airplane!$B$46^2*airplane!$B$11*Turns!I77/airplane!$B$49)</f>
        <v>0.14445969990490826</v>
      </c>
      <c r="K77">
        <f>airplane!$B$45*J77/(airplane!$B$9*airplane!$B$10)</f>
        <v>10.902618860747792</v>
      </c>
      <c r="M77">
        <f t="shared" si="3"/>
        <v>123.654</v>
      </c>
      <c r="N77">
        <f t="shared" si="4"/>
        <v>48.494848692606183</v>
      </c>
    </row>
    <row r="78" spans="9:14" x14ac:dyDescent="0.2">
      <c r="I78">
        <f t="shared" si="5"/>
        <v>375</v>
      </c>
      <c r="J78">
        <f>(1/airplane!$B$48)*(airplane!$B$49*airplane!$B$7/Turns!I78+airplane!$B$46^2*airplane!$B$11*Turns!I78/airplane!$B$49)</f>
        <v>0.14427862207309</v>
      </c>
      <c r="K78">
        <f>airplane!$B$45*J78/(airplane!$B$9*airplane!$B$10)</f>
        <v>10.888952609289811</v>
      </c>
      <c r="M78">
        <f t="shared" ref="M78:M141" si="6">I78*0.3342</f>
        <v>125.325</v>
      </c>
      <c r="N78">
        <f t="shared" ref="N78:N141" si="7">K78*4.448</f>
        <v>48.434061206121086</v>
      </c>
    </row>
    <row r="79" spans="9:14" x14ac:dyDescent="0.2">
      <c r="I79">
        <f t="shared" si="5"/>
        <v>380</v>
      </c>
      <c r="J79">
        <f>(1/airplane!$B$48)*(airplane!$B$49*airplane!$B$7/Turns!I79+airplane!$B$46^2*airplane!$B$11*Turns!I79/airplane!$B$49)</f>
        <v>0.14412542475336279</v>
      </c>
      <c r="K79">
        <f>airplane!$B$45*J79/(airplane!$B$9*airplane!$B$10)</f>
        <v>10.877390547423605</v>
      </c>
      <c r="M79">
        <f t="shared" si="6"/>
        <v>126.996</v>
      </c>
      <c r="N79">
        <f t="shared" si="7"/>
        <v>48.382633154940201</v>
      </c>
    </row>
    <row r="80" spans="9:14" x14ac:dyDescent="0.2">
      <c r="I80">
        <f t="shared" si="5"/>
        <v>385</v>
      </c>
      <c r="J80">
        <f>(1/airplane!$B$48)*(airplane!$B$49*airplane!$B$7/Turns!I80+airplane!$B$46^2*airplane!$B$11*Turns!I80/airplane!$B$49)</f>
        <v>0.14399902169200879</v>
      </c>
      <c r="K80">
        <f>airplane!$B$45*J80/(airplane!$B$9*airplane!$B$10)</f>
        <v>10.867850693736512</v>
      </c>
      <c r="M80">
        <f t="shared" si="6"/>
        <v>128.667</v>
      </c>
      <c r="N80">
        <f t="shared" si="7"/>
        <v>48.340199885740013</v>
      </c>
    </row>
    <row r="81" spans="9:14" x14ac:dyDescent="0.2">
      <c r="I81">
        <f t="shared" si="5"/>
        <v>390</v>
      </c>
      <c r="J81">
        <f>(1/airplane!$B$48)*(airplane!$B$49*airplane!$B$7/Turns!I81+airplane!$B$46^2*airplane!$B$11*Turns!I81/airplane!$B$49)</f>
        <v>0.14389838234062899</v>
      </c>
      <c r="K81">
        <f>airplane!$B$45*J81/(airplane!$B$9*airplane!$B$10)</f>
        <v>10.860255270990868</v>
      </c>
      <c r="M81">
        <f t="shared" si="6"/>
        <v>130.33799999999999</v>
      </c>
      <c r="N81">
        <f t="shared" si="7"/>
        <v>48.306415445367385</v>
      </c>
    </row>
    <row r="82" spans="9:14" x14ac:dyDescent="0.2">
      <c r="I82">
        <f t="shared" si="5"/>
        <v>395</v>
      </c>
      <c r="J82">
        <f>(1/airplane!$B$48)*(airplane!$B$49*airplane!$B$7/Turns!I82+airplane!$B$46^2*airplane!$B$11*Turns!I82/airplane!$B$49)</f>
        <v>0.14382252833049025</v>
      </c>
      <c r="K82">
        <f>airplane!$B$45*J82/(airplane!$B$9*airplane!$B$10)</f>
        <v>10.854530440036999</v>
      </c>
      <c r="M82">
        <f t="shared" si="6"/>
        <v>132.00899999999999</v>
      </c>
      <c r="N82">
        <f t="shared" si="7"/>
        <v>48.280951397284575</v>
      </c>
    </row>
    <row r="83" spans="9:14" x14ac:dyDescent="0.2">
      <c r="I83">
        <f t="shared" si="5"/>
        <v>400</v>
      </c>
      <c r="J83">
        <f>(1/airplane!$B$48)*(airplane!$B$49*airplane!$B$7/Turns!I83+airplane!$B$46^2*airplane!$B$11*Turns!I83/airplane!$B$49)</f>
        <v>0.14377053021129599</v>
      </c>
      <c r="K83">
        <f>airplane!$B$45*J83/(airplane!$B$9*airplane!$B$10)</f>
        <v>10.850606053682714</v>
      </c>
      <c r="M83">
        <f t="shared" si="6"/>
        <v>133.68</v>
      </c>
      <c r="N83">
        <f t="shared" si="7"/>
        <v>48.263495726780718</v>
      </c>
    </row>
    <row r="84" spans="9:14" x14ac:dyDescent="0.2">
      <c r="I84">
        <f t="shared" si="5"/>
        <v>405</v>
      </c>
      <c r="J84">
        <f>(1/airplane!$B$48)*(airplane!$B$49*airplane!$B$7/Turns!I84+airplane!$B$46^2*airplane!$B$11*Turns!I84/airplane!$B$49)</f>
        <v>0.14374150443152978</v>
      </c>
      <c r="K84">
        <f>airplane!$B$45*J84/(airplane!$B$9*airplane!$B$10)</f>
        <v>10.8484154287947</v>
      </c>
      <c r="M84">
        <f t="shared" si="6"/>
        <v>135.351</v>
      </c>
      <c r="N84">
        <f t="shared" si="7"/>
        <v>48.253751827278833</v>
      </c>
    </row>
    <row r="85" spans="9:14" x14ac:dyDescent="0.2">
      <c r="I85">
        <f t="shared" si="5"/>
        <v>410</v>
      </c>
      <c r="J85">
        <f>(1/airplane!$B$48)*(airplane!$B$49*airplane!$B$7/Turns!I85+airplane!$B$46^2*airplane!$B$11*Turns!I85/airplane!$B$49)</f>
        <v>0.14373461053974915</v>
      </c>
      <c r="K85">
        <f>airplane!$B$45*J85/(airplane!$B$9*airplane!$B$10)</f>
        <v>10.847895135075406</v>
      </c>
      <c r="M85">
        <f t="shared" si="6"/>
        <v>137.02199999999999</v>
      </c>
      <c r="N85">
        <f t="shared" si="7"/>
        <v>48.251437560815411</v>
      </c>
    </row>
    <row r="86" spans="9:14" x14ac:dyDescent="0.2">
      <c r="I86">
        <f t="shared" si="5"/>
        <v>415</v>
      </c>
      <c r="J86">
        <f>(1/airplane!$B$48)*(airplane!$B$49*airplane!$B$7/Turns!I86+airplane!$B$46^2*airplane!$B$11*Turns!I86/airplane!$B$49)</f>
        <v>0.14374904858819551</v>
      </c>
      <c r="K86">
        <f>airplane!$B$45*J86/(airplane!$B$9*airplane!$B$10)</f>
        <v>10.848984799109093</v>
      </c>
      <c r="M86">
        <f t="shared" si="6"/>
        <v>138.69300000000001</v>
      </c>
      <c r="N86">
        <f t="shared" si="7"/>
        <v>48.256284386437251</v>
      </c>
    </row>
    <row r="87" spans="9:14" x14ac:dyDescent="0.2">
      <c r="I87">
        <f t="shared" si="5"/>
        <v>420</v>
      </c>
      <c r="J87">
        <f>(1/airplane!$B$48)*(airplane!$B$49*airplane!$B$7/Turns!I87+airplane!$B$46^2*airplane!$B$11*Turns!I87/airplane!$B$49)</f>
        <v>0.14378405672186081</v>
      </c>
      <c r="K87">
        <f>airplane!$B$45*J87/(airplane!$B$9*airplane!$B$10)</f>
        <v>10.85162692240459</v>
      </c>
      <c r="M87">
        <f t="shared" si="6"/>
        <v>140.364</v>
      </c>
      <c r="N87">
        <f t="shared" si="7"/>
        <v>48.268036550855619</v>
      </c>
    </row>
    <row r="88" spans="9:14" x14ac:dyDescent="0.2">
      <c r="I88">
        <f t="shared" si="5"/>
        <v>425</v>
      </c>
      <c r="J88">
        <f>(1/airplane!$B$48)*(airplane!$B$49*airplane!$B$7/Turns!I88+airplane!$B$46^2*airplane!$B$11*Turns!I88/airplane!$B$49)</f>
        <v>0.14383890893773732</v>
      </c>
      <c r="K88">
        <f>airplane!$B$45*J88/(airplane!$B$9*airplane!$B$10)</f>
        <v>10.855766712282062</v>
      </c>
      <c r="M88">
        <f t="shared" si="6"/>
        <v>142.035</v>
      </c>
      <c r="N88">
        <f t="shared" si="7"/>
        <v>48.286450336230615</v>
      </c>
    </row>
    <row r="89" spans="9:14" x14ac:dyDescent="0.2">
      <c r="I89">
        <f t="shared" si="5"/>
        <v>430</v>
      </c>
      <c r="J89">
        <f>(1/airplane!$B$48)*(airplane!$B$49*airplane!$B$7/Turns!I89+airplane!$B$46^2*airplane!$B$11*Turns!I89/airplane!$B$49)</f>
        <v>0.14391291300039905</v>
      </c>
      <c r="K89">
        <f>airplane!$B$45*J89/(airplane!$B$9*airplane!$B$10)</f>
        <v>10.861351924558418</v>
      </c>
      <c r="M89">
        <f t="shared" si="6"/>
        <v>143.70599999999999</v>
      </c>
      <c r="N89">
        <f t="shared" si="7"/>
        <v>48.311293360435847</v>
      </c>
    </row>
    <row r="90" spans="9:14" x14ac:dyDescent="0.2">
      <c r="I90">
        <f t="shared" si="5"/>
        <v>435</v>
      </c>
      <c r="J90">
        <f>(1/airplane!$B$48)*(airplane!$B$49*airplane!$B$7/Turns!I90+airplane!$B$46^2*airplane!$B$11*Turns!I90/airplane!$B$49)</f>
        <v>0.14400540850133614</v>
      </c>
      <c r="K90">
        <f>airplane!$B$45*J90/(airplane!$B$9*airplane!$B$10)</f>
        <v>10.868332717081973</v>
      </c>
      <c r="M90">
        <f t="shared" si="6"/>
        <v>145.37700000000001</v>
      </c>
      <c r="N90">
        <f t="shared" si="7"/>
        <v>48.342343925580622</v>
      </c>
    </row>
    <row r="91" spans="9:14" x14ac:dyDescent="0.2">
      <c r="I91">
        <f t="shared" si="5"/>
        <v>440</v>
      </c>
      <c r="J91">
        <f>(1/airplane!$B$48)*(airplane!$B$49*airplane!$B$7/Turns!I91+airplane!$B$46^2*airplane!$B$11*Turns!I91/airplane!$B$49)</f>
        <v>0.14411576505060741</v>
      </c>
      <c r="K91">
        <f>airplane!$B$45*J91/(airplane!$B$9*airplane!$B$10)</f>
        <v>10.876661513253389</v>
      </c>
      <c r="M91">
        <f t="shared" si="6"/>
        <v>147.048</v>
      </c>
      <c r="N91">
        <f t="shared" si="7"/>
        <v>48.379390410951075</v>
      </c>
    </row>
    <row r="92" spans="9:14" x14ac:dyDescent="0.2">
      <c r="I92">
        <f t="shared" si="5"/>
        <v>445</v>
      </c>
      <c r="J92">
        <f>(1/airplane!$B$48)*(airplane!$B$49*airplane!$B$7/Turns!I92+airplane!$B$46^2*airplane!$B$11*Turns!I92/airplane!$B$49)</f>
        <v>0.14424338059040387</v>
      </c>
      <c r="K92">
        <f>airplane!$B$45*J92/(airplane!$B$9*airplane!$B$10)</f>
        <v>10.886292874747461</v>
      </c>
      <c r="M92">
        <f t="shared" si="6"/>
        <v>148.71899999999999</v>
      </c>
      <c r="N92">
        <f t="shared" si="7"/>
        <v>48.422230706876711</v>
      </c>
    </row>
    <row r="93" spans="9:14" x14ac:dyDescent="0.2">
      <c r="I93">
        <f t="shared" si="5"/>
        <v>450</v>
      </c>
      <c r="J93">
        <f>(1/airplane!$B$48)*(airplane!$B$49*airplane!$B$7/Turns!I93+airplane!$B$46^2*airplane!$B$11*Turns!I93/airplane!$B$49)</f>
        <v>0.14438767982104134</v>
      </c>
      <c r="K93">
        <f>airplane!$B$45*J93/(airplane!$B$9*airplane!$B$10)</f>
        <v>10.897183382720099</v>
      </c>
      <c r="M93">
        <f t="shared" si="6"/>
        <v>150.38999999999999</v>
      </c>
      <c r="N93">
        <f t="shared" si="7"/>
        <v>48.470671686339003</v>
      </c>
    </row>
    <row r="94" spans="9:14" x14ac:dyDescent="0.2">
      <c r="I94">
        <f t="shared" si="5"/>
        <v>455</v>
      </c>
      <c r="J94">
        <f>(1/airplane!$B$48)*(airplane!$B$49*airplane!$B$7/Turns!I94+airplane!$B$46^2*airplane!$B$11*Turns!I94/airplane!$B$49)</f>
        <v>0.14454811273073381</v>
      </c>
      <c r="K94">
        <f>airplane!$B$45*J94/(airplane!$B$9*airplane!$B$10)</f>
        <v>10.909291526847834</v>
      </c>
      <c r="M94">
        <f t="shared" si="6"/>
        <v>152.06100000000001</v>
      </c>
      <c r="N94">
        <f t="shared" si="7"/>
        <v>48.524528711419173</v>
      </c>
    </row>
    <row r="95" spans="9:14" x14ac:dyDescent="0.2">
      <c r="I95">
        <f t="shared" si="5"/>
        <v>460</v>
      </c>
      <c r="J95">
        <f>(1/airplane!$B$48)*(airplane!$B$49*airplane!$B$7/Turns!I95+airplane!$B$46^2*airplane!$B$11*Turns!I95/airplane!$B$49)</f>
        <v>0.14472415322125129</v>
      </c>
      <c r="K95">
        <f>airplane!$B$45*J95/(airplane!$B$9*airplane!$B$10)</f>
        <v>10.922577601603871</v>
      </c>
      <c r="M95">
        <f t="shared" si="6"/>
        <v>153.732</v>
      </c>
      <c r="N95">
        <f t="shared" si="7"/>
        <v>48.583625171934024</v>
      </c>
    </row>
    <row r="96" spans="9:14" x14ac:dyDescent="0.2">
      <c r="I96">
        <f t="shared" si="5"/>
        <v>465</v>
      </c>
      <c r="J96">
        <f>(1/airplane!$B$48)*(airplane!$B$49*airplane!$B$7/Turns!I96+airplane!$B$46^2*airplane!$B$11*Turns!I96/airplane!$B$49)</f>
        <v>0.14491529782224452</v>
      </c>
      <c r="K96">
        <f>airplane!$B$45*J96/(airplane!$B$9*airplane!$B$10)</f>
        <v>10.937003609226002</v>
      </c>
      <c r="M96">
        <f t="shared" si="6"/>
        <v>155.40299999999999</v>
      </c>
      <c r="N96">
        <f t="shared" si="7"/>
        <v>48.647792053837264</v>
      </c>
    </row>
    <row r="97" spans="9:14" x14ac:dyDescent="0.2">
      <c r="I97">
        <f t="shared" si="5"/>
        <v>470</v>
      </c>
      <c r="J97">
        <f>(1/airplane!$B$48)*(airplane!$B$49*airplane!$B$7/Turns!I97+airplane!$B$46^2*airplane!$B$11*Turns!I97/airplane!$B$49)</f>
        <v>0.14512106448763451</v>
      </c>
      <c r="K97">
        <f>airplane!$B$45*J97/(airplane!$B$9*airplane!$B$10)</f>
        <v>10.952533168878075</v>
      </c>
      <c r="M97">
        <f t="shared" si="6"/>
        <v>157.07400000000001</v>
      </c>
      <c r="N97">
        <f t="shared" si="7"/>
        <v>48.716867535169683</v>
      </c>
    </row>
    <row r="98" spans="9:14" x14ac:dyDescent="0.2">
      <c r="I98">
        <f t="shared" si="5"/>
        <v>475</v>
      </c>
      <c r="J98">
        <f>(1/airplane!$B$48)*(airplane!$B$49*airplane!$B$7/Turns!I98+airplane!$B$46^2*airplane!$B$11*Turns!I98/airplane!$B$49)</f>
        <v>0.14534099146801926</v>
      </c>
      <c r="K98">
        <f>airplane!$B$45*J98/(airplane!$B$9*airplane!$B$10)</f>
        <v>10.969131431548623</v>
      </c>
      <c r="M98">
        <f t="shared" si="6"/>
        <v>158.745</v>
      </c>
      <c r="N98">
        <f t="shared" si="7"/>
        <v>48.790696607528282</v>
      </c>
    </row>
    <row r="99" spans="9:14" x14ac:dyDescent="0.2">
      <c r="I99">
        <f t="shared" si="5"/>
        <v>480</v>
      </c>
      <c r="J99">
        <f>(1/airplane!$B$48)*(airplane!$B$49*airplane!$B$7/Turns!I99+airplane!$B$46^2*airplane!$B$11*Turns!I99/airplane!$B$49)</f>
        <v>0.14557463625355521</v>
      </c>
      <c r="K99">
        <f>airplane!$B$45*J99/(airplane!$B$9*airplane!$B$10)</f>
        <v>10.986765000268319</v>
      </c>
      <c r="M99">
        <f t="shared" si="6"/>
        <v>160.416</v>
      </c>
      <c r="N99">
        <f t="shared" si="7"/>
        <v>48.869130721193486</v>
      </c>
    </row>
    <row r="100" spans="9:14" x14ac:dyDescent="0.2">
      <c r="I100">
        <f t="shared" si="5"/>
        <v>485</v>
      </c>
      <c r="J100">
        <f>(1/airplane!$B$48)*(airplane!$B$49*airplane!$B$7/Turns!I100+airplane!$B$46^2*airplane!$B$11*Turns!I100/airplane!$B$49)</f>
        <v>0.14582157458222733</v>
      </c>
      <c r="K100">
        <f>airplane!$B$45*J100/(airplane!$B$9*airplane!$B$10)</f>
        <v>11.00540185526244</v>
      </c>
      <c r="M100">
        <f t="shared" si="6"/>
        <v>162.08699999999999</v>
      </c>
      <c r="N100">
        <f t="shared" si="7"/>
        <v>48.952027452207332</v>
      </c>
    </row>
    <row r="101" spans="9:14" x14ac:dyDescent="0.2">
      <c r="I101">
        <f t="shared" si="5"/>
        <v>490</v>
      </c>
      <c r="J101">
        <f>(1/airplane!$B$48)*(airplane!$B$49*airplane!$B$7/Turns!I101+airplane!$B$46^2*airplane!$B$11*Turns!I101/airplane!$B$49)</f>
        <v>0.14608139950883761</v>
      </c>
      <c r="K101">
        <f>airplane!$B$45*J101/(airplane!$B$9*airplane!$B$10)</f>
        <v>11.025011283685856</v>
      </c>
      <c r="M101">
        <f t="shared" si="6"/>
        <v>163.75800000000001</v>
      </c>
      <c r="N101">
        <f t="shared" si="7"/>
        <v>49.039250189834696</v>
      </c>
    </row>
    <row r="102" spans="9:14" x14ac:dyDescent="0.2">
      <c r="I102">
        <f t="shared" si="5"/>
        <v>495</v>
      </c>
      <c r="J102">
        <f>(1/airplane!$B$48)*(airplane!$B$49*airplane!$B$7/Turns!I102+airplane!$B$46^2*airplane!$B$11*Turns!I102/airplane!$B$49)</f>
        <v>0.14635372053041823</v>
      </c>
      <c r="K102">
        <f>airplane!$B$45*J102/(airplane!$B$9*airplane!$B$10)</f>
        <v>11.045563813616468</v>
      </c>
      <c r="M102">
        <f t="shared" si="6"/>
        <v>165.429</v>
      </c>
      <c r="N102">
        <f t="shared" si="7"/>
        <v>49.130667842966055</v>
      </c>
    </row>
    <row r="103" spans="9:14" x14ac:dyDescent="0.2">
      <c r="I103">
        <f t="shared" si="5"/>
        <v>500</v>
      </c>
      <c r="J103">
        <f>(1/airplane!$B$48)*(airplane!$B$49*airplane!$B$7/Turns!I103+airplane!$B$46^2*airplane!$B$11*Turns!I103/airplane!$B$49)</f>
        <v>0.14663816276412001</v>
      </c>
      <c r="K103">
        <f>airplane!$B$45*J103/(airplane!$B$9*airplane!$B$10)</f>
        <v>11.067031152009056</v>
      </c>
      <c r="M103">
        <f t="shared" si="6"/>
        <v>167.1</v>
      </c>
      <c r="N103">
        <f t="shared" si="7"/>
        <v>49.226154564136287</v>
      </c>
    </row>
    <row r="104" spans="9:14" x14ac:dyDescent="0.2">
      <c r="I104">
        <f t="shared" si="5"/>
        <v>505</v>
      </c>
      <c r="J104">
        <f>(1/airplane!$B$48)*(airplane!$B$49*airplane!$B$7/Turns!I104+airplane!$B$46^2*airplane!$B$11*Turns!I104/airplane!$B$49)</f>
        <v>0.14693436617393943</v>
      </c>
      <c r="K104">
        <f>airplane!$B$45*J104/(airplane!$B$9*airplane!$B$10)</f>
        <v>11.08938612633505</v>
      </c>
      <c r="M104">
        <f t="shared" si="6"/>
        <v>168.77099999999999</v>
      </c>
      <c r="N104">
        <f t="shared" si="7"/>
        <v>49.325589489938309</v>
      </c>
    </row>
    <row r="105" spans="9:14" x14ac:dyDescent="0.2">
      <c r="I105">
        <f t="shared" si="5"/>
        <v>510</v>
      </c>
      <c r="J105">
        <f>(1/airplane!$B$48)*(airplane!$B$49*airplane!$B$7/Turns!I105+airplane!$B$46^2*airplane!$B$11*Turns!I105/airplane!$B$49)</f>
        <v>0.14724198484293183</v>
      </c>
      <c r="K105">
        <f>airplane!$B$45*J105/(airplane!$B$9*airplane!$B$10)</f>
        <v>11.112602629655232</v>
      </c>
      <c r="M105">
        <f t="shared" si="6"/>
        <v>170.44200000000001</v>
      </c>
      <c r="N105">
        <f t="shared" si="7"/>
        <v>49.428856496706473</v>
      </c>
    </row>
    <row r="106" spans="9:14" x14ac:dyDescent="0.2">
      <c r="I106">
        <f t="shared" si="5"/>
        <v>515</v>
      </c>
      <c r="J106">
        <f>(1/airplane!$B$48)*(airplane!$B$49*airplane!$B$7/Turns!I106+airplane!$B$46^2*airplane!$B$11*Turns!I106/airplane!$B$49)</f>
        <v>0.14756068628782032</v>
      </c>
      <c r="K106">
        <f>airplane!$B$45*J106/(airplane!$B$9*airplane!$B$10)</f>
        <v>11.136655568892099</v>
      </c>
      <c r="M106">
        <f t="shared" si="6"/>
        <v>172.113</v>
      </c>
      <c r="N106">
        <f t="shared" si="7"/>
        <v>49.535843970432062</v>
      </c>
    </row>
    <row r="107" spans="9:14" x14ac:dyDescent="0.2">
      <c r="I107">
        <f t="shared" si="5"/>
        <v>520</v>
      </c>
      <c r="J107">
        <f>(1/airplane!$B$48)*(airplane!$B$49*airplane!$B$7/Turns!I107+airplane!$B$46^2*airplane!$B$11*Turns!I107/airplane!$B$49)</f>
        <v>0.14789015081314635</v>
      </c>
      <c r="K107">
        <f>airplane!$B$45*J107/(airplane!$B$9*airplane!$B$10)</f>
        <v>11.161520816086517</v>
      </c>
      <c r="M107">
        <f t="shared" si="6"/>
        <v>173.78399999999999</v>
      </c>
      <c r="N107">
        <f t="shared" si="7"/>
        <v>49.646444589952829</v>
      </c>
    </row>
    <row r="108" spans="9:14" x14ac:dyDescent="0.2">
      <c r="I108">
        <f t="shared" si="5"/>
        <v>525</v>
      </c>
      <c r="J108">
        <f>(1/airplane!$B$48)*(airplane!$B$49*airplane!$B$7/Turns!I108+airplane!$B$46^2*airplane!$B$11*Turns!I108/airplane!$B$49)</f>
        <v>0.14823007090232601</v>
      </c>
      <c r="K108">
        <f>airplane!$B$45*J108/(airplane!$B$9*airplane!$B$10)</f>
        <v>11.187175162439697</v>
      </c>
      <c r="M108">
        <f t="shared" si="6"/>
        <v>175.45500000000001</v>
      </c>
      <c r="N108">
        <f t="shared" si="7"/>
        <v>49.760555122531777</v>
      </c>
    </row>
    <row r="109" spans="9:14" x14ac:dyDescent="0.2">
      <c r="I109">
        <f t="shared" si="5"/>
        <v>530</v>
      </c>
      <c r="J109">
        <f>(1/airplane!$B$48)*(airplane!$B$49*airplane!$B$7/Turns!I109+airplane!$B$46^2*airplane!$B$11*Turns!I109/airplane!$B$49)</f>
        <v>0.14858015064317476</v>
      </c>
      <c r="K109">
        <f>airplane!$B$45*J109/(airplane!$B$9*airplane!$B$10)</f>
        <v>11.213596274956585</v>
      </c>
      <c r="M109">
        <f t="shared" si="6"/>
        <v>177.126</v>
      </c>
      <c r="N109">
        <f t="shared" si="7"/>
        <v>49.878076231006894</v>
      </c>
    </row>
    <row r="110" spans="9:14" x14ac:dyDescent="0.2">
      <c r="I110">
        <f t="shared" si="5"/>
        <v>535</v>
      </c>
      <c r="J110">
        <f>(1/airplane!$B$48)*(airplane!$B$49*airplane!$B$7/Turns!I110+airplane!$B$46^2*airplane!$B$11*Turns!I110/airplane!$B$49)</f>
        <v>0.14894010518564582</v>
      </c>
      <c r="K110">
        <f>airplane!$B$45*J110/(airplane!$B$9*airplane!$B$10)</f>
        <v>11.240762655520438</v>
      </c>
      <c r="M110">
        <f t="shared" si="6"/>
        <v>178.797</v>
      </c>
      <c r="N110">
        <f t="shared" si="7"/>
        <v>49.998912291754912</v>
      </c>
    </row>
    <row r="111" spans="9:14" x14ac:dyDescent="0.2">
      <c r="I111">
        <f t="shared" si="5"/>
        <v>540</v>
      </c>
      <c r="J111">
        <f>(1/airplane!$B$48)*(airplane!$B$49*airplane!$B$7/Turns!I111+airplane!$B$46^2*airplane!$B$11*Turns!I111/airplane!$B$49)</f>
        <v>0.14930966022969405</v>
      </c>
      <c r="K111">
        <f>airplane!$B$45*J111/(airplane!$B$9*airplane!$B$10)</f>
        <v>11.268653602241059</v>
      </c>
      <c r="M111">
        <f t="shared" si="6"/>
        <v>180.46799999999999</v>
      </c>
      <c r="N111">
        <f t="shared" si="7"/>
        <v>50.122971222768236</v>
      </c>
    </row>
    <row r="112" spans="9:14" x14ac:dyDescent="0.2">
      <c r="I112">
        <f t="shared" si="5"/>
        <v>545</v>
      </c>
      <c r="J112">
        <f>(1/airplane!$B$48)*(airplane!$B$49*airplane!$B$7/Turns!I112+airplane!$B$46^2*airplane!$B$11*Turns!I112/airplane!$B$49)</f>
        <v>0.14968855154133118</v>
      </c>
      <c r="K112">
        <f>airplane!$B$45*J112/(airplane!$B$9*airplane!$B$10)</f>
        <v>11.297249172930655</v>
      </c>
      <c r="M112">
        <f t="shared" si="6"/>
        <v>182.13900000000001</v>
      </c>
      <c r="N112">
        <f t="shared" si="7"/>
        <v>50.250164321195562</v>
      </c>
    </row>
    <row r="113" spans="9:14" x14ac:dyDescent="0.2">
      <c r="I113">
        <f t="shared" si="5"/>
        <v>550</v>
      </c>
      <c r="J113">
        <f>(1/airplane!$B$48)*(airplane!$B$49*airplane!$B$7/Turns!I113+airplane!$B$46^2*airplane!$B$11*Turns!I113/airplane!$B$49)</f>
        <v>0.15007652449507747</v>
      </c>
      <c r="K113">
        <f>airplane!$B$45*J113/(airplane!$B$9*airplane!$B$10)</f>
        <v>11.326530150571884</v>
      </c>
      <c r="M113">
        <f t="shared" si="6"/>
        <v>183.81</v>
      </c>
      <c r="N113">
        <f t="shared" si="7"/>
        <v>50.380406109743745</v>
      </c>
    </row>
    <row r="114" spans="9:14" x14ac:dyDescent="0.2">
      <c r="I114">
        <f t="shared" si="5"/>
        <v>555</v>
      </c>
      <c r="J114">
        <f>(1/airplane!$B$48)*(airplane!$B$49*airplane!$B$7/Turns!I114+airplane!$B$46^2*airplane!$B$11*Turns!I114/airplane!$B$49)</f>
        <v>0.15047333364114618</v>
      </c>
      <c r="K114">
        <f>airplane!$B$45*J114/(airplane!$B$9*airplane!$B$10)</f>
        <v>11.356478010652541</v>
      </c>
      <c r="M114">
        <f t="shared" si="6"/>
        <v>185.48099999999999</v>
      </c>
      <c r="N114">
        <f t="shared" si="7"/>
        <v>50.513614191382509</v>
      </c>
    </row>
    <row r="115" spans="9:14" x14ac:dyDescent="0.2">
      <c r="I115">
        <f t="shared" si="5"/>
        <v>560</v>
      </c>
      <c r="J115">
        <f>(1/airplane!$B$48)*(airplane!$B$49*airplane!$B$7/Turns!I115+airplane!$B$46^2*airplane!$B$11*Turns!I115/airplane!$B$49)</f>
        <v>0.15087874229581441</v>
      </c>
      <c r="K115">
        <f>airplane!$B$45*J115/(airplane!$B$9*airplane!$B$10)</f>
        <v>11.387074890250144</v>
      </c>
      <c r="M115">
        <f t="shared" si="6"/>
        <v>187.15199999999999</v>
      </c>
      <c r="N115">
        <f t="shared" si="7"/>
        <v>50.649709111832642</v>
      </c>
    </row>
    <row r="116" spans="9:14" x14ac:dyDescent="0.2">
      <c r="I116">
        <f t="shared" si="5"/>
        <v>565</v>
      </c>
      <c r="J116">
        <f>(1/airplane!$B$48)*(airplane!$B$49*airplane!$B$7/Turns!I116+airplane!$B$46^2*airplane!$B$11*Turns!I116/airplane!$B$49)</f>
        <v>0.15129252215354411</v>
      </c>
      <c r="K116">
        <f>airplane!$B$45*J116/(airplane!$B$9*airplane!$B$10)</f>
        <v>11.418303558758046</v>
      </c>
      <c r="M116">
        <f t="shared" si="6"/>
        <v>188.82300000000001</v>
      </c>
      <c r="N116">
        <f t="shared" si="7"/>
        <v>50.788614229355794</v>
      </c>
    </row>
    <row r="117" spans="9:14" x14ac:dyDescent="0.2">
      <c r="I117">
        <f t="shared" si="5"/>
        <v>570</v>
      </c>
      <c r="J117">
        <f>(1/airplane!$B$48)*(airplane!$B$49*airplane!$B$7/Turns!I117+airplane!$B$46^2*airplane!$B$11*Turns!I117/airplane!$B$49)</f>
        <v>0.15171445291951785</v>
      </c>
      <c r="K117">
        <f>airplane!$B$45*J117/(airplane!$B$9*airplane!$B$10)</f>
        <v>11.450147390152289</v>
      </c>
      <c r="M117">
        <f t="shared" si="6"/>
        <v>190.494</v>
      </c>
      <c r="N117">
        <f t="shared" si="7"/>
        <v>50.930255591397383</v>
      </c>
    </row>
    <row r="118" spans="9:14" x14ac:dyDescent="0.2">
      <c r="I118">
        <f t="shared" si="5"/>
        <v>575</v>
      </c>
      <c r="J118">
        <f>(1/airplane!$B$48)*(airplane!$B$49*airplane!$B$7/Turns!I118+airplane!$B$46^2*airplane!$B$11*Turns!I118/airplane!$B$49)</f>
        <v>0.1521443219613467</v>
      </c>
      <c r="K118">
        <f>airplane!$B$45*J118/(airplane!$B$9*airplane!$B$10)</f>
        <v>11.482590336705412</v>
      </c>
      <c r="M118">
        <f t="shared" si="6"/>
        <v>192.16499999999999</v>
      </c>
      <c r="N118">
        <f t="shared" si="7"/>
        <v>51.074561817665675</v>
      </c>
    </row>
    <row r="119" spans="9:14" x14ac:dyDescent="0.2">
      <c r="I119">
        <f t="shared" si="5"/>
        <v>580</v>
      </c>
      <c r="J119">
        <f>(1/airplane!$B$48)*(airplane!$B$49*airplane!$B$7/Turns!I119+airplane!$B$46^2*airplane!$B$11*Turns!I119/airplane!$B$49)</f>
        <v>0.152581923978793</v>
      </c>
      <c r="K119">
        <f>airplane!$B$45*J119/(airplane!$B$9*airplane!$B$10)</f>
        <v>11.515616904059849</v>
      </c>
      <c r="M119">
        <f t="shared" si="6"/>
        <v>193.83599999999998</v>
      </c>
      <c r="N119">
        <f t="shared" si="7"/>
        <v>51.221463989258211</v>
      </c>
    </row>
    <row r="120" spans="9:14" x14ac:dyDescent="0.2">
      <c r="I120">
        <f t="shared" si="5"/>
        <v>585</v>
      </c>
      <c r="J120">
        <f>(1/airplane!$B$48)*(airplane!$B$49*airplane!$B$7/Turns!I120+airplane!$B$46^2*airplane!$B$11*Turns!I120/airplane!$B$49)</f>
        <v>0.15302706069043068</v>
      </c>
      <c r="K120">
        <f>airplane!$B$45*J120/(airplane!$B$9*airplane!$B$10)</f>
        <v>11.549212127579674</v>
      </c>
      <c r="M120">
        <f t="shared" si="6"/>
        <v>195.50700000000001</v>
      </c>
      <c r="N120">
        <f t="shared" si="7"/>
        <v>51.37089554347439</v>
      </c>
    </row>
    <row r="121" spans="9:14" x14ac:dyDescent="0.2">
      <c r="I121">
        <f t="shared" si="5"/>
        <v>590</v>
      </c>
      <c r="J121">
        <f>(1/airplane!$B$48)*(airplane!$B$49*airplane!$B$7/Turns!I121+airplane!$B$46^2*airplane!$B$11*Turns!I121/airplane!$B$49)</f>
        <v>0.15347954053623789</v>
      </c>
      <c r="K121">
        <f>airplane!$B$45*J121/(airplane!$B$9*airplane!$B$10)</f>
        <v>11.583361549904746</v>
      </c>
      <c r="M121">
        <f t="shared" si="6"/>
        <v>197.178</v>
      </c>
      <c r="N121">
        <f t="shared" si="7"/>
        <v>51.522792173976313</v>
      </c>
    </row>
    <row r="122" spans="9:14" x14ac:dyDescent="0.2">
      <c r="I122">
        <f t="shared" si="5"/>
        <v>595</v>
      </c>
      <c r="J122">
        <f>(1/airplane!$B$48)*(airplane!$B$49*airplane!$B$7/Turns!I122+airplane!$B$46^2*airplane!$B$11*Turns!I122/airplane!$B$49)</f>
        <v>0.15393917839518517</v>
      </c>
      <c r="K122">
        <f>airplane!$B$45*J122/(airplane!$B$9*airplane!$B$10)</f>
        <v>11.618051199636616</v>
      </c>
      <c r="M122">
        <f t="shared" si="6"/>
        <v>198.84899999999999</v>
      </c>
      <c r="N122">
        <f t="shared" si="7"/>
        <v>51.677091735983673</v>
      </c>
    </row>
    <row r="123" spans="9:14" x14ac:dyDescent="0.2">
      <c r="I123">
        <f t="shared" si="5"/>
        <v>600</v>
      </c>
      <c r="J123">
        <f>(1/airplane!$B$48)*(airplane!$B$49*airplane!$B$7/Turns!I123+airplane!$B$46^2*airplane!$B$11*Turns!I123/airplane!$B$49)</f>
        <v>0.15440579531694401</v>
      </c>
      <c r="K123">
        <f>airplane!$B$45*J123/(airplane!$B$9*airplane!$B$10)</f>
        <v>11.653267571090113</v>
      </c>
      <c r="M123">
        <f t="shared" si="6"/>
        <v>200.52</v>
      </c>
      <c r="N123">
        <f t="shared" si="7"/>
        <v>51.833734156208827</v>
      </c>
    </row>
    <row r="124" spans="9:14" x14ac:dyDescent="0.2">
      <c r="I124">
        <f t="shared" si="5"/>
        <v>605</v>
      </c>
      <c r="J124">
        <f>(1/airplane!$B$48)*(airplane!$B$49*airplane!$B$7/Turns!I124+airplane!$B$46^2*airplane!$B$11*Turns!I124/airplane!$B$49)</f>
        <v>0.15487921826689927</v>
      </c>
      <c r="K124">
        <f>airplane!$B$45*J124/(airplane!$B$9*airplane!$B$10)</f>
        <v>11.688997605049</v>
      </c>
      <c r="M124">
        <f t="shared" si="6"/>
        <v>202.191</v>
      </c>
      <c r="N124">
        <f t="shared" si="7"/>
        <v>51.992661347257958</v>
      </c>
    </row>
    <row r="125" spans="9:14" x14ac:dyDescent="0.2">
      <c r="I125">
        <f t="shared" si="5"/>
        <v>610</v>
      </c>
      <c r="J125">
        <f>(1/airplane!$B$48)*(airplane!$B$49*airplane!$B$7/Turns!I125+airplane!$B$46^2*airplane!$B$11*Turns!I125/airplane!$B$49)</f>
        <v>0.1553592798837018</v>
      </c>
      <c r="K125">
        <f>airplane!$B$45*J125/(airplane!$B$9*airplane!$B$10)</f>
        <v>11.725228670468059</v>
      </c>
      <c r="M125">
        <f t="shared" si="6"/>
        <v>203.86199999999999</v>
      </c>
      <c r="N125">
        <f t="shared" si="7"/>
        <v>52.153817126241933</v>
      </c>
    </row>
    <row r="126" spans="9:14" x14ac:dyDescent="0.2">
      <c r="I126">
        <f t="shared" si="5"/>
        <v>615</v>
      </c>
      <c r="J126">
        <f>(1/airplane!$B$48)*(airplane!$B$49*airplane!$B$7/Turns!I126+airplane!$B$46^2*airplane!$B$11*Turns!I126/airplane!$B$49)</f>
        <v>0.15584581824864807</v>
      </c>
      <c r="K126">
        <f>airplane!$B$45*J126/(airplane!$B$9*airplane!$B$10)</f>
        <v>11.761948547067778</v>
      </c>
      <c r="M126">
        <f t="shared" si="6"/>
        <v>205.53299999999999</v>
      </c>
      <c r="N126">
        <f t="shared" si="7"/>
        <v>52.31714713735748</v>
      </c>
    </row>
    <row r="127" spans="9:14" x14ac:dyDescent="0.2">
      <c r="I127">
        <f t="shared" si="5"/>
        <v>620</v>
      </c>
      <c r="J127">
        <f>(1/airplane!$B$48)*(airplane!$B$49*airplane!$B$7/Turns!I127+airplane!$B$46^2*airplane!$B$11*Turns!I127/airplane!$B$49)</f>
        <v>0.15633867666621848</v>
      </c>
      <c r="K127">
        <f>airplane!$B$45*J127/(airplane!$B$9*airplane!$B$10)</f>
        <v>11.799145408771205</v>
      </c>
      <c r="M127">
        <f t="shared" si="6"/>
        <v>207.20400000000001</v>
      </c>
      <c r="N127">
        <f t="shared" si="7"/>
        <v>52.482598778214324</v>
      </c>
    </row>
    <row r="128" spans="9:14" x14ac:dyDescent="0.2">
      <c r="I128">
        <f t="shared" si="5"/>
        <v>625</v>
      </c>
      <c r="J128">
        <f>(1/airplane!$B$48)*(airplane!$B$49*airplane!$B$7/Turns!I128+airplane!$B$46^2*airplane!$B$11*Turns!I128/airplane!$B$49)</f>
        <v>0.15683770345515002</v>
      </c>
      <c r="K128">
        <f>airplane!$B$45*J128/(airplane!$B$9*airplane!$B$10)</f>
        <v>11.83680780793585</v>
      </c>
      <c r="M128">
        <f t="shared" si="6"/>
        <v>208.875</v>
      </c>
      <c r="N128">
        <f t="shared" si="7"/>
        <v>52.650121129698668</v>
      </c>
    </row>
    <row r="129" spans="9:14" x14ac:dyDescent="0.2">
      <c r="I129">
        <f t="shared" si="5"/>
        <v>630</v>
      </c>
      <c r="J129">
        <f>(1/airplane!$B$48)*(airplane!$B$49*airplane!$B$7/Turns!I129+airplane!$B$46^2*airplane!$B$11*Turns!I129/airplane!$B$49)</f>
        <v>0.15734275174945789</v>
      </c>
      <c r="K129">
        <f>airplane!$B$45*J129/(airplane!$B$9*airplane!$B$10)</f>
        <v>11.874924660336443</v>
      </c>
      <c r="M129">
        <f t="shared" si="6"/>
        <v>210.54599999999999</v>
      </c>
      <c r="N129">
        <f t="shared" si="7"/>
        <v>52.819664889176508</v>
      </c>
    </row>
    <row r="130" spans="9:14" x14ac:dyDescent="0.2">
      <c r="I130">
        <f t="shared" si="5"/>
        <v>635</v>
      </c>
      <c r="J130">
        <f>(1/airplane!$B$48)*(airplane!$B$49*airplane!$B$7/Turns!I130+airplane!$B$46^2*airplane!$B$11*Turns!I130/airplane!$B$49)</f>
        <v>0.1578536793088576</v>
      </c>
      <c r="K130">
        <f>airplane!$B$45*J130/(airplane!$B$9*airplane!$B$10)</f>
        <v>11.913485230857177</v>
      </c>
      <c r="M130">
        <f t="shared" si="6"/>
        <v>212.21699999999998</v>
      </c>
      <c r="N130">
        <f t="shared" si="7"/>
        <v>52.991182306852728</v>
      </c>
    </row>
    <row r="131" spans="9:14" x14ac:dyDescent="0.2">
      <c r="I131">
        <f t="shared" si="5"/>
        <v>640</v>
      </c>
      <c r="J131">
        <f>(1/airplane!$B$48)*(airplane!$B$49*airplane!$B$7/Turns!I131+airplane!$B$46^2*airplane!$B$11*Turns!I131/airplane!$B$49)</f>
        <v>0.15837034833807362</v>
      </c>
      <c r="K131">
        <f>airplane!$B$45*J131/(airplane!$B$9*airplane!$B$10)</f>
        <v>11.952479119854612</v>
      </c>
      <c r="M131">
        <f t="shared" si="6"/>
        <v>213.88800000000001</v>
      </c>
      <c r="N131">
        <f t="shared" si="7"/>
        <v>53.16462712511332</v>
      </c>
    </row>
    <row r="132" spans="9:14" x14ac:dyDescent="0.2">
      <c r="I132">
        <f t="shared" si="5"/>
        <v>645</v>
      </c>
      <c r="J132">
        <f>(1/airplane!$B$48)*(airplane!$B$49*airplane!$B$7/Turns!I132+airplane!$B$46^2*airplane!$B$11*Turns!I132/airplane!$B$49)</f>
        <v>0.15889262531455201</v>
      </c>
      <c r="K132">
        <f>airplane!$B$45*J132/(airplane!$B$9*airplane!$B$10)</f>
        <v>11.991896250154866</v>
      </c>
      <c r="M132">
        <f t="shared" si="6"/>
        <v>215.559</v>
      </c>
      <c r="N132">
        <f t="shared" si="7"/>
        <v>53.339954520688849</v>
      </c>
    </row>
    <row r="133" spans="9:14" x14ac:dyDescent="0.2">
      <c r="I133">
        <f t="shared" ref="I133:I196" si="8">I132+5</f>
        <v>650</v>
      </c>
      <c r="J133">
        <f>(1/airplane!$B$48)*(airplane!$B$49*airplane!$B$7/Turns!I133+airplane!$B$46^2*airplane!$B$11*Turns!I133/airplane!$B$49)</f>
        <v>0.15942038082412524</v>
      </c>
      <c r="K133">
        <f>airplane!$B$45*J133/(airplane!$B$9*airplane!$B$10)</f>
        <v>12.031726854650961</v>
      </c>
      <c r="M133">
        <f t="shared" si="6"/>
        <v>217.23</v>
      </c>
      <c r="N133">
        <f t="shared" si="7"/>
        <v>53.517121049487479</v>
      </c>
    </row>
    <row r="134" spans="9:14" x14ac:dyDescent="0.2">
      <c r="I134">
        <f t="shared" si="8"/>
        <v>655</v>
      </c>
      <c r="J134">
        <f>(1/airplane!$B$48)*(airplane!$B$49*airplane!$B$7/Turns!I134+airplane!$B$46^2*airplane!$B$11*Turns!I134/airplane!$B$49)</f>
        <v>0.15995348940420331</v>
      </c>
      <c r="K134">
        <f>airplane!$B$45*J134/(airplane!$B$9*airplane!$B$10)</f>
        <v>12.071961464468174</v>
      </c>
      <c r="M134">
        <f t="shared" si="6"/>
        <v>218.90100000000001</v>
      </c>
      <c r="N134">
        <f t="shared" si="7"/>
        <v>53.696084593954446</v>
      </c>
    </row>
    <row r="135" spans="9:14" x14ac:dyDescent="0.2">
      <c r="I135">
        <f t="shared" si="8"/>
        <v>660</v>
      </c>
      <c r="J135">
        <f>(1/airplane!$B$48)*(airplane!$B$49*airplane!$B$7/Turns!I135+airplane!$B$46^2*airplane!$B$11*Turns!I135/airplane!$B$49)</f>
        <v>0.16049182939409296</v>
      </c>
      <c r="K135">
        <f>airplane!$B$45*J135/(airplane!$B$9*airplane!$B$10)</f>
        <v>12.112590897667392</v>
      </c>
      <c r="M135">
        <f t="shared" si="6"/>
        <v>220.572</v>
      </c>
      <c r="N135">
        <f t="shared" si="7"/>
        <v>53.876804312824561</v>
      </c>
    </row>
    <row r="136" spans="9:14" x14ac:dyDescent="0.2">
      <c r="I136">
        <f t="shared" si="8"/>
        <v>665</v>
      </c>
      <c r="J136">
        <f>(1/airplane!$B$48)*(airplane!$B$49*airplane!$B$7/Turns!I136+airplane!$B$46^2*airplane!$B$11*Turns!I136/airplane!$B$49)</f>
        <v>0.16103528279206908</v>
      </c>
      <c r="K136">
        <f>airplane!$B$45*J136/(airplane!$B$9*airplane!$B$10)</f>
        <v>12.153606248458043</v>
      </c>
      <c r="M136">
        <f t="shared" si="6"/>
        <v>222.24299999999999</v>
      </c>
      <c r="N136">
        <f t="shared" si="7"/>
        <v>54.059240593141382</v>
      </c>
    </row>
    <row r="137" spans="9:14" x14ac:dyDescent="0.2">
      <c r="I137">
        <f t="shared" si="8"/>
        <v>670</v>
      </c>
      <c r="J137">
        <f>(1/airplane!$B$48)*(airplane!$B$49*airplane!$B$7/Turns!I137+airplane!$B$46^2*airplane!$B$11*Turns!I137/airplane!$B$49)</f>
        <v>0.16158373511884619</v>
      </c>
      <c r="K137">
        <f>airplane!$B$45*J137/(airplane!$B$9*airplane!$B$10)</f>
        <v>12.194998876894051</v>
      </c>
      <c r="M137">
        <f t="shared" si="6"/>
        <v>223.91399999999999</v>
      </c>
      <c r="N137">
        <f t="shared" si="7"/>
        <v>54.243355004424743</v>
      </c>
    </row>
    <row r="138" spans="9:14" x14ac:dyDescent="0.2">
      <c r="I138">
        <f t="shared" si="8"/>
        <v>675</v>
      </c>
      <c r="J138">
        <f>(1/airplane!$B$48)*(airplane!$B$49*airplane!$B$7/Turns!I138+airplane!$B$46^2*airplane!$B$11*Turns!I138/airplane!$B$49)</f>
        <v>0.16213707528711757</v>
      </c>
      <c r="K138">
        <f>airplane!$B$45*J138/(airplane!$B$9*airplane!$B$10)</f>
        <v>12.236760399027741</v>
      </c>
      <c r="M138">
        <f t="shared" si="6"/>
        <v>225.58500000000001</v>
      </c>
      <c r="N138">
        <f t="shared" si="7"/>
        <v>54.429110254875397</v>
      </c>
    </row>
    <row r="139" spans="9:14" x14ac:dyDescent="0.2">
      <c r="I139">
        <f t="shared" si="8"/>
        <v>680</v>
      </c>
      <c r="J139">
        <f>(1/airplane!$B$48)*(airplane!$B$49*airplane!$B$7/Turns!I139+airplane!$B$46^2*airplane!$B$11*Turns!I139/airplane!$B$49)</f>
        <v>0.16269519547685027</v>
      </c>
      <c r="K139">
        <f>airplane!$B$45*J139/(airplane!$B$9*airplane!$B$10)</f>
        <v>12.278882677498133</v>
      </c>
      <c r="M139">
        <f t="shared" si="6"/>
        <v>227.256</v>
      </c>
      <c r="N139">
        <f t="shared" si="7"/>
        <v>54.616470149511706</v>
      </c>
    </row>
    <row r="140" spans="9:14" x14ac:dyDescent="0.2">
      <c r="I140">
        <f t="shared" si="8"/>
        <v>685</v>
      </c>
      <c r="J140">
        <f>(1/airplane!$B$48)*(airplane!$B$49*airplane!$B$7/Turns!I140+airplane!$B$46^2*airplane!$B$11*Turns!I140/airplane!$B$49)</f>
        <v>0.16325799101604149</v>
      </c>
      <c r="K140">
        <f>airplane!$B$45*J140/(airplane!$B$9*airplane!$B$10)</f>
        <v>12.321357812531431</v>
      </c>
      <c r="M140">
        <f t="shared" si="6"/>
        <v>228.92699999999999</v>
      </c>
      <c r="N140">
        <f t="shared" si="7"/>
        <v>54.805399550139811</v>
      </c>
    </row>
    <row r="141" spans="9:14" x14ac:dyDescent="0.2">
      <c r="I141">
        <f t="shared" si="8"/>
        <v>690</v>
      </c>
      <c r="J141">
        <f>(1/airplane!$B$48)*(airplane!$B$49*airplane!$B$7/Turns!I141+airplane!$B$46^2*airplane!$B$11*Turns!I141/airplane!$B$49)</f>
        <v>0.1638253602666595</v>
      </c>
      <c r="K141">
        <f>airplane!$B$45*J141/(airplane!$B$9*airplane!$B$10)</f>
        <v>12.364178133332793</v>
      </c>
      <c r="M141">
        <f t="shared" si="6"/>
        <v>230.59799999999998</v>
      </c>
      <c r="N141">
        <f t="shared" si="7"/>
        <v>54.995864337064269</v>
      </c>
    </row>
    <row r="142" spans="9:14" x14ac:dyDescent="0.2">
      <c r="I142">
        <f t="shared" si="8"/>
        <v>695</v>
      </c>
      <c r="J142">
        <f>(1/airplane!$B$48)*(airplane!$B$49*airplane!$B$7/Turns!I142+airplane!$B$46^2*airplane!$B$11*Turns!I142/airplane!$B$49)</f>
        <v>0.1643972045155081</v>
      </c>
      <c r="K142">
        <f>airplane!$B$45*J142/(airplane!$B$9*airplane!$B$10)</f>
        <v>12.407336189849667</v>
      </c>
      <c r="M142">
        <f t="shared" ref="M142:M205" si="9">I142*0.3342</f>
        <v>232.26900000000001</v>
      </c>
      <c r="N142">
        <f t="shared" ref="N142:N205" si="10">K142*4.448</f>
        <v>55.187831372451328</v>
      </c>
    </row>
    <row r="143" spans="9:14" x14ac:dyDescent="0.2">
      <c r="I143">
        <f t="shared" si="8"/>
        <v>700</v>
      </c>
      <c r="J143">
        <f>(1/airplane!$B$48)*(airplane!$B$49*airplane!$B$7/Turns!I143+airplane!$B$46^2*airplane!$B$11*Turns!I143/airplane!$B$49)</f>
        <v>0.16497342786976801</v>
      </c>
      <c r="K143">
        <f>airplane!$B$45*J143/(airplane!$B$9*airplane!$B$10)</f>
        <v>12.45082474488815</v>
      </c>
      <c r="M143">
        <f t="shared" si="9"/>
        <v>233.94</v>
      </c>
      <c r="N143">
        <f t="shared" si="10"/>
        <v>55.381268465262494</v>
      </c>
    </row>
    <row r="144" spans="9:14" x14ac:dyDescent="0.2">
      <c r="I144">
        <f t="shared" si="8"/>
        <v>705</v>
      </c>
      <c r="J144">
        <f>(1/airplane!$B$48)*(airplane!$B$49*airplane!$B$7/Turns!I144+airplane!$B$46^2*airplane!$B$11*Turns!I144/airplane!$B$49)</f>
        <v>0.16555393715698369</v>
      </c>
      <c r="K144">
        <f>airplane!$B$45*J144/(airplane!$B$9*airplane!$B$10)</f>
        <v>12.494636766564804</v>
      </c>
      <c r="M144">
        <f t="shared" si="9"/>
        <v>235.61099999999999</v>
      </c>
      <c r="N144">
        <f t="shared" si="10"/>
        <v>55.576144337680255</v>
      </c>
    </row>
    <row r="145" spans="9:14" x14ac:dyDescent="0.2">
      <c r="I145">
        <f t="shared" si="8"/>
        <v>710</v>
      </c>
      <c r="J145">
        <f>(1/airplane!$B$48)*(airplane!$B$49*airplane!$B$7/Turns!I145+airplane!$B$46^2*airplane!$B$11*Turns!I145/airplane!$B$49)</f>
        <v>0.16613864182927576</v>
      </c>
      <c r="K145">
        <f>airplane!$B$45*J145/(airplane!$B$9*airplane!$B$10)</f>
        <v>12.538765421077414</v>
      </c>
      <c r="M145">
        <f t="shared" si="9"/>
        <v>237.28200000000001</v>
      </c>
      <c r="N145">
        <f t="shared" si="10"/>
        <v>55.772428592952345</v>
      </c>
    </row>
    <row r="146" spans="9:14" x14ac:dyDescent="0.2">
      <c r="I146">
        <f t="shared" si="8"/>
        <v>715</v>
      </c>
      <c r="J146">
        <f>(1/airplane!$B$48)*(airplane!$B$49*airplane!$B$7/Turns!I146+airplane!$B$46^2*airplane!$B$11*Turns!I146/airplane!$B$49)</f>
        <v>0.16672745387157273</v>
      </c>
      <c r="K146">
        <f>airplane!$B$45*J146/(airplane!$B$9*airplane!$B$10)</f>
        <v>12.583204065779073</v>
      </c>
      <c r="M146">
        <f t="shared" si="9"/>
        <v>238.953</v>
      </c>
      <c r="N146">
        <f t="shared" si="10"/>
        <v>55.97009168458532</v>
      </c>
    </row>
    <row r="147" spans="9:14" x14ac:dyDescent="0.2">
      <c r="I147">
        <f t="shared" si="8"/>
        <v>720</v>
      </c>
      <c r="J147">
        <f>(1/airplane!$B$48)*(airplane!$B$49*airplane!$B$7/Turns!I147+airplane!$B$46^2*airplane!$B$11*Turns!I147/airplane!$B$49)</f>
        <v>0.16732028771366614</v>
      </c>
      <c r="K147">
        <f>airplane!$B$45*J147/(airplane!$B$9*airplane!$B$10)</f>
        <v>12.62794624254084</v>
      </c>
      <c r="M147">
        <f t="shared" si="9"/>
        <v>240.624</v>
      </c>
      <c r="N147">
        <f t="shared" si="10"/>
        <v>56.169104886821664</v>
      </c>
    </row>
    <row r="148" spans="9:14" x14ac:dyDescent="0.2">
      <c r="I148">
        <f t="shared" si="8"/>
        <v>725</v>
      </c>
      <c r="J148">
        <f>(1/airplane!$B$48)*(airplane!$B$49*airplane!$B$7/Turns!I148+airplane!$B$46^2*airplane!$B$11*Turns!I148/airplane!$B$49)</f>
        <v>0.16791706014590504</v>
      </c>
      <c r="K148">
        <f>airplane!$B$45*J148/(airplane!$B$9*airplane!$B$10)</f>
        <v>12.672985671389059</v>
      </c>
      <c r="M148">
        <f t="shared" si="9"/>
        <v>242.29499999999999</v>
      </c>
      <c r="N148">
        <f t="shared" si="10"/>
        <v>56.369440266338536</v>
      </c>
    </row>
    <row r="149" spans="9:14" x14ac:dyDescent="0.2">
      <c r="I149">
        <f t="shared" si="8"/>
        <v>730</v>
      </c>
      <c r="J149">
        <f>(1/airplane!$B$48)*(airplane!$B$49*airplane!$B$7/Turns!I149+airplane!$B$46^2*airplane!$B$11*Turns!I149/airplane!$B$49)</f>
        <v>0.16851769023835494</v>
      </c>
      <c r="K149">
        <f>airplane!$B$45*J149/(airplane!$B$9*airplane!$B$10)</f>
        <v>12.718316244404146</v>
      </c>
      <c r="M149">
        <f t="shared" si="9"/>
        <v>243.96600000000001</v>
      </c>
      <c r="N149">
        <f t="shared" si="10"/>
        <v>56.571070655109651</v>
      </c>
    </row>
    <row r="150" spans="9:14" x14ac:dyDescent="0.2">
      <c r="I150">
        <f t="shared" si="8"/>
        <v>735</v>
      </c>
      <c r="J150">
        <f>(1/airplane!$B$48)*(airplane!$B$49*airplane!$B$7/Turns!I150+airplane!$B$46^2*airplane!$B$11*Turns!I150/airplane!$B$49)</f>
        <v>0.16912209926325641</v>
      </c>
      <c r="K150">
        <f>airplane!$B$45*J150/(airplane!$B$9*airplane!$B$10)</f>
        <v>12.763932019868408</v>
      </c>
      <c r="M150">
        <f t="shared" si="9"/>
        <v>245.637</v>
      </c>
      <c r="N150">
        <f t="shared" si="10"/>
        <v>56.773969624374686</v>
      </c>
    </row>
    <row r="151" spans="9:14" x14ac:dyDescent="0.2">
      <c r="I151">
        <f t="shared" si="8"/>
        <v>740</v>
      </c>
      <c r="J151">
        <f>(1/airplane!$B$48)*(airplane!$B$49*airplane!$B$7/Turns!I151+airplane!$B$46^2*airplane!$B$11*Turns!I151/airplane!$B$49)</f>
        <v>0.16973021062062735</v>
      </c>
      <c r="K151">
        <f>airplane!$B$45*J151/(airplane!$B$9*airplane!$B$10)</f>
        <v>12.809827216651119</v>
      </c>
      <c r="M151">
        <f t="shared" si="9"/>
        <v>247.30799999999999</v>
      </c>
      <c r="N151">
        <f t="shared" si="10"/>
        <v>56.978111459664184</v>
      </c>
    </row>
    <row r="152" spans="9:14" x14ac:dyDescent="0.2">
      <c r="I152">
        <f t="shared" si="8"/>
        <v>745</v>
      </c>
      <c r="J152">
        <f>(1/airplane!$B$48)*(airplane!$B$49*airplane!$B$7/Turns!I152+airplane!$B$46^2*airplane!$B$11*Turns!I152/airplane!$B$49)</f>
        <v>0.17034194976686096</v>
      </c>
      <c r="K152">
        <f>airplane!$B$45*J152/(airplane!$B$9*airplane!$B$10)</f>
        <v>12.855996208819695</v>
      </c>
      <c r="M152">
        <f t="shared" si="9"/>
        <v>248.97899999999998</v>
      </c>
      <c r="N152">
        <f t="shared" si="10"/>
        <v>57.183471136830008</v>
      </c>
    </row>
    <row r="153" spans="9:14" x14ac:dyDescent="0.2">
      <c r="I153">
        <f t="shared" si="8"/>
        <v>750</v>
      </c>
      <c r="J153">
        <f>(1/airplane!$B$48)*(airplane!$B$49*airplane!$B$7/Turns!I153+airplane!$B$46^2*airplane!$B$11*Turns!I153/airplane!$B$49)</f>
        <v>0.17095724414618002</v>
      </c>
      <c r="K153">
        <f>airplane!$B$45*J153/(airplane!$B$9*airplane!$B$10)</f>
        <v>12.902433520466415</v>
      </c>
      <c r="M153">
        <f t="shared" si="9"/>
        <v>250.65</v>
      </c>
      <c r="N153">
        <f t="shared" si="10"/>
        <v>57.390024299034621</v>
      </c>
    </row>
    <row r="154" spans="9:14" x14ac:dyDescent="0.2">
      <c r="I154">
        <f t="shared" si="8"/>
        <v>755</v>
      </c>
      <c r="J154">
        <f>(1/airplane!$B$48)*(airplane!$B$49*airplane!$B$7/Turns!I154+airplane!$B$46^2*airplane!$B$11*Turns!I154/airplane!$B$49)</f>
        <v>0.1715760231248146</v>
      </c>
      <c r="K154">
        <f>airplane!$B$45*J154/(airplane!$B$9*airplane!$B$10)</f>
        <v>12.949133820740723</v>
      </c>
      <c r="M154">
        <f t="shared" si="9"/>
        <v>252.321</v>
      </c>
      <c r="N154">
        <f t="shared" si="10"/>
        <v>57.59774723465474</v>
      </c>
    </row>
    <row r="155" spans="9:14" x14ac:dyDescent="0.2">
      <c r="I155">
        <f t="shared" si="8"/>
        <v>760</v>
      </c>
      <c r="J155">
        <f>(1/airplane!$B$48)*(airplane!$B$49*airplane!$B$7/Turns!I155+airplane!$B$46^2*airplane!$B$11*Turns!I155/airplane!$B$49)</f>
        <v>0.1721982179277782</v>
      </c>
      <c r="K155">
        <f>airplane!$B$45*J155/(airplane!$B$9*airplane!$B$10)</f>
        <v>12.9960919190776</v>
      </c>
      <c r="M155">
        <f t="shared" si="9"/>
        <v>253.99199999999999</v>
      </c>
      <c r="N155">
        <f t="shared" si="10"/>
        <v>57.806616856057168</v>
      </c>
    </row>
    <row r="156" spans="9:14" x14ac:dyDescent="0.2">
      <c r="I156">
        <f t="shared" si="8"/>
        <v>765</v>
      </c>
      <c r="J156">
        <f>(1/airplane!$B$48)*(airplane!$B$49*airplane!$B$7/Turns!I156+airplane!$B$46^2*airplane!$B$11*Turns!I156/airplane!$B$49)</f>
        <v>0.17282376157812318</v>
      </c>
      <c r="K156">
        <f>airplane!$B$45*J156/(airplane!$B$9*airplane!$B$10)</f>
        <v>13.04330276061307</v>
      </c>
      <c r="M156">
        <f t="shared" si="9"/>
        <v>255.66300000000001</v>
      </c>
      <c r="N156">
        <f t="shared" si="10"/>
        <v>58.016610679206941</v>
      </c>
    </row>
    <row r="157" spans="9:14" x14ac:dyDescent="0.2">
      <c r="I157">
        <f t="shared" si="8"/>
        <v>770</v>
      </c>
      <c r="J157">
        <f>(1/airplane!$B$48)*(airplane!$B$49*airplane!$B$7/Turns!I157+airplane!$B$46^2*airplane!$B$11*Turns!I157/airplane!$B$49)</f>
        <v>0.17345258883856299</v>
      </c>
      <c r="K157">
        <f>airplane!$B$45*J157/(airplane!$B$9*airplane!$B$10)</f>
        <v>13.090761421778337</v>
      </c>
      <c r="M157">
        <f t="shared" si="9"/>
        <v>257.334</v>
      </c>
      <c r="N157">
        <f t="shared" si="10"/>
        <v>58.227706804070053</v>
      </c>
    </row>
    <row r="158" spans="9:14" x14ac:dyDescent="0.2">
      <c r="I158">
        <f t="shared" si="8"/>
        <v>775</v>
      </c>
      <c r="J158">
        <f>(1/airplane!$B$48)*(airplane!$B$49*airplane!$B$7/Turns!I158+airplane!$B$46^2*airplane!$B$11*Turns!I158/airplane!$B$49)</f>
        <v>0.17408463615535374</v>
      </c>
      <c r="K158">
        <f>airplane!$B$45*J158/(airplane!$B$9*airplane!$B$10)</f>
        <v>13.138463106064433</v>
      </c>
      <c r="M158">
        <f t="shared" si="9"/>
        <v>259.005</v>
      </c>
      <c r="N158">
        <f t="shared" si="10"/>
        <v>58.439883895774607</v>
      </c>
    </row>
    <row r="159" spans="9:14" x14ac:dyDescent="0.2">
      <c r="I159">
        <f t="shared" si="8"/>
        <v>780</v>
      </c>
      <c r="J159">
        <f>(1/airplane!$B$48)*(airplane!$B$49*airplane!$B$7/Turns!I159+airplane!$B$46^2*airplane!$B$11*Turns!I159/airplane!$B$49)</f>
        <v>0.1747198416043349</v>
      </c>
      <c r="K159">
        <f>airplane!$B$45*J159/(airplane!$B$9*airplane!$B$10)</f>
        <v>13.186403139949805</v>
      </c>
      <c r="M159">
        <f t="shared" si="9"/>
        <v>260.67599999999999</v>
      </c>
      <c r="N159">
        <f t="shared" si="10"/>
        <v>58.653121166496739</v>
      </c>
    </row>
    <row r="160" spans="9:14" x14ac:dyDescent="0.2">
      <c r="I160">
        <f t="shared" si="8"/>
        <v>785</v>
      </c>
      <c r="J160">
        <f>(1/airplane!$B$48)*(airplane!$B$49*airplane!$B$7/Turns!I160+airplane!$B$46^2*airplane!$B$11*Turns!I160/airplane!$B$49)</f>
        <v>0.17535814483903148</v>
      </c>
      <c r="K160">
        <f>airplane!$B$45*J160/(airplane!$B$9*airplane!$B$10)</f>
        <v>13.234576968983507</v>
      </c>
      <c r="M160">
        <f t="shared" si="9"/>
        <v>262.34699999999998</v>
      </c>
      <c r="N160">
        <f t="shared" si="10"/>
        <v>58.867398358038649</v>
      </c>
    </row>
    <row r="161" spans="9:14" x14ac:dyDescent="0.2">
      <c r="I161">
        <f t="shared" si="8"/>
        <v>790</v>
      </c>
      <c r="J161">
        <f>(1/airplane!$B$48)*(airplane!$B$49*airplane!$B$7/Turns!I161+airplane!$B$46^2*airplane!$B$11*Turns!I161/airplane!$B$49)</f>
        <v>0.17599948704072732</v>
      </c>
      <c r="K161">
        <f>airplane!$B$45*J161/(airplane!$B$9*airplane!$B$10)</f>
        <v>13.282980154017155</v>
      </c>
      <c r="M161">
        <f t="shared" si="9"/>
        <v>264.01799999999997</v>
      </c>
      <c r="N161">
        <f t="shared" si="10"/>
        <v>59.082695725068312</v>
      </c>
    </row>
    <row r="162" spans="9:14" x14ac:dyDescent="0.2">
      <c r="I162">
        <f t="shared" si="8"/>
        <v>795</v>
      </c>
      <c r="J162">
        <f>(1/airplane!$B$48)*(airplane!$B$49*airplane!$B$7/Turns!I162+airplane!$B$46^2*airplane!$B$11*Turns!I162/airplane!$B$49)</f>
        <v>0.17664381087042252</v>
      </c>
      <c r="K162">
        <f>airplane!$B$45*J162/(airplane!$B$9*airplane!$B$10)</f>
        <v>13.331608367579056</v>
      </c>
      <c r="M162">
        <f t="shared" si="9"/>
        <v>265.68900000000002</v>
      </c>
      <c r="N162">
        <f t="shared" si="10"/>
        <v>59.29899401899165</v>
      </c>
    </row>
    <row r="163" spans="9:14" x14ac:dyDescent="0.2">
      <c r="I163">
        <f t="shared" si="8"/>
        <v>800</v>
      </c>
      <c r="J163">
        <f>(1/airplane!$B$48)*(airplane!$B$49*airplane!$B$7/Turns!I163+airplane!$B$46^2*airplane!$B$11*Turns!I163/airplane!$B$49)</f>
        <v>0.17729106042259199</v>
      </c>
      <c r="K163">
        <f>airplane!$B$45*J163/(airplane!$B$9*airplane!$B$10)</f>
        <v>13.380457390384301</v>
      </c>
      <c r="M163">
        <f t="shared" si="9"/>
        <v>267.36</v>
      </c>
      <c r="N163">
        <f t="shared" si="10"/>
        <v>59.516274472429373</v>
      </c>
    </row>
    <row r="164" spans="9:14" x14ac:dyDescent="0.2">
      <c r="I164">
        <f t="shared" si="8"/>
        <v>805</v>
      </c>
      <c r="J164">
        <f>(1/airplane!$B$48)*(airplane!$B$49*airplane!$B$7/Turns!I164+airplane!$B$46^2*airplane!$B$11*Turns!I164/airplane!$B$49)</f>
        <v>0.17794118118066798</v>
      </c>
      <c r="K164">
        <f>airplane!$B$45*J164/(airplane!$B$9*airplane!$B$10)</f>
        <v>13.429523107974941</v>
      </c>
      <c r="M164">
        <f t="shared" si="9"/>
        <v>269.03100000000001</v>
      </c>
      <c r="N164">
        <f t="shared" si="10"/>
        <v>59.734518784272538</v>
      </c>
    </row>
    <row r="165" spans="9:14" x14ac:dyDescent="0.2">
      <c r="I165">
        <f t="shared" si="8"/>
        <v>810</v>
      </c>
      <c r="J165">
        <f>(1/airplane!$B$48)*(airplane!$B$49*airplane!$B$7/Turns!I165+airplane!$B$46^2*airplane!$B$11*Turns!I165/airplane!$B$49)</f>
        <v>0.17859411997417068</v>
      </c>
      <c r="K165">
        <f>airplane!$B$45*J165/(airplane!$B$9*airplane!$B$10)</f>
        <v>13.47880150748458</v>
      </c>
      <c r="M165">
        <f t="shared" si="9"/>
        <v>270.702</v>
      </c>
      <c r="N165">
        <f t="shared" si="10"/>
        <v>59.953709105291416</v>
      </c>
    </row>
    <row r="166" spans="9:14" x14ac:dyDescent="0.2">
      <c r="I166">
        <f t="shared" si="8"/>
        <v>815</v>
      </c>
      <c r="J166">
        <f>(1/airplane!$B$48)*(airplane!$B$49*airplane!$B$7/Turns!I166+airplane!$B$46^2*airplane!$B$11*Turns!I166/airplane!$B$49)</f>
        <v>0.17924982493741745</v>
      </c>
      <c r="K166">
        <f>airplane!$B$45*J166/(airplane!$B$9*airplane!$B$10)</f>
        <v>13.528288674522072</v>
      </c>
      <c r="M166">
        <f t="shared" si="9"/>
        <v>272.37299999999999</v>
      </c>
      <c r="N166">
        <f t="shared" si="10"/>
        <v>60.173828024274179</v>
      </c>
    </row>
    <row r="167" spans="9:14" x14ac:dyDescent="0.2">
      <c r="I167">
        <f t="shared" si="8"/>
        <v>820</v>
      </c>
      <c r="J167">
        <f>(1/airplane!$B$48)*(airplane!$B$49*airplane!$B$7/Turns!I167+airplane!$B$46^2*airplane!$B$11*Turns!I167/airplane!$B$49)</f>
        <v>0.17990824546974218</v>
      </c>
      <c r="K167">
        <f>airplane!$B$45*J167/(airplane!$B$9*airplane!$B$10)</f>
        <v>13.577980790169221</v>
      </c>
      <c r="M167">
        <f t="shared" si="9"/>
        <v>274.04399999999998</v>
      </c>
      <c r="N167">
        <f t="shared" si="10"/>
        <v>60.394858554672702</v>
      </c>
    </row>
    <row r="168" spans="9:14" x14ac:dyDescent="0.2">
      <c r="I168">
        <f t="shared" si="8"/>
        <v>825</v>
      </c>
      <c r="J168">
        <f>(1/airplane!$B$48)*(airplane!$B$49*airplane!$B$7/Turns!I168+airplane!$B$46^2*airplane!$B$11*Turns!I168/airplane!$B$49)</f>
        <v>0.18056933219716165</v>
      </c>
      <c r="K168">
        <f>airplane!$B$45*J168/(airplane!$B$9*airplane!$B$10)</f>
        <v>13.627874128087671</v>
      </c>
      <c r="M168">
        <f t="shared" si="9"/>
        <v>275.71499999999997</v>
      </c>
      <c r="N168">
        <f t="shared" si="10"/>
        <v>60.616784121733964</v>
      </c>
    </row>
    <row r="169" spans="9:14" x14ac:dyDescent="0.2">
      <c r="I169">
        <f t="shared" si="8"/>
        <v>830</v>
      </c>
      <c r="J169">
        <f>(1/airplane!$B$48)*(airplane!$B$49*airplane!$B$7/Turns!I169+airplane!$B$46^2*airplane!$B$11*Turns!I169/airplane!$B$49)</f>
        <v>0.18123303693542717</v>
      </c>
      <c r="K169">
        <f>airplane!$B$45*J169/(airplane!$B$9*airplane!$B$10)</f>
        <v>13.677965051730352</v>
      </c>
      <c r="M169">
        <f t="shared" si="9"/>
        <v>277.38600000000002</v>
      </c>
      <c r="N169">
        <f t="shared" si="10"/>
        <v>60.839588550096607</v>
      </c>
    </row>
    <row r="170" spans="9:14" x14ac:dyDescent="0.2">
      <c r="I170">
        <f t="shared" si="8"/>
        <v>835</v>
      </c>
      <c r="J170">
        <f>(1/airplane!$B$48)*(airplane!$B$49*airplane!$B$7/Turns!I170+airplane!$B$46^2*airplane!$B$11*Turns!I170/airplane!$B$49)</f>
        <v>0.18189931265440373</v>
      </c>
      <c r="K170">
        <f>airplane!$B$45*J170/(airplane!$B$9*airplane!$B$10)</f>
        <v>13.728250011653111</v>
      </c>
      <c r="M170">
        <f t="shared" si="9"/>
        <v>279.05700000000002</v>
      </c>
      <c r="N170">
        <f t="shared" si="10"/>
        <v>61.063256051833044</v>
      </c>
    </row>
    <row r="171" spans="9:14" x14ac:dyDescent="0.2">
      <c r="I171">
        <f t="shared" si="8"/>
        <v>840</v>
      </c>
      <c r="J171">
        <f>(1/airplane!$B$48)*(airplane!$B$49*airplane!$B$7/Turns!I171+airplane!$B$46^2*airplane!$B$11*Turns!I171/airplane!$B$49)</f>
        <v>0.18256811344372162</v>
      </c>
      <c r="K171">
        <f>airplane!$B$45*J171/(airplane!$B$9*airplane!$B$10)</f>
        <v>13.778725542922386</v>
      </c>
      <c r="M171">
        <f t="shared" si="9"/>
        <v>280.72800000000001</v>
      </c>
      <c r="N171">
        <f t="shared" si="10"/>
        <v>61.287771214918777</v>
      </c>
    </row>
    <row r="172" spans="9:14" x14ac:dyDescent="0.2">
      <c r="I172">
        <f t="shared" si="8"/>
        <v>845</v>
      </c>
      <c r="J172">
        <f>(1/airplane!$B$48)*(airplane!$B$49*airplane!$B$7/Turns!I172+airplane!$B$46^2*airplane!$B$11*Turns!I172/airplane!$B$49)</f>
        <v>0.18323939447964682</v>
      </c>
      <c r="K172">
        <f>airplane!$B$45*J172/(airplane!$B$9*airplane!$B$10)</f>
        <v>13.829388262614854</v>
      </c>
      <c r="M172">
        <f t="shared" si="9"/>
        <v>282.399</v>
      </c>
      <c r="N172">
        <f t="shared" si="10"/>
        <v>61.513118992110876</v>
      </c>
    </row>
    <row r="173" spans="9:14" x14ac:dyDescent="0.2">
      <c r="I173">
        <f t="shared" si="8"/>
        <v>850</v>
      </c>
      <c r="J173">
        <f>(1/airplane!$B$48)*(airplane!$B$49*airplane!$B$7/Turns!I173+airplane!$B$46^2*airplane!$B$11*Turns!I173/airplane!$B$49)</f>
        <v>0.18391311199312166</v>
      </c>
      <c r="K173">
        <f>airplane!$B$45*J173/(airplane!$B$9*airplane!$B$10)</f>
        <v>13.880234867405408</v>
      </c>
      <c r="M173">
        <f t="shared" si="9"/>
        <v>284.07</v>
      </c>
      <c r="N173">
        <f t="shared" si="10"/>
        <v>61.739284690219257</v>
      </c>
    </row>
    <row r="174" spans="9:14" x14ac:dyDescent="0.2">
      <c r="I174">
        <f t="shared" si="8"/>
        <v>855</v>
      </c>
      <c r="J174">
        <f>(1/airplane!$B$48)*(airplane!$B$49*airplane!$B$7/Turns!I174+airplane!$B$46^2*airplane!$B$11*Turns!I174/airplane!$B$49)</f>
        <v>0.1845892232389259</v>
      </c>
      <c r="K174">
        <f>airplane!$B$45*J174/(airplane!$B$9*airplane!$B$10)</f>
        <v>13.93126213123969</v>
      </c>
      <c r="M174">
        <f t="shared" si="9"/>
        <v>285.74099999999999</v>
      </c>
      <c r="N174">
        <f t="shared" si="10"/>
        <v>61.966253959754148</v>
      </c>
    </row>
    <row r="175" spans="9:14" x14ac:dyDescent="0.2">
      <c r="I175">
        <f t="shared" si="8"/>
        <v>860</v>
      </c>
      <c r="J175">
        <f>(1/airplane!$B$48)*(airplane!$B$49*airplane!$B$7/Turns!I175+airplane!$B$46^2*airplane!$B$11*Turns!I175/airplane!$B$49)</f>
        <v>0.18526768646591432</v>
      </c>
      <c r="K175">
        <f>airplane!$B$45*J175/(airplane!$B$9*airplane!$B$10)</f>
        <v>13.982466903087872</v>
      </c>
      <c r="M175">
        <f t="shared" si="9"/>
        <v>287.41199999999998</v>
      </c>
      <c r="N175">
        <f t="shared" si="10"/>
        <v>62.194012784934856</v>
      </c>
    </row>
    <row r="176" spans="9:14" x14ac:dyDescent="0.2">
      <c r="I176">
        <f t="shared" si="8"/>
        <v>865</v>
      </c>
      <c r="J176">
        <f>(1/airplane!$B$48)*(airplane!$B$49*airplane!$B$7/Turns!I176+airplane!$B$46^2*airplane!$B$11*Turns!I176/airplane!$B$49)</f>
        <v>0.18594846088828601</v>
      </c>
      <c r="K176">
        <f>airplane!$B$45*J176/(airplane!$B$9*airplane!$B$10)</f>
        <v>14.033846104776302</v>
      </c>
      <c r="M176">
        <f t="shared" si="9"/>
        <v>289.08299999999997</v>
      </c>
      <c r="N176">
        <f t="shared" si="10"/>
        <v>62.422547474044997</v>
      </c>
    </row>
    <row r="177" spans="9:14" x14ac:dyDescent="0.2">
      <c r="I177">
        <f t="shared" si="8"/>
        <v>870</v>
      </c>
      <c r="J177">
        <f>(1/airplane!$B$48)*(airplane!$B$49*airplane!$B$7/Turns!I177+airplane!$B$46^2*airplane!$B$11*Turns!I177/airplane!$B$49)</f>
        <v>0.18663150665784467</v>
      </c>
      <c r="K177">
        <f>airplane!$B$45*J177/(airplane!$B$9*airplane!$B$10)</f>
        <v>14.085396728893937</v>
      </c>
      <c r="M177">
        <f t="shared" si="9"/>
        <v>290.75400000000002</v>
      </c>
      <c r="N177">
        <f t="shared" si="10"/>
        <v>62.651844650120232</v>
      </c>
    </row>
    <row r="178" spans="9:14" x14ac:dyDescent="0.2">
      <c r="I178">
        <f t="shared" si="8"/>
        <v>875</v>
      </c>
      <c r="J178">
        <f>(1/airplane!$B$48)*(airplane!$B$49*airplane!$B$7/Turns!I178+airplane!$B$46^2*airplane!$B$11*Turns!I178/airplane!$B$49)</f>
        <v>0.18731678483721004</v>
      </c>
      <c r="K178">
        <f>airplane!$B$45*J178/(airplane!$B$9*airplane!$B$10)</f>
        <v>14.137115836770569</v>
      </c>
      <c r="M178">
        <f t="shared" si="9"/>
        <v>292.42500000000001</v>
      </c>
      <c r="N178">
        <f t="shared" si="10"/>
        <v>62.881891241955493</v>
      </c>
    </row>
    <row r="179" spans="9:14" x14ac:dyDescent="0.2">
      <c r="I179">
        <f t="shared" si="8"/>
        <v>880</v>
      </c>
      <c r="J179">
        <f>(1/airplane!$B$48)*(airplane!$B$49*airplane!$B$7/Turns!I179+airplane!$B$46^2*airplane!$B$11*Turns!I179/airplane!$B$49)</f>
        <v>0.18800425737394211</v>
      </c>
      <c r="K179">
        <f>airplane!$B$45*J179/(airplane!$B$9*airplane!$B$10)</f>
        <v>14.189000556523933</v>
      </c>
      <c r="M179">
        <f t="shared" si="9"/>
        <v>294.096</v>
      </c>
      <c r="N179">
        <f t="shared" si="10"/>
        <v>63.112674475418459</v>
      </c>
    </row>
    <row r="180" spans="9:14" x14ac:dyDescent="0.2">
      <c r="I180">
        <f t="shared" si="8"/>
        <v>885</v>
      </c>
      <c r="J180">
        <f>(1/airplane!$B$48)*(airplane!$B$49*airplane!$B$7/Turns!I180+airplane!$B$46^2*airplane!$B$11*Turns!I180/airplane!$B$49)</f>
        <v>0.18869388707554327</v>
      </c>
      <c r="K180">
        <f>airplane!$B$45*J180/(airplane!$B$9*airplane!$B$10)</f>
        <v>14.241048081173076</v>
      </c>
      <c r="M180">
        <f t="shared" si="9"/>
        <v>295.767</v>
      </c>
      <c r="N180">
        <f t="shared" si="10"/>
        <v>63.344181865057848</v>
      </c>
    </row>
    <row r="181" spans="9:14" x14ac:dyDescent="0.2">
      <c r="I181">
        <f t="shared" si="8"/>
        <v>890</v>
      </c>
      <c r="J181">
        <f>(1/airplane!$B$48)*(airplane!$B$49*airplane!$B$7/Turns!I181+airplane!$B$46^2*airplane!$B$11*Turns!I181/airplane!$B$49)</f>
        <v>0.18938563758530214</v>
      </c>
      <c r="K181">
        <f>airplane!$B$45*J181/(airplane!$B$9*airplane!$B$10)</f>
        <v>14.293255666815254</v>
      </c>
      <c r="M181">
        <f t="shared" si="9"/>
        <v>297.43799999999999</v>
      </c>
      <c r="N181">
        <f t="shared" si="10"/>
        <v>63.576401205994259</v>
      </c>
    </row>
    <row r="182" spans="9:14" x14ac:dyDescent="0.2">
      <c r="I182">
        <f t="shared" si="8"/>
        <v>895</v>
      </c>
      <c r="J182">
        <f>(1/airplane!$B$48)*(airplane!$B$49*airplane!$B$7/Turns!I182+airplane!$B$46^2*airplane!$B$11*Turns!I182/airplane!$B$49)</f>
        <v>0.19007947335894801</v>
      </c>
      <c r="K182">
        <f>airplane!$B$45*J182/(airplane!$B$9*airplane!$B$10)</f>
        <v>14.345620630864</v>
      </c>
      <c r="M182">
        <f t="shared" si="9"/>
        <v>299.10899999999998</v>
      </c>
      <c r="N182">
        <f t="shared" si="10"/>
        <v>63.809320566083073</v>
      </c>
    </row>
    <row r="183" spans="9:14" x14ac:dyDescent="0.2">
      <c r="I183">
        <f t="shared" si="8"/>
        <v>900</v>
      </c>
      <c r="J183">
        <f>(1/airplane!$B$48)*(airplane!$B$49*airplane!$B$7/Turns!I183+airplane!$B$46^2*airplane!$B$11*Turns!I183/airplane!$B$49)</f>
        <v>0.1907753596420827</v>
      </c>
      <c r="K183">
        <f>airplane!$B$45*J183/(airplane!$B$9*airplane!$B$10)</f>
        <v>14.398140350345864</v>
      </c>
      <c r="M183">
        <f t="shared" si="9"/>
        <v>300.77999999999997</v>
      </c>
      <c r="N183">
        <f t="shared" si="10"/>
        <v>64.042928278338408</v>
      </c>
    </row>
    <row r="184" spans="9:14" x14ac:dyDescent="0.2">
      <c r="I184">
        <f t="shared" si="8"/>
        <v>905</v>
      </c>
      <c r="J184">
        <f>(1/airplane!$B$48)*(airplane!$B$49*airplane!$B$7/Turns!I184+airplane!$B$46^2*airplane!$B$11*Turns!I184/airplane!$B$49)</f>
        <v>0.19147326244836105</v>
      </c>
      <c r="K184">
        <f>airplane!$B$45*J184/(airplane!$B$9*airplane!$B$10)</f>
        <v>14.450812260253663</v>
      </c>
      <c r="M184">
        <f t="shared" si="9"/>
        <v>302.45100000000002</v>
      </c>
      <c r="N184">
        <f t="shared" si="10"/>
        <v>64.277212933608297</v>
      </c>
    </row>
    <row r="185" spans="9:14" x14ac:dyDescent="0.2">
      <c r="I185">
        <f t="shared" si="8"/>
        <v>910</v>
      </c>
      <c r="J185">
        <f>(1/airplane!$B$48)*(airplane!$B$49*airplane!$B$7/Turns!I185+airplane!$B$46^2*airplane!$B$11*Turns!I185/airplane!$B$49)</f>
        <v>0.19217314853839074</v>
      </c>
      <c r="K185">
        <f>airplane!$B$45*J185/(airplane!$B$9*airplane!$B$10)</f>
        <v>14.503633851954017</v>
      </c>
      <c r="M185">
        <f t="shared" si="9"/>
        <v>304.12200000000001</v>
      </c>
      <c r="N185">
        <f t="shared" si="10"/>
        <v>64.512163373491475</v>
      </c>
    </row>
    <row r="186" spans="9:14" x14ac:dyDescent="0.2">
      <c r="I186">
        <f t="shared" si="8"/>
        <v>915</v>
      </c>
      <c r="J186">
        <f>(1/airplane!$B$48)*(airplane!$B$49*airplane!$B$7/Turns!I186+airplane!$B$46^2*airplane!$B$11*Turns!I186/airplane!$B$49)</f>
        <v>0.19287498539932321</v>
      </c>
      <c r="K186">
        <f>airplane!$B$45*J186/(airplane!$B$9*airplane!$B$10)</f>
        <v>14.556602671647035</v>
      </c>
      <c r="M186">
        <f t="shared" si="9"/>
        <v>305.79300000000001</v>
      </c>
      <c r="N186">
        <f t="shared" si="10"/>
        <v>64.747768683486015</v>
      </c>
    </row>
    <row r="187" spans="9:14" x14ac:dyDescent="0.2">
      <c r="I187">
        <f t="shared" si="8"/>
        <v>920</v>
      </c>
      <c r="J187">
        <f>(1/airplane!$B$48)*(airplane!$B$49*airplane!$B$7/Turns!I187+airplane!$B$46^2*airplane!$B$11*Turns!I187/airplane!$B$49)</f>
        <v>0.19357874122511126</v>
      </c>
      <c r="K187">
        <f>airplane!$B$45*J187/(airplane!$B$9*airplane!$B$10)</f>
        <v>14.609716318876321</v>
      </c>
      <c r="M187">
        <f t="shared" si="9"/>
        <v>307.464</v>
      </c>
      <c r="N187">
        <f t="shared" si="10"/>
        <v>64.98401818636188</v>
      </c>
    </row>
    <row r="188" spans="9:14" x14ac:dyDescent="0.2">
      <c r="I188">
        <f t="shared" si="8"/>
        <v>925</v>
      </c>
      <c r="J188">
        <f>(1/airplane!$B$48)*(airplane!$B$49*airplane!$B$7/Turns!I188+airplane!$B$46^2*airplane!$B$11*Turns!I188/airplane!$B$49)</f>
        <v>0.19428438489740579</v>
      </c>
      <c r="K188">
        <f>airplane!$B$45*J188/(airplane!$B$9*airplane!$B$10)</f>
        <v>14.662972445087229</v>
      </c>
      <c r="M188">
        <f t="shared" si="9"/>
        <v>309.13499999999999</v>
      </c>
      <c r="N188">
        <f t="shared" si="10"/>
        <v>65.220901435748004</v>
      </c>
    </row>
    <row r="189" spans="9:14" x14ac:dyDescent="0.2">
      <c r="I189">
        <f t="shared" si="8"/>
        <v>930</v>
      </c>
      <c r="J189">
        <f>(1/airplane!$B$48)*(airplane!$B$49*airplane!$B$7/Turns!I189+airplane!$B$46^2*airplane!$B$11*Turns!I189/airplane!$B$49)</f>
        <v>0.19499188596706968</v>
      </c>
      <c r="K189">
        <f>airplane!$B$45*J189/(airplane!$B$9*airplane!$B$10)</f>
        <v>14.716368752231672</v>
      </c>
      <c r="M189">
        <f t="shared" si="9"/>
        <v>310.80599999999998</v>
      </c>
      <c r="N189">
        <f t="shared" si="10"/>
        <v>65.458408209926475</v>
      </c>
    </row>
    <row r="190" spans="9:14" x14ac:dyDescent="0.2">
      <c r="I190">
        <f t="shared" si="8"/>
        <v>935</v>
      </c>
      <c r="J190">
        <f>(1/airplane!$B$48)*(airplane!$B$49*airplane!$B$7/Turns!I190+airplane!$B$46^2*airplane!$B$11*Turns!I190/airplane!$B$49)</f>
        <v>0.19570121463628409</v>
      </c>
      <c r="K190">
        <f>airplane!$B$45*J190/(airplane!$B$9*airplane!$B$10)</f>
        <v>14.769902991417666</v>
      </c>
      <c r="M190">
        <f t="shared" si="9"/>
        <v>312.47699999999998</v>
      </c>
      <c r="N190">
        <f t="shared" si="10"/>
        <v>65.696528505825782</v>
      </c>
    </row>
    <row r="191" spans="9:14" x14ac:dyDescent="0.2">
      <c r="I191">
        <f t="shared" si="8"/>
        <v>940</v>
      </c>
      <c r="J191">
        <f>(1/airplane!$B$48)*(airplane!$B$49*airplane!$B$7/Turns!I191+airplane!$B$46^2*airplane!$B$11*Turns!I191/airplane!$B$49)</f>
        <v>0.19641234174122646</v>
      </c>
      <c r="K191">
        <f>airplane!$B$45*J191/(airplane!$B$9*airplane!$B$10)</f>
        <v>14.823572961601997</v>
      </c>
      <c r="M191">
        <f t="shared" si="9"/>
        <v>314.14800000000002</v>
      </c>
      <c r="N191">
        <f t="shared" si="10"/>
        <v>65.935252533205684</v>
      </c>
    </row>
    <row r="192" spans="9:14" x14ac:dyDescent="0.2">
      <c r="I192">
        <f t="shared" si="8"/>
        <v>945</v>
      </c>
      <c r="J192">
        <f>(1/airplane!$B$48)*(airplane!$B$49*airplane!$B$7/Turns!I192+airplane!$B$46^2*airplane!$B$11*Turns!I192/airplane!$B$49)</f>
        <v>0.19712523873529794</v>
      </c>
      <c r="K192">
        <f>airplane!$B$45*J192/(airplane!$B$9*airplane!$B$10)</f>
        <v>14.877376508324373</v>
      </c>
      <c r="M192">
        <f t="shared" si="9"/>
        <v>315.81900000000002</v>
      </c>
      <c r="N192">
        <f t="shared" si="10"/>
        <v>66.17457070902681</v>
      </c>
    </row>
    <row r="193" spans="9:14" x14ac:dyDescent="0.2">
      <c r="I193">
        <f t="shared" si="8"/>
        <v>950</v>
      </c>
      <c r="J193">
        <f>(1/airplane!$B$48)*(airplane!$B$49*airplane!$B$7/Turns!I193+airplane!$B$46^2*airplane!$B$11*Turns!I193/airplane!$B$49)</f>
        <v>0.19783987767288064</v>
      </c>
      <c r="K193">
        <f>airplane!$B$45*J193/(airplane!$B$9*airplane!$B$10)</f>
        <v>14.931311522481558</v>
      </c>
      <c r="M193">
        <f t="shared" si="9"/>
        <v>317.49</v>
      </c>
      <c r="N193">
        <f t="shared" si="10"/>
        <v>66.41447365199798</v>
      </c>
    </row>
    <row r="194" spans="9:14" x14ac:dyDescent="0.2">
      <c r="I194">
        <f t="shared" si="8"/>
        <v>955</v>
      </c>
      <c r="J194">
        <f>(1/airplane!$B$48)*(airplane!$B$49*airplane!$B$7/Turns!I194+airplane!$B$46^2*airplane!$B$11*Turns!I194/airplane!$B$49)</f>
        <v>0.19855623119360535</v>
      </c>
      <c r="K194">
        <f>airplane!$B$45*J194/(airplane!$B$9*airplane!$B$10)</f>
        <v>14.985375939140026</v>
      </c>
      <c r="M194">
        <f t="shared" si="9"/>
        <v>319.161</v>
      </c>
      <c r="N194">
        <f t="shared" si="10"/>
        <v>66.654952177294845</v>
      </c>
    </row>
    <row r="195" spans="9:14" x14ac:dyDescent="0.2">
      <c r="I195">
        <f t="shared" si="8"/>
        <v>960</v>
      </c>
      <c r="J195">
        <f>(1/airplane!$B$48)*(airplane!$B$49*airplane!$B$7/Turns!I195+airplane!$B$46^2*airplane!$B$11*Turns!I195/airplane!$B$49)</f>
        <v>0.19927427250711041</v>
      </c>
      <c r="K195">
        <f>airplane!$B$45*J195/(airplane!$B$9*airplane!$B$10)</f>
        <v>15.03956773638569</v>
      </c>
      <c r="M195">
        <f t="shared" si="9"/>
        <v>320.83199999999999</v>
      </c>
      <c r="N195">
        <f t="shared" si="10"/>
        <v>66.89599729144355</v>
      </c>
    </row>
    <row r="196" spans="9:14" x14ac:dyDescent="0.2">
      <c r="I196">
        <f t="shared" si="8"/>
        <v>965</v>
      </c>
      <c r="J196">
        <f>(1/airplane!$B$48)*(airplane!$B$49*airplane!$B$7/Turns!I196+airplane!$B$46^2*airplane!$B$11*Turns!I196/airplane!$B$49)</f>
        <v>0.19999397537827496</v>
      </c>
      <c r="K196">
        <f>airplane!$B$45*J196/(airplane!$B$9*airplane!$B$10)</f>
        <v>15.093884934209429</v>
      </c>
      <c r="M196">
        <f t="shared" si="9"/>
        <v>322.50299999999999</v>
      </c>
      <c r="N196">
        <f t="shared" si="10"/>
        <v>67.137600187363546</v>
      </c>
    </row>
    <row r="197" spans="9:14" x14ac:dyDescent="0.2">
      <c r="I197">
        <f t="shared" ref="I197:I260" si="11">I196+5</f>
        <v>970</v>
      </c>
      <c r="J197">
        <f>(1/airplane!$B$48)*(airplane!$B$49*airplane!$B$7/Turns!I197+airplane!$B$46^2*airplane!$B$11*Turns!I197/airplane!$B$49)</f>
        <v>0.20071531411290827</v>
      </c>
      <c r="K197">
        <f>airplane!$B$45*J197/(airplane!$B$9*airplane!$B$10)</f>
        <v>15.148325593427039</v>
      </c>
      <c r="M197">
        <f t="shared" si="9"/>
        <v>324.17399999999998</v>
      </c>
      <c r="N197">
        <f t="shared" si="10"/>
        <v>67.379752239563473</v>
      </c>
    </row>
    <row r="198" spans="9:14" x14ac:dyDescent="0.2">
      <c r="I198">
        <f t="shared" si="11"/>
        <v>975</v>
      </c>
      <c r="J198">
        <f>(1/airplane!$B$48)*(airplane!$B$49*airplane!$B$7/Turns!I198+airplane!$B$46^2*airplane!$B$11*Turns!I198/airplane!$B$49)</f>
        <v>0.20143826354388017</v>
      </c>
      <c r="K198">
        <f>airplane!$B$45*J198/(airplane!$B$9*airplane!$B$10)</f>
        <v>15.202887814632463</v>
      </c>
      <c r="M198">
        <f t="shared" si="9"/>
        <v>325.84499999999997</v>
      </c>
      <c r="N198">
        <f t="shared" si="10"/>
        <v>67.622444999485197</v>
      </c>
    </row>
    <row r="199" spans="9:14" x14ac:dyDescent="0.2">
      <c r="I199">
        <f t="shared" si="11"/>
        <v>980</v>
      </c>
      <c r="J199">
        <f>(1/airplane!$B$48)*(airplane!$B$49*airplane!$B$7/Turns!I199+airplane!$B$46^2*airplane!$B$11*Turns!I199/airplane!$B$49)</f>
        <v>0.2021627990176752</v>
      </c>
      <c r="K199">
        <f>airplane!$B$45*J199/(airplane!$B$9*airplane!$B$10)</f>
        <v>15.257569737183031</v>
      </c>
      <c r="M199">
        <f t="shared" si="9"/>
        <v>327.51600000000002</v>
      </c>
      <c r="N199">
        <f t="shared" si="10"/>
        <v>67.86567019099013</v>
      </c>
    </row>
    <row r="200" spans="9:14" x14ac:dyDescent="0.2">
      <c r="I200">
        <f t="shared" si="11"/>
        <v>985</v>
      </c>
      <c r="J200">
        <f>(1/airplane!$B$48)*(airplane!$B$49*airplane!$B$7/Turns!I200+airplane!$B$46^2*airplane!$B$11*Turns!I200/airplane!$B$49)</f>
        <v>0.20288889638135701</v>
      </c>
      <c r="K200">
        <f>airplane!$B$45*J200/(airplane!$B$9*airplane!$B$10)</f>
        <v>15.312369538215622</v>
      </c>
      <c r="M200">
        <f t="shared" si="9"/>
        <v>329.18700000000001</v>
      </c>
      <c r="N200">
        <f t="shared" si="10"/>
        <v>68.109419705983086</v>
      </c>
    </row>
    <row r="201" spans="9:14" x14ac:dyDescent="0.2">
      <c r="I201">
        <f t="shared" si="11"/>
        <v>990</v>
      </c>
      <c r="J201">
        <f>(1/airplane!$B$48)*(airplane!$B$49*airplane!$B$7/Turns!I201+airplane!$B$46^2*airplane!$B$11*Turns!I201/airplane!$B$49)</f>
        <v>0.20361653196992732</v>
      </c>
      <c r="K201">
        <f>airplane!$B$45*J201/(airplane!$B$9*airplane!$B$10)</f>
        <v>15.367285431692627</v>
      </c>
      <c r="M201">
        <f t="shared" si="9"/>
        <v>330.858</v>
      </c>
      <c r="N201">
        <f t="shared" si="10"/>
        <v>68.353685600168816</v>
      </c>
    </row>
    <row r="202" spans="9:14" x14ac:dyDescent="0.2">
      <c r="I202">
        <f t="shared" si="11"/>
        <v>995</v>
      </c>
      <c r="J202">
        <f>(1/airplane!$B$48)*(airplane!$B$49*airplane!$B$7/Turns!I202+airplane!$B$46^2*airplane!$B$11*Turns!I202/airplane!$B$49)</f>
        <v>0.20434568259406613</v>
      </c>
      <c r="K202">
        <f>airplane!$B$45*J202/(airplane!$B$9*airplane!$B$10)</f>
        <v>15.422315667476687</v>
      </c>
      <c r="M202">
        <f t="shared" si="9"/>
        <v>332.529</v>
      </c>
      <c r="N202">
        <f t="shared" si="10"/>
        <v>68.598460088936307</v>
      </c>
    </row>
    <row r="203" spans="9:14" x14ac:dyDescent="0.2">
      <c r="I203">
        <f t="shared" si="11"/>
        <v>1000</v>
      </c>
      <c r="J203">
        <f>(1/airplane!$B$48)*(airplane!$B$49*airplane!$B$7/Turns!I203+airplane!$B$46^2*airplane!$B$11*Turns!I203/airplane!$B$49)</f>
        <v>0.20507632552824004</v>
      </c>
      <c r="K203">
        <f>airplane!$B$45*J203/(airplane!$B$9*airplane!$B$10)</f>
        <v>15.477458530433211</v>
      </c>
      <c r="M203">
        <f t="shared" si="9"/>
        <v>334.2</v>
      </c>
      <c r="N203">
        <f t="shared" si="10"/>
        <v>68.843735543366932</v>
      </c>
    </row>
    <row r="204" spans="9:14" x14ac:dyDescent="0.2">
      <c r="I204">
        <f t="shared" si="11"/>
        <v>1005</v>
      </c>
      <c r="J204">
        <f>(1/airplane!$B$48)*(airplane!$B$49*airplane!$B$7/Turns!I204+airplane!$B$46^2*airplane!$B$11*Turns!I204/airplane!$B$49)</f>
        <v>0.20580843849916478</v>
      </c>
      <c r="K204">
        <f>airplane!$B$45*J204/(airplane!$B$9*airplane!$B$10)</f>
        <v>15.532712339559605</v>
      </c>
      <c r="M204">
        <f t="shared" si="9"/>
        <v>335.87099999999998</v>
      </c>
      <c r="N204">
        <f t="shared" si="10"/>
        <v>69.089504486361136</v>
      </c>
    </row>
    <row r="205" spans="9:14" x14ac:dyDescent="0.2">
      <c r="I205">
        <f t="shared" si="11"/>
        <v>1010</v>
      </c>
      <c r="J205">
        <f>(1/airplane!$B$48)*(airplane!$B$49*airplane!$B$7/Turns!I205+airplane!$B$46^2*airplane!$B$11*Turns!I205/airplane!$B$49)</f>
        <v>0.20654199967461151</v>
      </c>
      <c r="K205">
        <f>airplane!$B$45*J205/(airplane!$B$9*airplane!$B$10)</f>
        <v>15.588075447140492</v>
      </c>
      <c r="M205">
        <f t="shared" si="9"/>
        <v>337.54199999999997</v>
      </c>
      <c r="N205">
        <f t="shared" si="10"/>
        <v>69.335759588880919</v>
      </c>
    </row>
    <row r="206" spans="9:14" x14ac:dyDescent="0.2">
      <c r="I206">
        <f t="shared" si="11"/>
        <v>1015</v>
      </c>
      <c r="J206">
        <f>(1/airplane!$B$48)*(airplane!$B$49*airplane!$B$7/Turns!I206+airplane!$B$46^2*airplane!$B$11*Turns!I206/airplane!$B$49)</f>
        <v>0.2072769876525429</v>
      </c>
      <c r="K206">
        <f>airplane!$B$45*J206/(airplane!$B$9*airplane!$B$10)</f>
        <v>15.643546237927767</v>
      </c>
      <c r="M206">
        <f t="shared" ref="M206:M269" si="12">I206*0.3342</f>
        <v>339.21300000000002</v>
      </c>
      <c r="N206">
        <f t="shared" ref="N206:N269" si="13">K206*4.448</f>
        <v>69.58249366630271</v>
      </c>
    </row>
    <row r="207" spans="9:14" x14ac:dyDescent="0.2">
      <c r="I207">
        <f t="shared" si="11"/>
        <v>1020</v>
      </c>
      <c r="J207">
        <f>(1/airplane!$B$48)*(airplane!$B$49*airplane!$B$7/Turns!I207+airplane!$B$46^2*airplane!$B$11*Turns!I207/airplane!$B$49)</f>
        <v>0.20801338145056952</v>
      </c>
      <c r="K207">
        <f>airplane!$B$45*J207/(airplane!$B$9*airplane!$B$10)</f>
        <v>15.699123128344869</v>
      </c>
      <c r="M207">
        <f t="shared" si="12"/>
        <v>340.88400000000001</v>
      </c>
      <c r="N207">
        <f t="shared" si="13"/>
        <v>69.829699674877986</v>
      </c>
    </row>
    <row r="208" spans="9:14" x14ac:dyDescent="0.2">
      <c r="I208">
        <f t="shared" si="11"/>
        <v>1025</v>
      </c>
      <c r="J208">
        <f>(1/airplane!$B$48)*(airplane!$B$49*airplane!$B$7/Turns!I208+airplane!$B$46^2*airplane!$B$11*Turns!I208/airplane!$B$49)</f>
        <v>0.20875116049571429</v>
      </c>
      <c r="K208">
        <f>airplane!$B$45*J208/(airplane!$B$9*airplane!$B$10)</f>
        <v>15.754804565714288</v>
      </c>
      <c r="M208">
        <f t="shared" si="12"/>
        <v>342.55500000000001</v>
      </c>
      <c r="N208">
        <f t="shared" si="13"/>
        <v>70.077370708297153</v>
      </c>
    </row>
    <row r="209" spans="9:14" x14ac:dyDescent="0.2">
      <c r="I209">
        <f t="shared" si="11"/>
        <v>1030</v>
      </c>
      <c r="J209">
        <f>(1/airplane!$B$48)*(airplane!$B$49*airplane!$B$7/Turns!I209+airplane!$B$46^2*airplane!$B$11*Turns!I209/airplane!$B$49)</f>
        <v>0.20949030461447554</v>
      </c>
      <c r="K209">
        <f>airplane!$B$45*J209/(airplane!$B$9*airplane!$B$10)</f>
        <v>15.810589027507588</v>
      </c>
      <c r="M209">
        <f t="shared" si="12"/>
        <v>344.226</v>
      </c>
      <c r="N209">
        <f t="shared" si="13"/>
        <v>70.325499994353763</v>
      </c>
    </row>
    <row r="210" spans="9:14" x14ac:dyDescent="0.2">
      <c r="I210">
        <f t="shared" si="11"/>
        <v>1035</v>
      </c>
      <c r="J210">
        <f>(1/airplane!$B$48)*(airplane!$B$49*airplane!$B$7/Turns!I210+airplane!$B$46^2*airplane!$B$11*Turns!I210/airplane!$B$49)</f>
        <v>0.21023079402317771</v>
      </c>
      <c r="K210">
        <f>airplane!$B$45*J210/(airplane!$B$9*airplane!$B$10)</f>
        <v>15.866475020617184</v>
      </c>
      <c r="M210">
        <f t="shared" si="12"/>
        <v>345.89699999999999</v>
      </c>
      <c r="N210">
        <f t="shared" si="13"/>
        <v>70.574080891705236</v>
      </c>
    </row>
    <row r="211" spans="9:14" x14ac:dyDescent="0.2">
      <c r="I211">
        <f t="shared" si="11"/>
        <v>1040</v>
      </c>
      <c r="J211">
        <f>(1/airplane!$B$48)*(airplane!$B$49*airplane!$B$7/Turns!I211+airplane!$B$46^2*airplane!$B$11*Turns!I211/airplane!$B$49)</f>
        <v>0.21097260931860037</v>
      </c>
      <c r="K211">
        <f>airplane!$B$45*J211/(airplane!$B$9*airplane!$B$10)</f>
        <v>15.922461080649082</v>
      </c>
      <c r="M211">
        <f t="shared" si="12"/>
        <v>347.56799999999998</v>
      </c>
      <c r="N211">
        <f t="shared" si="13"/>
        <v>70.823106886727118</v>
      </c>
    </row>
    <row r="212" spans="9:14" x14ac:dyDescent="0.2">
      <c r="I212">
        <f t="shared" si="11"/>
        <v>1045</v>
      </c>
      <c r="J212">
        <f>(1/airplane!$B$48)*(airplane!$B$49*airplane!$B$7/Turns!I212+airplane!$B$46^2*airplane!$B$11*Turns!I212/airplane!$B$49)</f>
        <v>0.21171573146887684</v>
      </c>
      <c r="K212">
        <f>airplane!$B$45*J212/(airplane!$B$9*airplane!$B$10)</f>
        <v>15.978545771235988</v>
      </c>
      <c r="M212">
        <f t="shared" si="12"/>
        <v>349.23899999999998</v>
      </c>
      <c r="N212">
        <f t="shared" si="13"/>
        <v>71.072571590457684</v>
      </c>
    </row>
    <row r="213" spans="9:14" x14ac:dyDescent="0.2">
      <c r="I213">
        <f t="shared" si="11"/>
        <v>1050</v>
      </c>
      <c r="J213">
        <f>(1/airplane!$B$48)*(airplane!$B$49*airplane!$B$7/Turns!I213+airplane!$B$46^2*airplane!$B$11*Turns!I213/airplane!$B$49)</f>
        <v>0.212460141804652</v>
      </c>
      <c r="K213">
        <f>airplane!$B$45*J213/(airplane!$B$9*airplane!$B$10)</f>
        <v>16.034727683369962</v>
      </c>
      <c r="M213">
        <f t="shared" si="12"/>
        <v>350.91</v>
      </c>
      <c r="N213">
        <f t="shared" si="13"/>
        <v>71.322468735629599</v>
      </c>
    </row>
    <row r="214" spans="9:14" x14ac:dyDescent="0.2">
      <c r="I214">
        <f t="shared" si="11"/>
        <v>1055</v>
      </c>
      <c r="J214">
        <f>(1/airplane!$B$48)*(airplane!$B$49*airplane!$B$7/Turns!I214+airplane!$B$46^2*airplane!$B$11*Turns!I214/airplane!$B$49)</f>
        <v>0.21320582201049226</v>
      </c>
      <c r="K214">
        <f>airplane!$B$45*J214/(airplane!$B$9*airplane!$B$10)</f>
        <v>16.09100543475413</v>
      </c>
      <c r="M214">
        <f t="shared" si="12"/>
        <v>352.58100000000002</v>
      </c>
      <c r="N214">
        <f t="shared" si="13"/>
        <v>71.572792173786382</v>
      </c>
    </row>
    <row r="215" spans="9:14" x14ac:dyDescent="0.2">
      <c r="I215">
        <f t="shared" si="11"/>
        <v>1060</v>
      </c>
      <c r="J215">
        <f>(1/airplane!$B$48)*(airplane!$B$49*airplane!$B$7/Turns!I215+airplane!$B$46^2*airplane!$B$11*Turns!I215/airplane!$B$49)</f>
        <v>0.21395275411653819</v>
      </c>
      <c r="K215">
        <f>airplane!$B$45*J215/(airplane!$B$9*airplane!$B$10)</f>
        <v>16.147377669172695</v>
      </c>
      <c r="M215">
        <f t="shared" si="12"/>
        <v>354.25200000000001</v>
      </c>
      <c r="N215">
        <f t="shared" si="13"/>
        <v>71.82353587248015</v>
      </c>
    </row>
    <row r="216" spans="9:14" x14ac:dyDescent="0.2">
      <c r="I216">
        <f t="shared" si="11"/>
        <v>1065</v>
      </c>
      <c r="J216">
        <f>(1/airplane!$B$48)*(airplane!$B$49*airplane!$B$7/Turns!I216+airplane!$B$46^2*airplane!$B$11*Turns!I216/airplane!$B$49)</f>
        <v>0.21470092049039252</v>
      </c>
      <c r="K216">
        <f>airplane!$B$45*J216/(airplane!$B$9*airplane!$B$10)</f>
        <v>16.203843055878679</v>
      </c>
      <c r="M216">
        <f t="shared" si="12"/>
        <v>355.923</v>
      </c>
      <c r="N216">
        <f t="shared" si="13"/>
        <v>72.074693912548369</v>
      </c>
    </row>
    <row r="217" spans="9:14" x14ac:dyDescent="0.2">
      <c r="I217">
        <f t="shared" si="11"/>
        <v>1070</v>
      </c>
      <c r="J217">
        <f>(1/airplane!$B$48)*(airplane!$B$49*airplane!$B$7/Turns!I217+airplane!$B$46^2*airplane!$B$11*Turns!I217/airplane!$B$49)</f>
        <v>0.21545030382923552</v>
      </c>
      <c r="K217">
        <f>airplane!$B$45*J217/(airplane!$B$9*airplane!$B$10)</f>
        <v>16.260400288998905</v>
      </c>
      <c r="M217">
        <f t="shared" si="12"/>
        <v>357.59399999999999</v>
      </c>
      <c r="N217">
        <f t="shared" si="13"/>
        <v>72.326260485467131</v>
      </c>
    </row>
    <row r="218" spans="9:14" x14ac:dyDescent="0.2">
      <c r="I218">
        <f t="shared" si="11"/>
        <v>1075</v>
      </c>
      <c r="J218">
        <f>(1/airplane!$B$48)*(airplane!$B$49*airplane!$B$7/Turns!I218+airplane!$B$46^2*airplane!$B$11*Turns!I218/airplane!$B$49)</f>
        <v>0.21620088715216035</v>
      </c>
      <c r="K218">
        <f>airplane!$B$45*J218/(airplane!$B$9*airplane!$B$10)</f>
        <v>16.317048086955499</v>
      </c>
      <c r="M218">
        <f t="shared" si="12"/>
        <v>359.26499999999999</v>
      </c>
      <c r="N218">
        <f t="shared" si="13"/>
        <v>72.578229890778061</v>
      </c>
    </row>
    <row r="219" spans="9:14" x14ac:dyDescent="0.2">
      <c r="I219">
        <f t="shared" si="11"/>
        <v>1080</v>
      </c>
      <c r="J219">
        <f>(1/airplane!$B$48)*(airplane!$B$49*airplane!$B$7/Turns!I219+airplane!$B$46^2*airplane!$B$11*Turns!I219/airplane!$B$49)</f>
        <v>0.21695265379272144</v>
      </c>
      <c r="K219">
        <f>airplane!$B$45*J219/(airplane!$B$9*airplane!$B$10)</f>
        <v>16.373785191903501</v>
      </c>
      <c r="M219">
        <f t="shared" si="12"/>
        <v>360.93599999999998</v>
      </c>
      <c r="N219">
        <f t="shared" si="13"/>
        <v>72.830596533586785</v>
      </c>
    </row>
    <row r="220" spans="9:14" x14ac:dyDescent="0.2">
      <c r="I220">
        <f t="shared" si="11"/>
        <v>1085</v>
      </c>
      <c r="J220">
        <f>(1/airplane!$B$48)*(airplane!$B$49*airplane!$B$7/Turns!I220+airplane!$B$46^2*airplane!$B$11*Turns!I220/airplane!$B$49)</f>
        <v>0.2177055873916888</v>
      </c>
      <c r="K220">
        <f>airplane!$B$45*J220/(airplane!$B$9*airplane!$B$10)</f>
        <v>16.430610369184059</v>
      </c>
      <c r="M220">
        <f t="shared" si="12"/>
        <v>362.60699999999997</v>
      </c>
      <c r="N220">
        <f t="shared" si="13"/>
        <v>73.083354922130695</v>
      </c>
    </row>
    <row r="221" spans="9:14" x14ac:dyDescent="0.2">
      <c r="I221">
        <f t="shared" si="11"/>
        <v>1090</v>
      </c>
      <c r="J221">
        <f>(1/airplane!$B$48)*(airplane!$B$49*airplane!$B$7/Turns!I221+airplane!$B$46^2*airplane!$B$11*Turns!I221/airplane!$B$49)</f>
        <v>0.21845967189000179</v>
      </c>
      <c r="K221">
        <f>airplane!$B$45*J221/(airplane!$B$9*airplane!$B$10)</f>
        <v>16.487522406792586</v>
      </c>
      <c r="M221">
        <f t="shared" si="12"/>
        <v>364.27800000000002</v>
      </c>
      <c r="N221">
        <f t="shared" si="13"/>
        <v>73.336499665413427</v>
      </c>
    </row>
    <row r="222" spans="9:14" x14ac:dyDescent="0.2">
      <c r="I222">
        <f t="shared" si="11"/>
        <v>1095</v>
      </c>
      <c r="J222">
        <f>(1/airplane!$B$48)*(airplane!$B$49*airplane!$B$7/Turns!I222+airplane!$B$46^2*airplane!$B$11*Turns!I222/airplane!$B$49)</f>
        <v>0.21921489152191598</v>
      </c>
      <c r="K222">
        <f>airplane!$B$45*J222/(airplane!$B$9*airplane!$B$10)</f>
        <v>16.54452011486158</v>
      </c>
      <c r="M222">
        <f t="shared" si="12"/>
        <v>365.94900000000001</v>
      </c>
      <c r="N222">
        <f t="shared" si="13"/>
        <v>73.590025470904308</v>
      </c>
    </row>
    <row r="223" spans="9:14" x14ac:dyDescent="0.2">
      <c r="I223">
        <f t="shared" si="11"/>
        <v>1100</v>
      </c>
      <c r="J223">
        <f>(1/airplane!$B$48)*(airplane!$B$49*airplane!$B$7/Turns!I223+airplane!$B$46^2*airplane!$B$11*Turns!I223/airplane!$B$49)</f>
        <v>0.21997123080833675</v>
      </c>
      <c r="K223">
        <f>airplane!$B$45*J223/(airplane!$B$9*airplane!$B$10)</f>
        <v>16.60160232515749</v>
      </c>
      <c r="M223">
        <f t="shared" si="12"/>
        <v>367.62</v>
      </c>
      <c r="N223">
        <f t="shared" si="13"/>
        <v>73.843927142300515</v>
      </c>
    </row>
    <row r="224" spans="9:14" x14ac:dyDescent="0.2">
      <c r="I224">
        <f t="shared" si="11"/>
        <v>1105</v>
      </c>
      <c r="J224">
        <f>(1/airplane!$B$48)*(airplane!$B$49*airplane!$B$7/Turns!I224+airplane!$B$46^2*airplane!$B$11*Turns!I224/airplane!$B$49)</f>
        <v>0.22072867455033418</v>
      </c>
      <c r="K224">
        <f>airplane!$B$45*J224/(airplane!$B$9*airplane!$B$10)</f>
        <v>16.658767890591257</v>
      </c>
      <c r="M224">
        <f t="shared" si="12"/>
        <v>369.291</v>
      </c>
      <c r="N224">
        <f t="shared" si="13"/>
        <v>74.098199577349916</v>
      </c>
    </row>
    <row r="225" spans="9:14" x14ac:dyDescent="0.2">
      <c r="I225">
        <f t="shared" si="11"/>
        <v>1110</v>
      </c>
      <c r="J225">
        <f>(1/airplane!$B$48)*(airplane!$B$49*airplane!$B$7/Turns!I225+airplane!$B$46^2*airplane!$B$11*Turns!I225/airplane!$B$49)</f>
        <v>0.2214872078228329</v>
      </c>
      <c r="K225">
        <f>airplane!$B$45*J225/(airplane!$B$9*airplane!$B$10)</f>
        <v>16.716015684742104</v>
      </c>
      <c r="M225">
        <f t="shared" si="12"/>
        <v>370.96199999999999</v>
      </c>
      <c r="N225">
        <f t="shared" si="13"/>
        <v>74.352837765732886</v>
      </c>
    </row>
    <row r="226" spans="9:14" x14ac:dyDescent="0.2">
      <c r="I226">
        <f t="shared" si="11"/>
        <v>1115</v>
      </c>
      <c r="J226">
        <f>(1/airplane!$B$48)*(airplane!$B$49*airplane!$B$7/Turns!I226+airplane!$B$46^2*airplane!$B$11*Turns!I226/airplane!$B$49)</f>
        <v>0.22224681596847193</v>
      </c>
      <c r="K226">
        <f>airplane!$B$45*J226/(airplane!$B$9*airplane!$B$10)</f>
        <v>16.773344601394108</v>
      </c>
      <c r="M226">
        <f t="shared" si="12"/>
        <v>372.63299999999998</v>
      </c>
      <c r="N226">
        <f t="shared" si="13"/>
        <v>74.607836787000991</v>
      </c>
    </row>
    <row r="227" spans="9:14" x14ac:dyDescent="0.2">
      <c r="I227">
        <f t="shared" si="11"/>
        <v>1120</v>
      </c>
      <c r="J227">
        <f>(1/airplane!$B$48)*(airplane!$B$49*airplane!$B$7/Turns!I227+airplane!$B$46^2*airplane!$B$11*Turns!I227/airplane!$B$49)</f>
        <v>0.22300748459162881</v>
      </c>
      <c r="K227">
        <f>airplane!$B$45*J227/(airplane!$B$9*airplane!$B$10)</f>
        <v>16.830753554085195</v>
      </c>
      <c r="M227">
        <f t="shared" si="12"/>
        <v>374.30399999999997</v>
      </c>
      <c r="N227">
        <f t="shared" si="13"/>
        <v>74.86319180857096</v>
      </c>
    </row>
    <row r="228" spans="9:14" x14ac:dyDescent="0.2">
      <c r="I228">
        <f t="shared" si="11"/>
        <v>1125</v>
      </c>
      <c r="J228">
        <f>(1/airplane!$B$48)*(airplane!$B$49*airplane!$B$7/Turns!I228+airplane!$B$46^2*airplane!$B$11*Turns!I228/airplane!$B$49)</f>
        <v>0.22376919955260335</v>
      </c>
      <c r="K228">
        <f>airplane!$B$45*J228/(airplane!$B$9*airplane!$B$10)</f>
        <v>16.888241475668178</v>
      </c>
      <c r="M228">
        <f t="shared" si="12"/>
        <v>375.97500000000002</v>
      </c>
      <c r="N228">
        <f t="shared" si="13"/>
        <v>75.118898083772066</v>
      </c>
    </row>
    <row r="229" spans="9:14" x14ac:dyDescent="0.2">
      <c r="I229">
        <f t="shared" si="11"/>
        <v>1130</v>
      </c>
      <c r="J229">
        <f>(1/airplane!$B$48)*(airplane!$B$49*airplane!$B$7/Turns!I229+airplane!$B$46^2*airplane!$B$11*Turns!I229/airplane!$B$49)</f>
        <v>0.22453194696195547</v>
      </c>
      <c r="K229">
        <f>airplane!$B$45*J229/(airplane!$B$9*airplane!$B$10)</f>
        <v>16.945807317883432</v>
      </c>
      <c r="M229">
        <f t="shared" si="12"/>
        <v>377.64600000000002</v>
      </c>
      <c r="N229">
        <f t="shared" si="13"/>
        <v>75.374950949945514</v>
      </c>
    </row>
    <row r="230" spans="9:14" x14ac:dyDescent="0.2">
      <c r="I230">
        <f t="shared" si="11"/>
        <v>1135</v>
      </c>
      <c r="J230">
        <f>(1/airplane!$B$48)*(airplane!$B$49*airplane!$B$7/Turns!I230+airplane!$B$46^2*airplane!$B$11*Turns!I230/airplane!$B$49)</f>
        <v>0.22529571317499295</v>
      </c>
      <c r="K230">
        <f>airplane!$B$45*J230/(airplane!$B$9*airplane!$B$10)</f>
        <v>17.003450050942863</v>
      </c>
      <c r="M230">
        <f t="shared" si="12"/>
        <v>379.31700000000001</v>
      </c>
      <c r="N230">
        <f t="shared" si="13"/>
        <v>75.631345826593858</v>
      </c>
    </row>
    <row r="231" spans="9:14" x14ac:dyDescent="0.2">
      <c r="I231">
        <f t="shared" si="11"/>
        <v>1140</v>
      </c>
      <c r="J231">
        <f>(1/airplane!$B$48)*(airplane!$B$49*airplane!$B$7/Turns!I231+airplane!$B$46^2*airplane!$B$11*Turns!I231/airplane!$B$49)</f>
        <v>0.22606048478640414</v>
      </c>
      <c r="K231">
        <f>airplane!$B$45*J231/(airplane!$B$9*airplane!$B$10)</f>
        <v>17.061168663124839</v>
      </c>
      <c r="M231">
        <f t="shared" si="12"/>
        <v>380.988</v>
      </c>
      <c r="N231">
        <f t="shared" si="13"/>
        <v>75.888078213579291</v>
      </c>
    </row>
    <row r="232" spans="9:14" x14ac:dyDescent="0.2">
      <c r="I232">
        <f t="shared" si="11"/>
        <v>1145</v>
      </c>
      <c r="J232">
        <f>(1/airplane!$B$48)*(airplane!$B$49*airplane!$B$7/Turns!I232+airplane!$B$46^2*airplane!$B$11*Turns!I232/airplane!$B$49)</f>
        <v>0.22682624862503131</v>
      </c>
      <c r="K232">
        <f>airplane!$B$45*J232/(airplane!$B$9*airplane!$B$10)</f>
        <v>17.11896216037972</v>
      </c>
      <c r="M232">
        <f t="shared" si="12"/>
        <v>382.65899999999999</v>
      </c>
      <c r="N232">
        <f t="shared" si="13"/>
        <v>76.145143689369007</v>
      </c>
    </row>
    <row r="233" spans="9:14" x14ac:dyDescent="0.2">
      <c r="I233">
        <f t="shared" si="11"/>
        <v>1150</v>
      </c>
      <c r="J233">
        <f>(1/airplane!$B$48)*(airplane!$B$49*airplane!$B$7/Turns!I233+airplane!$B$46^2*airplane!$B$11*Turns!I233/airplane!$B$49)</f>
        <v>0.22759299174878034</v>
      </c>
      <c r="K233">
        <f>airplane!$B$45*J233/(airplane!$B$9*airplane!$B$10)</f>
        <v>17.176829565945688</v>
      </c>
      <c r="M233">
        <f t="shared" si="12"/>
        <v>384.33</v>
      </c>
      <c r="N233">
        <f t="shared" si="13"/>
        <v>76.402537909326426</v>
      </c>
    </row>
    <row r="234" spans="9:14" x14ac:dyDescent="0.2">
      <c r="I234">
        <f t="shared" si="11"/>
        <v>1155</v>
      </c>
      <c r="J234">
        <f>(1/airplane!$B$48)*(airplane!$B$49*airplane!$B$7/Turns!I234+airplane!$B$46^2*airplane!$B$11*Turns!I234/airplane!$B$49)</f>
        <v>0.22836070143966267</v>
      </c>
      <c r="K234">
        <f>airplane!$B$45*J234/(airplane!$B$9*airplane!$B$10)</f>
        <v>17.234769919974539</v>
      </c>
      <c r="M234">
        <f t="shared" si="12"/>
        <v>386.00099999999998</v>
      </c>
      <c r="N234">
        <f t="shared" si="13"/>
        <v>76.660256604046751</v>
      </c>
    </row>
    <row r="235" spans="9:14" x14ac:dyDescent="0.2">
      <c r="I235">
        <f t="shared" si="11"/>
        <v>1160</v>
      </c>
      <c r="J235">
        <f>(1/airplane!$B$48)*(airplane!$B$49*airplane!$B$7/Turns!I235+airplane!$B$46^2*airplane!$B$11*Turns!I235/airplane!$B$49)</f>
        <v>0.22912936519896532</v>
      </c>
      <c r="K235">
        <f>airplane!$B$45*J235/(airplane!$B$9*airplane!$B$10)</f>
        <v>17.292782279167191</v>
      </c>
      <c r="M235">
        <f t="shared" si="12"/>
        <v>387.67199999999997</v>
      </c>
      <c r="N235">
        <f t="shared" si="13"/>
        <v>76.918295577735677</v>
      </c>
    </row>
    <row r="236" spans="9:14" x14ac:dyDescent="0.2">
      <c r="I236">
        <f t="shared" si="11"/>
        <v>1165</v>
      </c>
      <c r="J236">
        <f>(1/airplane!$B$48)*(airplane!$B$49*airplane!$B$7/Turns!I236+airplane!$B$46^2*airplane!$B$11*Turns!I236/airplane!$B$49)</f>
        <v>0.22989897074254553</v>
      </c>
      <c r="K236">
        <f>airplane!$B$45*J236/(airplane!$B$9*airplane!$B$10)</f>
        <v>17.350865716418529</v>
      </c>
      <c r="M236">
        <f t="shared" si="12"/>
        <v>389.34300000000002</v>
      </c>
      <c r="N236">
        <f t="shared" si="13"/>
        <v>77.176650706629616</v>
      </c>
    </row>
    <row r="237" spans="9:14" x14ac:dyDescent="0.2">
      <c r="I237">
        <f t="shared" si="11"/>
        <v>1170</v>
      </c>
      <c r="J237">
        <f>(1/airplane!$B$48)*(airplane!$B$49*airplane!$B$7/Turns!I237+airplane!$B$46^2*airplane!$B$11*Turns!I237/airplane!$B$49)</f>
        <v>0.23066950599624594</v>
      </c>
      <c r="K237">
        <f>airplane!$B$45*J237/(airplane!$B$9*airplane!$B$10)</f>
        <v>17.409019320471391</v>
      </c>
      <c r="M237">
        <f t="shared" si="12"/>
        <v>391.01400000000001</v>
      </c>
      <c r="N237">
        <f t="shared" si="13"/>
        <v>77.435317937456759</v>
      </c>
    </row>
    <row r="238" spans="9:14" x14ac:dyDescent="0.2">
      <c r="I238">
        <f t="shared" si="11"/>
        <v>1175</v>
      </c>
      <c r="J238">
        <f>(1/airplane!$B$48)*(airplane!$B$49*airplane!$B$7/Turns!I238+airplane!$B$46^2*airplane!$B$11*Turns!I238/airplane!$B$49)</f>
        <v>0.2314409590914267</v>
      </c>
      <c r="K238">
        <f>airplane!$B$45*J238/(airplane!$B$9*airplane!$B$10)</f>
        <v>17.467242195579374</v>
      </c>
      <c r="M238">
        <f t="shared" si="12"/>
        <v>392.685</v>
      </c>
      <c r="N238">
        <f t="shared" si="13"/>
        <v>77.694293285937064</v>
      </c>
    </row>
    <row r="239" spans="9:14" x14ac:dyDescent="0.2">
      <c r="I239">
        <f t="shared" si="11"/>
        <v>1180</v>
      </c>
      <c r="J239">
        <f>(1/airplane!$B$48)*(airplane!$B$49*airplane!$B$7/Turns!I239+airplane!$B$46^2*airplane!$B$11*Turns!I239/airplane!$B$49)</f>
        <v>0.23221331836061135</v>
      </c>
      <c r="K239">
        <f>airplane!$B$45*J239/(airplane!$B$9*airplane!$B$10)</f>
        <v>17.525533461178213</v>
      </c>
      <c r="M239">
        <f t="shared" si="12"/>
        <v>394.35599999999999</v>
      </c>
      <c r="N239">
        <f t="shared" si="13"/>
        <v>77.953572835320699</v>
      </c>
    </row>
    <row r="240" spans="9:14" x14ac:dyDescent="0.2">
      <c r="I240">
        <f t="shared" si="11"/>
        <v>1185</v>
      </c>
      <c r="J240">
        <f>(1/airplane!$B$48)*(airplane!$B$49*airplane!$B$7/Turns!I240+airplane!$B$46^2*airplane!$B$11*Turns!I240/airplane!$B$49)</f>
        <v>0.23298657233324288</v>
      </c>
      <c r="K240">
        <f>airplane!$B$45*J240/(airplane!$B$9*airplane!$B$10)</f>
        <v>17.583892251565501</v>
      </c>
      <c r="M240">
        <f t="shared" si="12"/>
        <v>396.02699999999999</v>
      </c>
      <c r="N240">
        <f t="shared" si="13"/>
        <v>78.213152734963359</v>
      </c>
    </row>
    <row r="241" spans="9:14" x14ac:dyDescent="0.2">
      <c r="I241">
        <f t="shared" si="11"/>
        <v>1190</v>
      </c>
      <c r="J241">
        <f>(1/airplane!$B$48)*(airplane!$B$49*airplane!$B$7/Turns!I241+airplane!$B$46^2*airplane!$B$11*Turns!I241/airplane!$B$49)</f>
        <v>0.23376070973154681</v>
      </c>
      <c r="K241">
        <f>airplane!$B$45*J241/(airplane!$B$9*airplane!$B$10)</f>
        <v>17.642317715588437</v>
      </c>
      <c r="M241">
        <f t="shared" si="12"/>
        <v>397.69799999999998</v>
      </c>
      <c r="N241">
        <f t="shared" si="13"/>
        <v>78.473029198937368</v>
      </c>
    </row>
    <row r="242" spans="9:14" x14ac:dyDescent="0.2">
      <c r="I242">
        <f t="shared" si="11"/>
        <v>1195</v>
      </c>
      <c r="J242">
        <f>(1/airplane!$B$48)*(airplane!$B$49*airplane!$B$7/Turns!I242+airplane!$B$46^2*airplane!$B$11*Turns!I242/airplane!$B$49)</f>
        <v>0.23453571946649784</v>
      </c>
      <c r="K242">
        <f>airplane!$B$45*J242/(airplane!$B$9*airplane!$B$10)</f>
        <v>17.700809016339459</v>
      </c>
      <c r="M242">
        <f t="shared" si="12"/>
        <v>399.36899999999997</v>
      </c>
      <c r="N242">
        <f t="shared" si="13"/>
        <v>78.733198504677915</v>
      </c>
    </row>
    <row r="243" spans="9:14" x14ac:dyDescent="0.2">
      <c r="I243">
        <f t="shared" si="11"/>
        <v>1200</v>
      </c>
      <c r="J243">
        <f>(1/airplane!$B$48)*(airplane!$B$49*airplane!$B$7/Turns!I243+airplane!$B$46^2*airplane!$B$11*Turns!I243/airplane!$B$49)</f>
        <v>0.23531159063388801</v>
      </c>
      <c r="K243">
        <f>airplane!$B$45*J243/(airplane!$B$9*airplane!$B$10)</f>
        <v>17.759365330859474</v>
      </c>
      <c r="M243">
        <f t="shared" si="12"/>
        <v>401.04</v>
      </c>
      <c r="N243">
        <f t="shared" si="13"/>
        <v>78.993656991662945</v>
      </c>
    </row>
    <row r="244" spans="9:14" x14ac:dyDescent="0.2">
      <c r="I244">
        <f t="shared" si="11"/>
        <v>1205</v>
      </c>
      <c r="J244">
        <f>(1/airplane!$B$48)*(airplane!$B$49*airplane!$B$7/Turns!I244+airplane!$B$46^2*airplane!$B$11*Turns!I244/airplane!$B$49)</f>
        <v>0.23608831251049187</v>
      </c>
      <c r="K244">
        <f>airplane!$B$45*J244/(airplane!$B$9*airplane!$B$10)</f>
        <v>17.817985849848441</v>
      </c>
      <c r="M244">
        <f t="shared" si="12"/>
        <v>402.71100000000001</v>
      </c>
      <c r="N244">
        <f t="shared" si="13"/>
        <v>79.254401060125872</v>
      </c>
    </row>
    <row r="245" spans="9:14" x14ac:dyDescent="0.2">
      <c r="I245">
        <f t="shared" si="11"/>
        <v>1210</v>
      </c>
      <c r="J245">
        <f>(1/airplane!$B$48)*(airplane!$B$49*airplane!$B$7/Turns!I245+airplane!$B$46^2*airplane!$B$11*Turns!I245/airplane!$B$49)</f>
        <v>0.23686587455032745</v>
      </c>
      <c r="K245">
        <f>airplane!$B$45*J245/(airplane!$B$9*airplane!$B$10)</f>
        <v>17.876669777383203</v>
      </c>
      <c r="M245">
        <f t="shared" si="12"/>
        <v>404.38200000000001</v>
      </c>
      <c r="N245">
        <f t="shared" si="13"/>
        <v>79.515427169800489</v>
      </c>
    </row>
    <row r="246" spans="9:14" x14ac:dyDescent="0.2">
      <c r="I246">
        <f t="shared" si="11"/>
        <v>1215</v>
      </c>
      <c r="J246">
        <f>(1/airplane!$B$48)*(airplane!$B$49*airplane!$B$7/Turns!I246+airplane!$B$46^2*airplane!$B$11*Turns!I246/airplane!$B$49)</f>
        <v>0.23764426638100916</v>
      </c>
      <c r="K246">
        <f>airplane!$B$45*J246/(airplane!$B$9*airplane!$B$10)</f>
        <v>17.935416330642202</v>
      </c>
      <c r="M246">
        <f t="shared" si="12"/>
        <v>406.053</v>
      </c>
      <c r="N246">
        <f t="shared" si="13"/>
        <v>79.77673183869652</v>
      </c>
    </row>
    <row r="247" spans="9:14" x14ac:dyDescent="0.2">
      <c r="I247">
        <f t="shared" si="11"/>
        <v>1220</v>
      </c>
      <c r="J247">
        <f>(1/airplane!$B$48)*(airplane!$B$49*airplane!$B$7/Turns!I247+airplane!$B$46^2*airplane!$B$11*Turns!I247/airplane!$B$49)</f>
        <v>0.23842347780019049</v>
      </c>
      <c r="K247">
        <f>airplane!$B$45*J247/(airplane!$B$9*airplane!$B$10)</f>
        <v>17.994224739637016</v>
      </c>
      <c r="M247">
        <f t="shared" si="12"/>
        <v>407.72399999999999</v>
      </c>
      <c r="N247">
        <f t="shared" si="13"/>
        <v>80.038311641905452</v>
      </c>
    </row>
    <row r="248" spans="9:14" x14ac:dyDescent="0.2">
      <c r="I248">
        <f t="shared" si="11"/>
        <v>1225</v>
      </c>
      <c r="J248">
        <f>(1/airplane!$B$48)*(airplane!$B$49*airplane!$B$7/Turns!I248+airplane!$B$46^2*airplane!$B$11*Turns!I248/airplane!$B$49)</f>
        <v>0.23920349877209401</v>
      </c>
      <c r="K248">
        <f>airplane!$B$45*J248/(airplane!$B$9*airplane!$B$10)</f>
        <v>18.053094246950494</v>
      </c>
      <c r="M248">
        <f t="shared" si="12"/>
        <v>409.39499999999998</v>
      </c>
      <c r="N248">
        <f t="shared" si="13"/>
        <v>80.300163210435798</v>
      </c>
    </row>
    <row r="249" spans="9:14" x14ac:dyDescent="0.2">
      <c r="I249">
        <f t="shared" si="11"/>
        <v>1230</v>
      </c>
      <c r="J249">
        <f>(1/airplane!$B$48)*(airplane!$B$49*airplane!$B$7/Turns!I249+airplane!$B$46^2*airplane!$B$11*Turns!I249/airplane!$B$49)</f>
        <v>0.23998431942412543</v>
      </c>
      <c r="K249">
        <f>airplane!$B$45*J249/(airplane!$B$9*airplane!$B$10)</f>
        <v>18.112024107481165</v>
      </c>
      <c r="M249">
        <f t="shared" si="12"/>
        <v>411.06599999999997</v>
      </c>
      <c r="N249">
        <f t="shared" si="13"/>
        <v>80.562283230076233</v>
      </c>
    </row>
    <row r="250" spans="9:14" x14ac:dyDescent="0.2">
      <c r="I250">
        <f t="shared" si="11"/>
        <v>1235</v>
      </c>
      <c r="J250">
        <f>(1/airplane!$B$48)*(airplane!$B$49*airplane!$B$7/Turns!I250+airplane!$B$46^2*airplane!$B$11*Turns!I250/airplane!$B$49)</f>
        <v>0.24076593004357075</v>
      </c>
      <c r="K250">
        <f>airplane!$B$45*J250/(airplane!$B$9*airplane!$B$10)</f>
        <v>18.171013588194018</v>
      </c>
      <c r="M250">
        <f t="shared" si="12"/>
        <v>412.73700000000002</v>
      </c>
      <c r="N250">
        <f t="shared" si="13"/>
        <v>80.824668440286999</v>
      </c>
    </row>
    <row r="251" spans="9:14" x14ac:dyDescent="0.2">
      <c r="I251">
        <f t="shared" si="11"/>
        <v>1240</v>
      </c>
      <c r="J251">
        <f>(1/airplane!$B$48)*(airplane!$B$49*airplane!$B$7/Turns!I251+airplane!$B$46^2*airplane!$B$11*Turns!I251/airplane!$B$49)</f>
        <v>0.24154832107437244</v>
      </c>
      <c r="K251">
        <f>airplane!$B$45*J251/(airplane!$B$9*airplane!$B$10)</f>
        <v>18.230061967877162</v>
      </c>
      <c r="M251">
        <f t="shared" si="12"/>
        <v>414.40800000000002</v>
      </c>
      <c r="N251">
        <f t="shared" si="13"/>
        <v>81.087315633117626</v>
      </c>
    </row>
    <row r="252" spans="9:14" x14ac:dyDescent="0.2">
      <c r="I252">
        <f t="shared" si="11"/>
        <v>1245</v>
      </c>
      <c r="J252">
        <f>(1/airplane!$B$48)*(airplane!$B$49*airplane!$B$7/Turns!I252+airplane!$B$46^2*airplane!$B$11*Turns!I252/airplane!$B$49)</f>
        <v>0.24233148311398411</v>
      </c>
      <c r="K252">
        <f>airplane!$B$45*J252/(airplane!$B$9*airplane!$B$10)</f>
        <v>18.289168536904459</v>
      </c>
      <c r="M252">
        <f t="shared" si="12"/>
        <v>416.07900000000001</v>
      </c>
      <c r="N252">
        <f t="shared" si="13"/>
        <v>81.350221652151035</v>
      </c>
    </row>
    <row r="253" spans="9:14" x14ac:dyDescent="0.2">
      <c r="I253">
        <f t="shared" si="11"/>
        <v>1250</v>
      </c>
      <c r="J253">
        <f>(1/airplane!$B$48)*(airplane!$B$49*airplane!$B$7/Turns!I253+airplane!$B$46^2*airplane!$B$11*Turns!I253/airplane!$B$49)</f>
        <v>0.24311540691030004</v>
      </c>
      <c r="K253">
        <f>airplane!$B$45*J253/(airplane!$B$9*airplane!$B$10)</f>
        <v>18.348332597003775</v>
      </c>
      <c r="M253">
        <f t="shared" si="12"/>
        <v>417.75</v>
      </c>
      <c r="N253">
        <f t="shared" si="13"/>
        <v>81.613383391472794</v>
      </c>
    </row>
    <row r="254" spans="9:14" x14ac:dyDescent="0.2">
      <c r="I254">
        <f t="shared" si="11"/>
        <v>1255</v>
      </c>
      <c r="J254">
        <f>(1/airplane!$B$48)*(airplane!$B$49*airplane!$B$7/Turns!I254+airplane!$B$46^2*airplane!$B$11*Turns!I254/airplane!$B$49)</f>
        <v>0.24390008335865832</v>
      </c>
      <c r="K254">
        <f>airplane!$B$45*J254/(airplane!$B$9*airplane!$B$10)</f>
        <v>18.407553461030815</v>
      </c>
      <c r="M254">
        <f t="shared" si="12"/>
        <v>419.42099999999999</v>
      </c>
      <c r="N254">
        <f t="shared" si="13"/>
        <v>81.87679779466508</v>
      </c>
    </row>
    <row r="255" spans="9:14" x14ac:dyDescent="0.2">
      <c r="I255">
        <f t="shared" si="11"/>
        <v>1260</v>
      </c>
      <c r="J255">
        <f>(1/airplane!$B$48)*(airplane!$B$49*airplane!$B$7/Turns!I255+airplane!$B$46^2*airplane!$B$11*Turns!I255/airplane!$B$49)</f>
        <v>0.24468550349891577</v>
      </c>
      <c r="K255">
        <f>airplane!$B$45*J255/(airplane!$B$9*airplane!$B$10)</f>
        <v>18.466830452748358</v>
      </c>
      <c r="M255">
        <f t="shared" si="12"/>
        <v>421.09199999999998</v>
      </c>
      <c r="N255">
        <f t="shared" si="13"/>
        <v>82.140461853824704</v>
      </c>
    </row>
    <row r="256" spans="9:14" x14ac:dyDescent="0.2">
      <c r="I256">
        <f t="shared" si="11"/>
        <v>1265</v>
      </c>
      <c r="J256">
        <f>(1/airplane!$B$48)*(airplane!$B$49*airplane!$B$7/Turns!I256+airplane!$B$46^2*airplane!$B$11*Turns!I256/airplane!$B$49)</f>
        <v>0.24547165851259117</v>
      </c>
      <c r="K256">
        <f>airplane!$B$45*J256/(airplane!$B$9*airplane!$B$10)</f>
        <v>18.526162906610654</v>
      </c>
      <c r="M256">
        <f t="shared" si="12"/>
        <v>422.76299999999998</v>
      </c>
      <c r="N256">
        <f t="shared" si="13"/>
        <v>82.404372608604191</v>
      </c>
    </row>
    <row r="257" spans="9:14" x14ac:dyDescent="0.2">
      <c r="I257">
        <f t="shared" si="11"/>
        <v>1270</v>
      </c>
      <c r="J257">
        <f>(1/airplane!$B$48)*(airplane!$B$49*airplane!$B$7/Turns!I257+airplane!$B$46^2*airplane!$B$11*Turns!I257/airplane!$B$49)</f>
        <v>0.24625853972007741</v>
      </c>
      <c r="K257">
        <f>airplane!$B$45*J257/(airplane!$B$9*airplane!$B$10)</f>
        <v>18.585550167553013</v>
      </c>
      <c r="M257">
        <f t="shared" si="12"/>
        <v>424.43399999999997</v>
      </c>
      <c r="N257">
        <f t="shared" si="13"/>
        <v>82.668527145275803</v>
      </c>
    </row>
    <row r="258" spans="9:14" x14ac:dyDescent="0.2">
      <c r="I258">
        <f t="shared" si="11"/>
        <v>1275</v>
      </c>
      <c r="J258">
        <f>(1/airplane!$B$48)*(airplane!$B$49*airplane!$B$7/Turns!I258+airplane!$B$46^2*airplane!$B$11*Turns!I258/airplane!$B$49)</f>
        <v>0.24704613857791777</v>
      </c>
      <c r="K258">
        <f>airplane!$B$45*J258/(airplane!$B$9*airplane!$B$10)</f>
        <v>18.644991590786248</v>
      </c>
      <c r="M258">
        <f t="shared" si="12"/>
        <v>426.10500000000002</v>
      </c>
      <c r="N258">
        <f t="shared" si="13"/>
        <v>82.932922595817232</v>
      </c>
    </row>
    <row r="259" spans="9:14" x14ac:dyDescent="0.2">
      <c r="I259">
        <f t="shared" si="11"/>
        <v>1280</v>
      </c>
      <c r="J259">
        <f>(1/airplane!$B$48)*(airplane!$B$49*airplane!$B$7/Turns!I259+airplane!$B$46^2*airplane!$B$11*Turns!I259/airplane!$B$49)</f>
        <v>0.24783444667614724</v>
      </c>
      <c r="K259">
        <f>airplane!$B$45*J259/(airplane!$B$9*airplane!$B$10)</f>
        <v>18.704486541596019</v>
      </c>
      <c r="M259">
        <f t="shared" si="12"/>
        <v>427.77600000000001</v>
      </c>
      <c r="N259">
        <f t="shared" si="13"/>
        <v>83.197556137019106</v>
      </c>
    </row>
    <row r="260" spans="9:14" x14ac:dyDescent="0.2">
      <c r="I260">
        <f t="shared" si="11"/>
        <v>1285</v>
      </c>
      <c r="J260">
        <f>(1/airplane!$B$48)*(airplane!$B$49*airplane!$B$7/Turns!I260+airplane!$B$46^2*airplane!$B$11*Turns!I260/airplane!$B$49)</f>
        <v>0.24862345573569505</v>
      </c>
      <c r="K260">
        <f>airplane!$B$45*J260/(airplane!$B$9*airplane!$B$10)</f>
        <v>18.764034395146794</v>
      </c>
      <c r="M260">
        <f t="shared" si="12"/>
        <v>429.447</v>
      </c>
      <c r="N260">
        <f t="shared" si="13"/>
        <v>83.462424989612941</v>
      </c>
    </row>
    <row r="261" spans="9:14" x14ac:dyDescent="0.2">
      <c r="I261">
        <f t="shared" ref="I261:I324" si="14">I260+5</f>
        <v>1290</v>
      </c>
      <c r="J261">
        <f>(1/airplane!$B$48)*(airplane!$B$49*airplane!$B$7/Turns!I261+airplane!$B$46^2*airplane!$B$11*Turns!I261/airplane!$B$49)</f>
        <v>0.2494131576058482</v>
      </c>
      <c r="K261">
        <f>airplane!$B$45*J261/(airplane!$B$9*airplane!$B$10)</f>
        <v>18.823634536290431</v>
      </c>
      <c r="M261">
        <f t="shared" si="12"/>
        <v>431.11799999999999</v>
      </c>
      <c r="N261">
        <f t="shared" si="13"/>
        <v>83.727526417419838</v>
      </c>
    </row>
    <row r="262" spans="9:14" x14ac:dyDescent="0.2">
      <c r="I262">
        <f t="shared" si="14"/>
        <v>1295</v>
      </c>
      <c r="J262">
        <f>(1/airplane!$B$48)*(airplane!$B$49*airplane!$B$7/Turns!I262+airplane!$B$46^2*airplane!$B$11*Turns!I262/airplane!$B$49)</f>
        <v>0.25020354426177355</v>
      </c>
      <c r="K262">
        <f>airplane!$B$45*J262/(airplane!$B$9*airplane!$B$10)</f>
        <v>18.883286359379134</v>
      </c>
      <c r="M262">
        <f t="shared" si="12"/>
        <v>432.78899999999999</v>
      </c>
      <c r="N262">
        <f t="shared" si="13"/>
        <v>83.992857726518395</v>
      </c>
    </row>
    <row r="263" spans="9:14" x14ac:dyDescent="0.2">
      <c r="I263">
        <f t="shared" si="14"/>
        <v>1300</v>
      </c>
      <c r="J263">
        <f>(1/airplane!$B$48)*(airplane!$B$49*airplane!$B$7/Turns!I263+airplane!$B$46^2*airplane!$B$11*Turns!I263/airplane!$B$49)</f>
        <v>0.25099460780209659</v>
      </c>
      <c r="K263">
        <f>airplane!$B$45*J263/(airplane!$B$9*airplane!$B$10)</f>
        <v>18.942989268082762</v>
      </c>
      <c r="M263">
        <f t="shared" si="12"/>
        <v>434.46</v>
      </c>
      <c r="N263">
        <f t="shared" si="13"/>
        <v>84.258416264432128</v>
      </c>
    </row>
    <row r="264" spans="9:14" x14ac:dyDescent="0.2">
      <c r="I264">
        <f t="shared" si="14"/>
        <v>1305</v>
      </c>
      <c r="J264">
        <f>(1/airplane!$B$48)*(airplane!$B$49*airplane!$B$7/Turns!I264+airplane!$B$46^2*airplane!$B$11*Turns!I264/airplane!$B$49)</f>
        <v>0.25178634044653714</v>
      </c>
      <c r="K264">
        <f>airplane!$B$45*J264/(airplane!$B$9*airplane!$B$10)</f>
        <v>19.002742675210349</v>
      </c>
      <c r="M264">
        <f t="shared" si="12"/>
        <v>436.13099999999997</v>
      </c>
      <c r="N264">
        <f t="shared" si="13"/>
        <v>84.524199419335645</v>
      </c>
    </row>
    <row r="265" spans="9:14" x14ac:dyDescent="0.2">
      <c r="I265">
        <f t="shared" si="14"/>
        <v>1310</v>
      </c>
      <c r="J265">
        <f>(1/airplane!$B$48)*(airplane!$B$49*airplane!$B$7/Turns!I265+airplane!$B$46^2*airplane!$B$11*Turns!I265/airplane!$B$49)</f>
        <v>0.25257873453359747</v>
      </c>
      <c r="K265">
        <f>airplane!$B$45*J265/(airplane!$B$9*airplane!$B$10)</f>
        <v>19.062546002535658</v>
      </c>
      <c r="M265">
        <f t="shared" si="12"/>
        <v>437.80200000000002</v>
      </c>
      <c r="N265">
        <f t="shared" si="13"/>
        <v>84.790204619278612</v>
      </c>
    </row>
    <row r="266" spans="9:14" x14ac:dyDescent="0.2">
      <c r="I266">
        <f t="shared" si="14"/>
        <v>1315</v>
      </c>
      <c r="J266">
        <f>(1/airplane!$B$48)*(airplane!$B$49*airplane!$B$7/Turns!I266+airplane!$B$46^2*airplane!$B$11*Turns!I266/airplane!$B$49)</f>
        <v>0.25337178251830478</v>
      </c>
      <c r="K266">
        <f>airplane!$B$45*J266/(airplane!$B$9*airplane!$B$10)</f>
        <v>19.122398680626777</v>
      </c>
      <c r="M266">
        <f t="shared" si="12"/>
        <v>439.47300000000001</v>
      </c>
      <c r="N266">
        <f t="shared" si="13"/>
        <v>85.056429331427907</v>
      </c>
    </row>
    <row r="267" spans="9:14" x14ac:dyDescent="0.2">
      <c r="I267">
        <f t="shared" si="14"/>
        <v>1320</v>
      </c>
      <c r="J267">
        <f>(1/airplane!$B$48)*(airplane!$B$49*airplane!$B$7/Turns!I267+airplane!$B$46^2*airplane!$B$11*Turns!I267/airplane!$B$49)</f>
        <v>0.25416547697000408</v>
      </c>
      <c r="K267">
        <f>airplane!$B$45*J267/(airplane!$B$9*airplane!$B$10)</f>
        <v>19.182300148679552</v>
      </c>
      <c r="M267">
        <f t="shared" si="12"/>
        <v>441.14400000000001</v>
      </c>
      <c r="N267">
        <f t="shared" si="13"/>
        <v>85.322871061326651</v>
      </c>
    </row>
    <row r="268" spans="9:14" x14ac:dyDescent="0.2">
      <c r="I268">
        <f t="shared" si="14"/>
        <v>1325</v>
      </c>
      <c r="J268">
        <f>(1/airplane!$B$48)*(airplane!$B$49*airplane!$B$7/Turns!I268+airplane!$B$46^2*airplane!$B$11*Turns!I268/airplane!$B$49)</f>
        <v>0.25495981057020101</v>
      </c>
      <c r="K268">
        <f>airplane!$B$45*J268/(airplane!$B$9*airplane!$B$10)</f>
        <v>19.242249854354792</v>
      </c>
      <c r="M268">
        <f t="shared" si="12"/>
        <v>442.815</v>
      </c>
      <c r="N268">
        <f t="shared" si="13"/>
        <v>85.589527352170123</v>
      </c>
    </row>
    <row r="269" spans="9:14" x14ac:dyDescent="0.2">
      <c r="I269">
        <f t="shared" si="14"/>
        <v>1330</v>
      </c>
      <c r="J269">
        <f>(1/airplane!$B$48)*(airplane!$B$49*airplane!$B$7/Turns!I269+airplane!$B$46^2*airplane!$B$11*Turns!I269/airplane!$B$49)</f>
        <v>0.25575477611045394</v>
      </c>
      <c r="K269">
        <f>airplane!$B$45*J269/(airplane!$B$9*airplane!$B$10)</f>
        <v>19.302247253619164</v>
      </c>
      <c r="M269">
        <f t="shared" si="12"/>
        <v>444.48599999999999</v>
      </c>
      <c r="N269">
        <f t="shared" si="13"/>
        <v>85.856395784098055</v>
      </c>
    </row>
    <row r="270" spans="9:14" x14ac:dyDescent="0.2">
      <c r="I270">
        <f t="shared" si="14"/>
        <v>1335</v>
      </c>
      <c r="J270">
        <f>(1/airplane!$B$48)*(airplane!$B$49*airplane!$B$7/Turns!I270+airplane!$B$46^2*airplane!$B$11*Turns!I270/airplane!$B$49)</f>
        <v>0.25655036649031276</v>
      </c>
      <c r="K270">
        <f>airplane!$B$45*J270/(airplane!$B$9*airplane!$B$10)</f>
        <v>19.362291810589642</v>
      </c>
      <c r="M270">
        <f t="shared" ref="M270:M333" si="15">I270*0.3342</f>
        <v>446.15699999999998</v>
      </c>
      <c r="N270">
        <f t="shared" ref="N270:N333" si="16">K270*4.448</f>
        <v>86.12347397350274</v>
      </c>
    </row>
    <row r="271" spans="9:14" x14ac:dyDescent="0.2">
      <c r="I271">
        <f t="shared" si="14"/>
        <v>1340</v>
      </c>
      <c r="J271">
        <f>(1/airplane!$B$48)*(airplane!$B$49*airplane!$B$7/Turns!I271+airplane!$B$46^2*airplane!$B$11*Turns!I271/airplane!$B$49)</f>
        <v>0.25734657471530431</v>
      </c>
      <c r="K271">
        <f>airplane!$B$45*J271/(airplane!$B$9*airplane!$B$10)</f>
        <v>19.422382997381458</v>
      </c>
      <c r="M271">
        <f t="shared" si="15"/>
        <v>447.82799999999997</v>
      </c>
      <c r="N271">
        <f t="shared" si="16"/>
        <v>86.390759572352735</v>
      </c>
    </row>
    <row r="272" spans="9:14" x14ac:dyDescent="0.2">
      <c r="I272">
        <f t="shared" si="14"/>
        <v>1345</v>
      </c>
      <c r="J272">
        <f>(1/airplane!$B$48)*(airplane!$B$49*airplane!$B$7/Turns!I272+airplane!$B$46^2*airplane!$B$11*Turns!I272/airplane!$B$49)</f>
        <v>0.25814339389496238</v>
      </c>
      <c r="K272">
        <f>airplane!$B$45*J272/(airplane!$B$9*airplane!$B$10)</f>
        <v>19.482520293959425</v>
      </c>
      <c r="M272">
        <f t="shared" si="15"/>
        <v>449.49900000000002</v>
      </c>
      <c r="N272">
        <f t="shared" si="16"/>
        <v>86.658250267531528</v>
      </c>
    </row>
    <row r="273" spans="9:14" x14ac:dyDescent="0.2">
      <c r="I273">
        <f t="shared" si="14"/>
        <v>1350</v>
      </c>
      <c r="J273">
        <f>(1/airplane!$B$48)*(airplane!$B$49*airplane!$B$7/Turns!I273+airplane!$B$46^2*airplane!$B$11*Turns!I273/airplane!$B$49)</f>
        <v>0.25894081724090179</v>
      </c>
      <c r="K273">
        <f>airplane!$B$45*J273/(airplane!$B$9*airplane!$B$10)</f>
        <v>19.542703187992586</v>
      </c>
      <c r="M273">
        <f t="shared" si="15"/>
        <v>451.17</v>
      </c>
      <c r="N273">
        <f t="shared" si="16"/>
        <v>86.925943780191034</v>
      </c>
    </row>
    <row r="274" spans="9:14" x14ac:dyDescent="0.2">
      <c r="I274">
        <f t="shared" si="14"/>
        <v>1355</v>
      </c>
      <c r="J274">
        <f>(1/airplane!$B$48)*(airplane!$B$49*airplane!$B$7/Turns!I274+airplane!$B$46^2*airplane!$B$11*Turns!I274/airplane!$B$49)</f>
        <v>0.25973883806493492</v>
      </c>
      <c r="K274">
        <f>airplane!$B$45*J274/(airplane!$B$9*airplane!$B$10)</f>
        <v>19.602931174712065</v>
      </c>
      <c r="M274">
        <f t="shared" si="15"/>
        <v>452.84100000000001</v>
      </c>
      <c r="N274">
        <f t="shared" si="16"/>
        <v>87.193837865119278</v>
      </c>
    </row>
    <row r="275" spans="9:14" x14ac:dyDescent="0.2">
      <c r="I275">
        <f t="shared" si="14"/>
        <v>1360</v>
      </c>
      <c r="J275">
        <f>(1/airplane!$B$48)*(airplane!$B$49*airplane!$B$7/Turns!I275+airplane!$B$46^2*airplane!$B$11*Turns!I275/airplane!$B$49)</f>
        <v>0.26053744977722992</v>
      </c>
      <c r="K275">
        <f>airplane!$B$45*J275/(airplane!$B$9*airplane!$B$10)</f>
        <v>19.66320375677207</v>
      </c>
      <c r="M275">
        <f t="shared" si="15"/>
        <v>454.512</v>
      </c>
      <c r="N275">
        <f t="shared" si="16"/>
        <v>87.46193031012217</v>
      </c>
    </row>
    <row r="276" spans="9:14" x14ac:dyDescent="0.2">
      <c r="I276">
        <f t="shared" si="14"/>
        <v>1365</v>
      </c>
      <c r="J276">
        <f>(1/airplane!$B$48)*(airplane!$B$49*airplane!$B$7/Turns!I276+airplane!$B$46^2*airplane!$B$11*Turns!I276/airplane!$B$49)</f>
        <v>0.26133664588450917</v>
      </c>
      <c r="K276">
        <f>airplane!$B$45*J276/(airplane!$B$9*airplane!$B$10)</f>
        <v>19.723520444113898</v>
      </c>
      <c r="M276">
        <f t="shared" si="15"/>
        <v>456.18299999999999</v>
      </c>
      <c r="N276">
        <f t="shared" si="16"/>
        <v>87.730218935418634</v>
      </c>
    </row>
    <row r="277" spans="9:14" x14ac:dyDescent="0.2">
      <c r="I277">
        <f t="shared" si="14"/>
        <v>1370</v>
      </c>
      <c r="J277">
        <f>(1/airplane!$B$48)*(airplane!$B$49*airplane!$B$7/Turns!I277+airplane!$B$46^2*airplane!$B$11*Turns!I277/airplane!$B$49)</f>
        <v>0.26213641998828735</v>
      </c>
      <c r="K277">
        <f>airplane!$B$45*J277/(airplane!$B$9*airplane!$B$10)</f>
        <v>19.783880753833007</v>
      </c>
      <c r="M277">
        <f t="shared" si="15"/>
        <v>457.85399999999998</v>
      </c>
      <c r="N277">
        <f t="shared" si="16"/>
        <v>87.998701593049219</v>
      </c>
    </row>
    <row r="278" spans="9:14" x14ac:dyDescent="0.2">
      <c r="I278">
        <f t="shared" si="14"/>
        <v>1375</v>
      </c>
      <c r="J278">
        <f>(1/airplane!$B$48)*(airplane!$B$49*airplane!$B$7/Turns!I278+airplane!$B$46^2*airplane!$B$11*Turns!I278/airplane!$B$49)</f>
        <v>0.26293676578314823</v>
      </c>
      <c r="K278">
        <f>airplane!$B$45*J278/(airplane!$B$9*airplane!$B$10)</f>
        <v>19.844284210048922</v>
      </c>
      <c r="M278">
        <f t="shared" si="15"/>
        <v>459.52499999999998</v>
      </c>
      <c r="N278">
        <f t="shared" si="16"/>
        <v>88.267376166297609</v>
      </c>
    </row>
    <row r="279" spans="9:14" x14ac:dyDescent="0.2">
      <c r="I279">
        <f t="shared" si="14"/>
        <v>1380</v>
      </c>
      <c r="J279">
        <f>(1/airplane!$B$48)*(airplane!$B$49*airplane!$B$7/Turns!I279+airplane!$B$46^2*airplane!$B$11*Turns!I279/airplane!$B$49)</f>
        <v>0.26373767705505818</v>
      </c>
      <c r="K279">
        <f>airplane!$B$45*J279/(airplane!$B$9*airplane!$B$10)</f>
        <v>19.904730343777974</v>
      </c>
      <c r="M279">
        <f t="shared" si="15"/>
        <v>461.19599999999997</v>
      </c>
      <c r="N279">
        <f t="shared" si="16"/>
        <v>88.536240569124431</v>
      </c>
    </row>
    <row r="280" spans="9:14" x14ac:dyDescent="0.2">
      <c r="I280">
        <f t="shared" si="14"/>
        <v>1385</v>
      </c>
      <c r="J280">
        <f>(1/airplane!$B$48)*(airplane!$B$49*airplane!$B$7/Turns!I280+airplane!$B$46^2*airplane!$B$11*Turns!I280/airplane!$B$49)</f>
        <v>0.26453914767971709</v>
      </c>
      <c r="K280">
        <f>airplane!$B$45*J280/(airplane!$B$9*airplane!$B$10)</f>
        <v>19.965218692808833</v>
      </c>
      <c r="M280">
        <f t="shared" si="15"/>
        <v>462.86700000000002</v>
      </c>
      <c r="N280">
        <f t="shared" si="16"/>
        <v>88.805292745613698</v>
      </c>
    </row>
    <row r="281" spans="9:14" x14ac:dyDescent="0.2">
      <c r="I281">
        <f t="shared" si="14"/>
        <v>1390</v>
      </c>
      <c r="J281">
        <f>(1/airplane!$B$48)*(airplane!$B$49*airplane!$B$7/Turns!I281+airplane!$B$46^2*airplane!$B$11*Turns!I281/airplane!$B$49)</f>
        <v>0.26534117162094428</v>
      </c>
      <c r="K281">
        <f>airplane!$B$45*J281/(airplane!$B$9*airplane!$B$10)</f>
        <v>20.025748801580701</v>
      </c>
      <c r="M281">
        <f t="shared" si="15"/>
        <v>464.53800000000001</v>
      </c>
      <c r="N281">
        <f t="shared" si="16"/>
        <v>89.07453066943097</v>
      </c>
    </row>
    <row r="282" spans="9:14" x14ac:dyDescent="0.2">
      <c r="I282">
        <f t="shared" si="14"/>
        <v>1395</v>
      </c>
      <c r="J282">
        <f>(1/airplane!$B$48)*(airplane!$B$49*airplane!$B$7/Turns!I282+airplane!$B$46^2*airplane!$B$11*Turns!I282/airplane!$B$49)</f>
        <v>0.26614374292909909</v>
      </c>
      <c r="K282">
        <f>airplane!$B$45*J282/(airplane!$B$9*airplane!$B$10)</f>
        <v>20.086320221064081</v>
      </c>
      <c r="M282">
        <f t="shared" si="15"/>
        <v>466.209</v>
      </c>
      <c r="N282">
        <f t="shared" si="16"/>
        <v>89.34395234329304</v>
      </c>
    </row>
    <row r="283" spans="9:14" x14ac:dyDescent="0.2">
      <c r="I283">
        <f t="shared" si="14"/>
        <v>1400</v>
      </c>
      <c r="J283">
        <f>(1/airplane!$B$48)*(airplane!$B$49*airplane!$B$7/Turns!I283+airplane!$B$46^2*airplane!$B$11*Turns!I283/airplane!$B$49)</f>
        <v>0.26694685573953603</v>
      </c>
      <c r="K283">
        <f>airplane!$B$45*J283/(airplane!$B$9*airplane!$B$10)</f>
        <v>20.146932508644227</v>
      </c>
      <c r="M283">
        <f t="shared" si="15"/>
        <v>467.88</v>
      </c>
      <c r="N283">
        <f t="shared" si="16"/>
        <v>89.613555798449525</v>
      </c>
    </row>
    <row r="284" spans="9:14" x14ac:dyDescent="0.2">
      <c r="I284">
        <f t="shared" si="14"/>
        <v>1405</v>
      </c>
      <c r="J284">
        <f>(1/airplane!$B$48)*(airplane!$B$49*airplane!$B$7/Turns!I284+airplane!$B$46^2*airplane!$B$11*Turns!I284/airplane!$B$49)</f>
        <v>0.26775050427109182</v>
      </c>
      <c r="K284">
        <f>airplane!$B$45*J284/(airplane!$B$9*airplane!$B$10)</f>
        <v>20.207585228006931</v>
      </c>
      <c r="M284">
        <f t="shared" si="15"/>
        <v>469.55099999999999</v>
      </c>
      <c r="N284">
        <f t="shared" si="16"/>
        <v>89.883339094174829</v>
      </c>
    </row>
    <row r="285" spans="9:14" x14ac:dyDescent="0.2">
      <c r="I285">
        <f t="shared" si="14"/>
        <v>1410</v>
      </c>
      <c r="J285">
        <f>(1/airplane!$B$48)*(airplane!$B$49*airplane!$B$7/Turns!I285+airplane!$B$46^2*airplane!$B$11*Turns!I285/airplane!$B$49)</f>
        <v>0.26855468282460565</v>
      </c>
      <c r="K285">
        <f>airplane!$B$45*J285/(airplane!$B$9*airplane!$B$10)</f>
        <v>20.268277949026842</v>
      </c>
      <c r="M285">
        <f t="shared" si="15"/>
        <v>471.22199999999998</v>
      </c>
      <c r="N285">
        <f t="shared" si="16"/>
        <v>90.153300317271402</v>
      </c>
    </row>
    <row r="286" spans="9:14" x14ac:dyDescent="0.2">
      <c r="I286">
        <f t="shared" si="14"/>
        <v>1415</v>
      </c>
      <c r="J286">
        <f>(1/airplane!$B$48)*(airplane!$B$49*airplane!$B$7/Turns!I286+airplane!$B$46^2*airplane!$B$11*Turns!I286/airplane!$B$49)</f>
        <v>0.26935938578147023</v>
      </c>
      <c r="K286">
        <f>airplane!$B$45*J286/(airplane!$B$9*airplane!$B$10)</f>
        <v>20.329010247658129</v>
      </c>
      <c r="M286">
        <f t="shared" si="15"/>
        <v>472.89299999999997</v>
      </c>
      <c r="N286">
        <f t="shared" si="16"/>
        <v>90.423437581583372</v>
      </c>
    </row>
    <row r="287" spans="9:14" x14ac:dyDescent="0.2">
      <c r="I287">
        <f t="shared" si="14"/>
        <v>1420</v>
      </c>
      <c r="J287">
        <f>(1/airplane!$B$48)*(airplane!$B$49*airplane!$B$7/Turns!I287+airplane!$B$46^2*airplane!$B$11*Turns!I287/airplane!$B$49)</f>
        <v>0.2701646076022135</v>
      </c>
      <c r="K287">
        <f>airplane!$B$45*J287/(airplane!$B$9*airplane!$B$10)</f>
        <v>20.389781705827435</v>
      </c>
      <c r="M287">
        <f t="shared" si="15"/>
        <v>474.56400000000002</v>
      </c>
      <c r="N287">
        <f t="shared" si="16"/>
        <v>90.69374902752044</v>
      </c>
    </row>
    <row r="288" spans="9:14" x14ac:dyDescent="0.2">
      <c r="I288">
        <f t="shared" si="14"/>
        <v>1425</v>
      </c>
      <c r="J288">
        <f>(1/airplane!$B$48)*(airplane!$B$49*airplane!$B$7/Turns!I288+airplane!$B$46^2*airplane!$B$11*Turns!I288/airplane!$B$49)</f>
        <v>0.27097034282511046</v>
      </c>
      <c r="K288">
        <f>airplane!$B$45*J288/(airplane!$B$9*airplane!$B$10)</f>
        <v>20.450591911329091</v>
      </c>
      <c r="M288">
        <f t="shared" si="15"/>
        <v>476.23500000000001</v>
      </c>
      <c r="N288">
        <f t="shared" si="16"/>
        <v>90.964232821591807</v>
      </c>
    </row>
    <row r="289" spans="9:14" x14ac:dyDescent="0.2">
      <c r="I289">
        <f t="shared" si="14"/>
        <v>1430</v>
      </c>
      <c r="J289">
        <f>(1/airplane!$B$48)*(airplane!$B$49*airplane!$B$7/Turns!I289+airplane!$B$46^2*airplane!$B$11*Turns!I289/airplane!$B$49)</f>
        <v>0.2717765860648238</v>
      </c>
      <c r="K289">
        <f>airplane!$B$45*J289/(airplane!$B$9*airplane!$B$10)</f>
        <v>20.51144045772255</v>
      </c>
      <c r="M289">
        <f t="shared" si="15"/>
        <v>477.90600000000001</v>
      </c>
      <c r="N289">
        <f t="shared" si="16"/>
        <v>91.234887155949906</v>
      </c>
    </row>
    <row r="290" spans="9:14" x14ac:dyDescent="0.2">
      <c r="I290">
        <f t="shared" si="14"/>
        <v>1435</v>
      </c>
      <c r="J290">
        <f>(1/airplane!$B$48)*(airplane!$B$49*airplane!$B$7/Turns!I290+airplane!$B$46^2*airplane!$B$11*Turns!I290/airplane!$B$49)</f>
        <v>0.27258333201107321</v>
      </c>
      <c r="K290">
        <f>airplane!$B$45*J290/(airplane!$B$9*airplane!$B$10)</f>
        <v>20.572326944231943</v>
      </c>
      <c r="M290">
        <f t="shared" si="15"/>
        <v>479.577</v>
      </c>
      <c r="N290">
        <f t="shared" si="16"/>
        <v>91.505710247943696</v>
      </c>
    </row>
    <row r="291" spans="9:14" x14ac:dyDescent="0.2">
      <c r="I291">
        <f t="shared" si="14"/>
        <v>1440</v>
      </c>
      <c r="J291">
        <f>(1/airplane!$B$48)*(airplane!$B$49*airplane!$B$7/Turns!I291+airplane!$B$46^2*airplane!$B$11*Turns!I291/airplane!$B$49)</f>
        <v>0.27339057542733231</v>
      </c>
      <c r="K291">
        <f>airplane!$B$45*J291/(airplane!$B$9*airplane!$B$10)</f>
        <v>20.633250975647719</v>
      </c>
      <c r="M291">
        <f t="shared" si="15"/>
        <v>481.24799999999999</v>
      </c>
      <c r="N291">
        <f t="shared" si="16"/>
        <v>91.776700339681071</v>
      </c>
    </row>
    <row r="292" spans="9:14" x14ac:dyDescent="0.2">
      <c r="I292">
        <f t="shared" si="14"/>
        <v>1445</v>
      </c>
      <c r="J292">
        <f>(1/airplane!$B$48)*(airplane!$B$49*airplane!$B$7/Turns!I292+airplane!$B$46^2*airplane!$B$11*Turns!I292/airplane!$B$49)</f>
        <v>0.27419831114955251</v>
      </c>
      <c r="K292">
        <f>airplane!$B$45*J292/(airplane!$B$9*airplane!$B$10)</f>
        <v>20.694212162230379</v>
      </c>
      <c r="M292">
        <f t="shared" si="15"/>
        <v>482.91899999999998</v>
      </c>
      <c r="N292">
        <f t="shared" si="16"/>
        <v>92.047855697600738</v>
      </c>
    </row>
    <row r="293" spans="9:14" x14ac:dyDescent="0.2">
      <c r="I293">
        <f t="shared" si="14"/>
        <v>1450</v>
      </c>
      <c r="J293">
        <f>(1/airplane!$B$48)*(airplane!$B$49*airplane!$B$7/Turns!I293+airplane!$B$46^2*airplane!$B$11*Turns!I293/airplane!$B$49)</f>
        <v>0.27500653408491355</v>
      </c>
      <c r="K293">
        <f>airplane!$B$45*J293/(airplane!$B$9*airplane!$B$10)</f>
        <v>20.755210119616116</v>
      </c>
      <c r="M293">
        <f t="shared" si="15"/>
        <v>484.59</v>
      </c>
      <c r="N293">
        <f t="shared" si="16"/>
        <v>92.319174612052493</v>
      </c>
    </row>
    <row r="294" spans="9:14" x14ac:dyDescent="0.2">
      <c r="I294">
        <f t="shared" si="14"/>
        <v>1455</v>
      </c>
      <c r="J294">
        <f>(1/airplane!$B$48)*(airplane!$B$49*airplane!$B$7/Turns!I294+airplane!$B$46^2*airplane!$B$11*Turns!I294/airplane!$B$49)</f>
        <v>0.27581523921059953</v>
      </c>
      <c r="K294">
        <f>airplane!$B$45*J294/(airplane!$B$9*airplane!$B$10)</f>
        <v>20.816244468724491</v>
      </c>
      <c r="M294">
        <f t="shared" si="15"/>
        <v>486.26100000000002</v>
      </c>
      <c r="N294">
        <f t="shared" si="16"/>
        <v>92.590655396886547</v>
      </c>
    </row>
    <row r="295" spans="9:14" x14ac:dyDescent="0.2">
      <c r="I295">
        <f t="shared" si="14"/>
        <v>1460</v>
      </c>
      <c r="J295">
        <f>(1/airplane!$B$48)*(airplane!$B$49*airplane!$B$7/Turns!I295+airplane!$B$46^2*airplane!$B$11*Turns!I295/airplane!$B$49)</f>
        <v>0.27662442157260025</v>
      </c>
      <c r="K295">
        <f>airplane!$B$45*J295/(airplane!$B$9*airplane!$B$10)</f>
        <v>20.877314835667946</v>
      </c>
      <c r="M295">
        <f t="shared" si="15"/>
        <v>487.93200000000002</v>
      </c>
      <c r="N295">
        <f t="shared" si="16"/>
        <v>92.862296389051025</v>
      </c>
    </row>
    <row r="296" spans="9:14" x14ac:dyDescent="0.2">
      <c r="I296">
        <f t="shared" si="14"/>
        <v>1465</v>
      </c>
      <c r="J296">
        <f>(1/airplane!$B$48)*(airplane!$B$49*airplane!$B$7/Turns!I296+airplane!$B$46^2*airplane!$B$11*Turns!I296/airplane!$B$49)</f>
        <v>0.27743407628453715</v>
      </c>
      <c r="K296">
        <f>airplane!$B$45*J296/(airplane!$B$9*airplane!$B$10)</f>
        <v>20.938420851663178</v>
      </c>
      <c r="M296">
        <f t="shared" si="15"/>
        <v>489.60300000000001</v>
      </c>
      <c r="N296">
        <f t="shared" si="16"/>
        <v>93.134095948197825</v>
      </c>
    </row>
    <row r="297" spans="9:14" x14ac:dyDescent="0.2">
      <c r="I297">
        <f t="shared" si="14"/>
        <v>1470</v>
      </c>
      <c r="J297">
        <f>(1/airplane!$B$48)*(airplane!$B$49*airplane!$B$7/Turns!I297+airplane!$B$46^2*airplane!$B$11*Turns!I297/airplane!$B$49)</f>
        <v>0.27824419852651283</v>
      </c>
      <c r="K297">
        <f>airplane!$B$45*J297/(airplane!$B$9*airplane!$B$10)</f>
        <v>20.999562152944364</v>
      </c>
      <c r="M297">
        <f t="shared" si="15"/>
        <v>491.274</v>
      </c>
      <c r="N297">
        <f t="shared" si="16"/>
        <v>93.406052456296536</v>
      </c>
    </row>
    <row r="298" spans="9:14" x14ac:dyDescent="0.2">
      <c r="I298">
        <f t="shared" si="14"/>
        <v>1475</v>
      </c>
      <c r="J298">
        <f>(1/airplane!$B$48)*(airplane!$B$49*airplane!$B$7/Turns!I298+airplane!$B$46^2*airplane!$B$11*Turns!I298/airplane!$B$49)</f>
        <v>0.2790547835439845</v>
      </c>
      <c r="K298">
        <f>airplane!$B$45*J298/(airplane!$B$9*airplane!$B$10)</f>
        <v>21.060738380678075</v>
      </c>
      <c r="M298">
        <f t="shared" si="15"/>
        <v>492.94499999999999</v>
      </c>
      <c r="N298">
        <f t="shared" si="16"/>
        <v>93.67816431725609</v>
      </c>
    </row>
    <row r="299" spans="9:14" x14ac:dyDescent="0.2">
      <c r="I299">
        <f t="shared" si="14"/>
        <v>1480</v>
      </c>
      <c r="J299">
        <f>(1/airplane!$B$48)*(airplane!$B$49*airplane!$B$7/Turns!I299+airplane!$B$46^2*airplane!$B$11*Turns!I299/airplane!$B$49)</f>
        <v>0.2798658266466601</v>
      </c>
      <c r="K299">
        <f>airplane!$B$45*J299/(airplane!$B$9*airplane!$B$10)</f>
        <v>21.121949180880005</v>
      </c>
      <c r="M299">
        <f t="shared" si="15"/>
        <v>494.61599999999999</v>
      </c>
      <c r="N299">
        <f t="shared" si="16"/>
        <v>93.950429956554274</v>
      </c>
    </row>
    <row r="300" spans="9:14" x14ac:dyDescent="0.2">
      <c r="I300">
        <f t="shared" si="14"/>
        <v>1485</v>
      </c>
      <c r="J300">
        <f>(1/airplane!$B$48)*(airplane!$B$49*airplane!$B$7/Turns!I300+airplane!$B$46^2*airplane!$B$11*Turns!I300/airplane!$B$49)</f>
        <v>0.28067732320741623</v>
      </c>
      <c r="K300">
        <f>airplane!$B$45*J300/(airplane!$B$9*airplane!$B$10)</f>
        <v>21.183194204333301</v>
      </c>
      <c r="M300">
        <f t="shared" si="15"/>
        <v>496.28699999999998</v>
      </c>
      <c r="N300">
        <f t="shared" si="16"/>
        <v>94.222847820874534</v>
      </c>
    </row>
    <row r="301" spans="9:14" x14ac:dyDescent="0.2">
      <c r="I301">
        <f t="shared" si="14"/>
        <v>1490</v>
      </c>
      <c r="J301">
        <f>(1/airplane!$B$48)*(airplane!$B$49*airplane!$B$7/Turns!I301+airplane!$B$46^2*airplane!$B$11*Turns!I301/airplane!$B$49)</f>
        <v>0.28148926866123869</v>
      </c>
      <c r="K301">
        <f>airplane!$B$45*J301/(airplane!$B$9*airplane!$B$10)</f>
        <v>21.244473106508579</v>
      </c>
      <c r="M301">
        <f t="shared" si="15"/>
        <v>497.95799999999997</v>
      </c>
      <c r="N301">
        <f t="shared" si="16"/>
        <v>94.495416377750175</v>
      </c>
    </row>
    <row r="302" spans="9:14" x14ac:dyDescent="0.2">
      <c r="I302">
        <f t="shared" si="14"/>
        <v>1495</v>
      </c>
      <c r="J302">
        <f>(1/airplane!$B$48)*(airplane!$B$49*airplane!$B$7/Turns!I302+airplane!$B$46^2*airplane!$B$11*Turns!I302/airplane!$B$49)</f>
        <v>0.28230165850418365</v>
      </c>
      <c r="K302">
        <f>airplane!$B$45*J302/(airplane!$B$9*airplane!$B$10)</f>
        <v>21.305785547485556</v>
      </c>
      <c r="M302">
        <f t="shared" si="15"/>
        <v>499.62900000000002</v>
      </c>
      <c r="N302">
        <f t="shared" si="16"/>
        <v>94.768134115215759</v>
      </c>
    </row>
    <row r="303" spans="9:14" x14ac:dyDescent="0.2">
      <c r="I303">
        <f t="shared" si="14"/>
        <v>1500</v>
      </c>
      <c r="J303">
        <f>(1/airplane!$B$48)*(airplane!$B$49*airplane!$B$7/Turns!I303+airplane!$B$46^2*airplane!$B$11*Turns!I303/airplane!$B$49)</f>
        <v>0.28311448829236002</v>
      </c>
      <c r="K303">
        <f>airplane!$B$45*J303/(airplane!$B$9*airplane!$B$10)</f>
        <v>21.367131191876226</v>
      </c>
      <c r="M303">
        <f t="shared" si="15"/>
        <v>501.3</v>
      </c>
      <c r="N303">
        <f t="shared" si="16"/>
        <v>95.040999541465467</v>
      </c>
    </row>
    <row r="304" spans="9:14" x14ac:dyDescent="0.2">
      <c r="I304">
        <f t="shared" si="14"/>
        <v>1505</v>
      </c>
      <c r="J304">
        <f>(1/airplane!$B$48)*(airplane!$B$49*airplane!$B$7/Turns!I304+airplane!$B$46^2*airplane!$B$11*Turns!I304/airplane!$B$49)</f>
        <v>0.28392775364093148</v>
      </c>
      <c r="K304">
        <f>airplane!$B$45*J304/(airplane!$B$9*airplane!$B$10)</f>
        <v>21.428509708749544</v>
      </c>
      <c r="M304">
        <f t="shared" si="15"/>
        <v>502.971</v>
      </c>
      <c r="N304">
        <f t="shared" si="16"/>
        <v>95.31401118451798</v>
      </c>
    </row>
    <row r="305" spans="9:14" x14ac:dyDescent="0.2">
      <c r="I305">
        <f t="shared" si="14"/>
        <v>1510</v>
      </c>
      <c r="J305">
        <f>(1/airplane!$B$48)*(airplane!$B$49*airplane!$B$7/Turns!I305+airplane!$B$46^2*airplane!$B$11*Turns!I305/airplane!$B$49)</f>
        <v>0.28474145022313913</v>
      </c>
      <c r="K305">
        <f>airplane!$B$45*J305/(airplane!$B$9*airplane!$B$10)</f>
        <v>21.489920771557667</v>
      </c>
      <c r="M305">
        <f t="shared" si="15"/>
        <v>504.642</v>
      </c>
      <c r="N305">
        <f t="shared" si="16"/>
        <v>95.587167591888516</v>
      </c>
    </row>
    <row r="306" spans="9:14" x14ac:dyDescent="0.2">
      <c r="I306">
        <f t="shared" si="14"/>
        <v>1515</v>
      </c>
      <c r="J306">
        <f>(1/airplane!$B$48)*(airplane!$B$49*airplane!$B$7/Turns!I306+airplane!$B$46^2*airplane!$B$11*Turns!I306/airplane!$B$49)</f>
        <v>0.28555557376934304</v>
      </c>
      <c r="K306">
        <f>airplane!$B$45*J306/(airplane!$B$9*airplane!$B$10)</f>
        <v>21.551364058063626</v>
      </c>
      <c r="M306">
        <f t="shared" si="15"/>
        <v>506.31299999999999</v>
      </c>
      <c r="N306">
        <f t="shared" si="16"/>
        <v>95.860467330267014</v>
      </c>
    </row>
    <row r="307" spans="9:14" x14ac:dyDescent="0.2">
      <c r="I307">
        <f t="shared" si="14"/>
        <v>1520</v>
      </c>
      <c r="J307">
        <f>(1/airplane!$B$48)*(airplane!$B$49*airplane!$B$7/Turns!I307+airplane!$B$46^2*airplane!$B$11*Turns!I307/airplane!$B$49)</f>
        <v>0.2863701200660827</v>
      </c>
      <c r="K307">
        <f>airplane!$B$45*J307/(airplane!$B$9*airplane!$B$10)</f>
        <v>21.61283925027039</v>
      </c>
      <c r="M307">
        <f t="shared" si="15"/>
        <v>507.98399999999998</v>
      </c>
      <c r="N307">
        <f t="shared" si="16"/>
        <v>96.133908985202709</v>
      </c>
    </row>
    <row r="308" spans="9:14" x14ac:dyDescent="0.2">
      <c r="I308">
        <f t="shared" si="14"/>
        <v>1525</v>
      </c>
      <c r="J308">
        <f>(1/airplane!$B$48)*(airplane!$B$49*airplane!$B$7/Turns!I308+airplane!$B$46^2*airplane!$B$11*Turns!I308/airplane!$B$49)</f>
        <v>0.28718508495515616</v>
      </c>
      <c r="K308">
        <f>airplane!$B$45*J308/(airplane!$B$9*airplane!$B$10)</f>
        <v>21.674346034351409</v>
      </c>
      <c r="M308">
        <f t="shared" si="15"/>
        <v>509.65499999999997</v>
      </c>
      <c r="N308">
        <f t="shared" si="16"/>
        <v>96.407491160795075</v>
      </c>
    </row>
    <row r="309" spans="9:14" x14ac:dyDescent="0.2">
      <c r="I309">
        <f t="shared" si="14"/>
        <v>1530</v>
      </c>
      <c r="J309">
        <f>(1/airplane!$B$48)*(airplane!$B$49*airplane!$B$7/Turns!I309+airplane!$B$46^2*airplane!$B$11*Turns!I309/airplane!$B$49)</f>
        <v>0.28800046433271698</v>
      </c>
      <c r="K309">
        <f>airplane!$B$45*J309/(airplane!$B$9*airplane!$B$10)</f>
        <v>21.735884100582414</v>
      </c>
      <c r="M309">
        <f t="shared" si="15"/>
        <v>511.32600000000002</v>
      </c>
      <c r="N309">
        <f t="shared" si="16"/>
        <v>96.681212479390581</v>
      </c>
    </row>
    <row r="310" spans="9:14" x14ac:dyDescent="0.2">
      <c r="I310">
        <f t="shared" si="14"/>
        <v>1535</v>
      </c>
      <c r="J310">
        <f>(1/airplane!$B$48)*(airplane!$B$49*airplane!$B$7/Turns!I310+airplane!$B$46^2*airplane!$B$11*Turns!I310/airplane!$B$49)</f>
        <v>0.28881625414838913</v>
      </c>
      <c r="K310">
        <f>airplane!$B$45*J310/(airplane!$B$9*airplane!$B$10)</f>
        <v>21.797453143274652</v>
      </c>
      <c r="M310">
        <f t="shared" si="15"/>
        <v>512.99699999999996</v>
      </c>
      <c r="N310">
        <f t="shared" si="16"/>
        <v>96.955071581285665</v>
      </c>
    </row>
    <row r="311" spans="9:14" x14ac:dyDescent="0.2">
      <c r="I311">
        <f t="shared" si="14"/>
        <v>1540</v>
      </c>
      <c r="J311">
        <f>(1/airplane!$B$48)*(airplane!$B$49*airplane!$B$7/Turns!I311+airplane!$B$46^2*airplane!$B$11*Turns!I311/airplane!$B$49)</f>
        <v>0.28963245040439872</v>
      </c>
      <c r="K311">
        <f>airplane!$B$45*J311/(airplane!$B$9*airplane!$B$10)</f>
        <v>21.859052860709337</v>
      </c>
      <c r="M311">
        <f t="shared" si="15"/>
        <v>514.66800000000001</v>
      </c>
      <c r="N311">
        <f t="shared" si="16"/>
        <v>97.229067124435133</v>
      </c>
    </row>
    <row r="312" spans="9:14" x14ac:dyDescent="0.2">
      <c r="I312">
        <f t="shared" si="14"/>
        <v>1545</v>
      </c>
      <c r="J312">
        <f>(1/airplane!$B$48)*(airplane!$B$49*airplane!$B$7/Turns!I312+airplane!$B$46^2*airplane!$B$11*Turns!I312/airplane!$B$49)</f>
        <v>0.29044904915472303</v>
      </c>
      <c r="K312">
        <f>airplane!$B$45*J312/(airplane!$B$9*airplane!$B$10)</f>
        <v>21.920682955073438</v>
      </c>
      <c r="M312">
        <f t="shared" si="15"/>
        <v>516.33899999999994</v>
      </c>
      <c r="N312">
        <f t="shared" si="16"/>
        <v>97.503197784166659</v>
      </c>
    </row>
    <row r="313" spans="9:14" x14ac:dyDescent="0.2">
      <c r="I313">
        <f t="shared" si="14"/>
        <v>1550</v>
      </c>
      <c r="J313">
        <f>(1/airplane!$B$48)*(airplane!$B$49*airplane!$B$7/Turns!I313+airplane!$B$46^2*airplane!$B$11*Turns!I313/airplane!$B$49)</f>
        <v>0.29126604650425592</v>
      </c>
      <c r="K313">
        <f>airplane!$B$45*J313/(airplane!$B$9*airplane!$B$10)</f>
        <v>21.982343132396672</v>
      </c>
      <c r="M313">
        <f t="shared" si="15"/>
        <v>518.01</v>
      </c>
      <c r="N313">
        <f t="shared" si="16"/>
        <v>97.777462252900406</v>
      </c>
    </row>
    <row r="314" spans="9:14" x14ac:dyDescent="0.2">
      <c r="I314">
        <f t="shared" si="14"/>
        <v>1555</v>
      </c>
      <c r="J314">
        <f>(1/airplane!$B$48)*(airplane!$B$49*airplane!$B$7/Turns!I314+airplane!$B$46^2*airplane!$B$11*Turns!I314/airplane!$B$49)</f>
        <v>0.2920834386079888</v>
      </c>
      <c r="K314">
        <f>airplane!$B$45*J314/(airplane!$B$9*airplane!$B$10)</f>
        <v>22.04403310248972</v>
      </c>
      <c r="M314">
        <f t="shared" si="15"/>
        <v>519.68100000000004</v>
      </c>
      <c r="N314">
        <f t="shared" si="16"/>
        <v>98.05185923987429</v>
      </c>
    </row>
    <row r="315" spans="9:14" x14ac:dyDescent="0.2">
      <c r="I315">
        <f t="shared" si="14"/>
        <v>1560</v>
      </c>
      <c r="J315">
        <f>(1/airplane!$B$48)*(airplane!$B$49*airplane!$B$7/Turns!I315+airplane!$B$46^2*airplane!$B$11*Turns!I315/airplane!$B$49)</f>
        <v>0.29290122167020827</v>
      </c>
      <c r="K315">
        <f>airplane!$B$45*J315/(airplane!$B$9*airplane!$B$10)</f>
        <v>22.105752578883642</v>
      </c>
      <c r="M315">
        <f t="shared" si="15"/>
        <v>521.35199999999998</v>
      </c>
      <c r="N315">
        <f t="shared" si="16"/>
        <v>98.326387470874451</v>
      </c>
    </row>
    <row r="316" spans="9:14" x14ac:dyDescent="0.2">
      <c r="I316">
        <f t="shared" si="14"/>
        <v>1565</v>
      </c>
      <c r="J316">
        <f>(1/airplane!$B$48)*(airplane!$B$49*airplane!$B$7/Turns!I316+airplane!$B$46^2*airplane!$B$11*Turns!I316/airplane!$B$49)</f>
        <v>0.29371939194370833</v>
      </c>
      <c r="K316">
        <f>airplane!$B$45*J316/(airplane!$B$9*airplane!$B$10)</f>
        <v>22.167501278770441</v>
      </c>
      <c r="M316">
        <f t="shared" si="15"/>
        <v>523.02300000000002</v>
      </c>
      <c r="N316">
        <f t="shared" si="16"/>
        <v>98.601045687970924</v>
      </c>
    </row>
    <row r="317" spans="9:14" x14ac:dyDescent="0.2">
      <c r="I317">
        <f t="shared" si="14"/>
        <v>1570</v>
      </c>
      <c r="J317">
        <f>(1/airplane!$B$48)*(airplane!$B$49*airplane!$B$7/Turns!I317+airplane!$B$46^2*airplane!$B$11*Turns!I317/airplane!$B$49)</f>
        <v>0.29453794572901837</v>
      </c>
      <c r="K317">
        <f>airplane!$B$45*J317/(airplane!$B$9*airplane!$B$10)</f>
        <v>22.229278922944779</v>
      </c>
      <c r="M317">
        <f t="shared" si="15"/>
        <v>524.69399999999996</v>
      </c>
      <c r="N317">
        <f t="shared" si="16"/>
        <v>98.875832649258385</v>
      </c>
    </row>
    <row r="318" spans="9:14" x14ac:dyDescent="0.2">
      <c r="I318">
        <f t="shared" si="14"/>
        <v>1575</v>
      </c>
      <c r="J318">
        <f>(1/airplane!$B$48)*(airplane!$B$49*airplane!$B$7/Turns!I318+airplane!$B$46^2*airplane!$B$11*Turns!I318/airplane!$B$49)</f>
        <v>0.29535687937364469</v>
      </c>
      <c r="K318">
        <f>airplane!$B$45*J318/(airplane!$B$9*airplane!$B$10)</f>
        <v>22.291085235746767</v>
      </c>
      <c r="M318">
        <f t="shared" si="15"/>
        <v>526.36500000000001</v>
      </c>
      <c r="N318">
        <f t="shared" si="16"/>
        <v>99.150747128601623</v>
      </c>
    </row>
    <row r="319" spans="9:14" x14ac:dyDescent="0.2">
      <c r="I319">
        <f t="shared" si="14"/>
        <v>1580</v>
      </c>
      <c r="J319">
        <f>(1/airplane!$B$48)*(airplane!$B$49*airplane!$B$7/Turns!I319+airplane!$B$46^2*airplane!$B$11*Turns!I319/airplane!$B$49)</f>
        <v>0.29617618927132811</v>
      </c>
      <c r="K319">
        <f>airplane!$B$45*J319/(airplane!$B$9*airplane!$B$10)</f>
        <v>22.352919945005894</v>
      </c>
      <c r="M319">
        <f t="shared" si="15"/>
        <v>528.03599999999994</v>
      </c>
      <c r="N319">
        <f t="shared" si="16"/>
        <v>99.425787915386223</v>
      </c>
    </row>
    <row r="320" spans="9:14" x14ac:dyDescent="0.2">
      <c r="I320">
        <f t="shared" si="14"/>
        <v>1585</v>
      </c>
      <c r="J320">
        <f>(1/airplane!$B$48)*(airplane!$B$49*airplane!$B$7/Turns!I320+airplane!$B$46^2*airplane!$B$11*Turns!I320/airplane!$B$49)</f>
        <v>0.29699587186131399</v>
      </c>
      <c r="K320">
        <f>airplane!$B$45*J320/(airplane!$B$9*airplane!$B$10)</f>
        <v>22.414782781985959</v>
      </c>
      <c r="M320">
        <f t="shared" si="15"/>
        <v>529.70699999999999</v>
      </c>
      <c r="N320">
        <f t="shared" si="16"/>
        <v>99.700953814273561</v>
      </c>
    </row>
    <row r="321" spans="9:14" x14ac:dyDescent="0.2">
      <c r="I321">
        <f t="shared" si="14"/>
        <v>1590</v>
      </c>
      <c r="J321">
        <f>(1/airplane!$B$48)*(airplane!$B$49*airplane!$B$7/Turns!I321+airplane!$B$46^2*airplane!$B$11*Turns!I321/airplane!$B$49)</f>
        <v>0.29781592362763748</v>
      </c>
      <c r="K321">
        <f>airplane!$B$45*J321/(airplane!$B$9*airplane!$B$10)</f>
        <v>22.47667348133113</v>
      </c>
      <c r="M321">
        <f t="shared" si="15"/>
        <v>531.37800000000004</v>
      </c>
      <c r="N321">
        <f t="shared" si="16"/>
        <v>99.976243644960874</v>
      </c>
    </row>
    <row r="322" spans="9:14" x14ac:dyDescent="0.2">
      <c r="I322">
        <f t="shared" si="14"/>
        <v>1595</v>
      </c>
      <c r="J322">
        <f>(1/airplane!$B$48)*(airplane!$B$49*airplane!$B$7/Turns!I322+airplane!$B$46^2*airplane!$B$11*Turns!I322/airplane!$B$49)</f>
        <v>0.29863634109842058</v>
      </c>
      <c r="K322">
        <f>airplane!$B$45*J322/(airplane!$B$9*airplane!$B$10)</f>
        <v>22.538591781012872</v>
      </c>
      <c r="M322">
        <f t="shared" si="15"/>
        <v>533.04899999999998</v>
      </c>
      <c r="N322">
        <f t="shared" si="16"/>
        <v>100.25165624194527</v>
      </c>
    </row>
    <row r="323" spans="9:14" x14ac:dyDescent="0.2">
      <c r="I323">
        <f t="shared" si="14"/>
        <v>1600</v>
      </c>
      <c r="J323">
        <f>(1/airplane!$B$48)*(airplane!$B$49*airplane!$B$7/Turns!I323+airplane!$B$46^2*airplane!$B$11*Turns!I323/airplane!$B$49)</f>
        <v>0.29945712084518394</v>
      </c>
      <c r="K323">
        <f>airplane!$B$45*J323/(airplane!$B$9*airplane!$B$10)</f>
        <v>22.600537422278034</v>
      </c>
      <c r="M323">
        <f t="shared" si="15"/>
        <v>534.72</v>
      </c>
      <c r="N323">
        <f t="shared" si="16"/>
        <v>100.52719045429271</v>
      </c>
    </row>
    <row r="324" spans="9:14" x14ac:dyDescent="0.2">
      <c r="I324">
        <f t="shared" si="14"/>
        <v>1605</v>
      </c>
      <c r="J324">
        <f>(1/airplane!$B$48)*(airplane!$B$49*airplane!$B$7/Turns!I324+airplane!$B$46^2*airplane!$B$11*Turns!I324/airplane!$B$49)</f>
        <v>0.30027825948217102</v>
      </c>
      <c r="K324">
        <f>airplane!$B$45*J324/(airplane!$B$9*airplane!$B$10)</f>
        <v>22.662510149597811</v>
      </c>
      <c r="M324">
        <f t="shared" si="15"/>
        <v>536.39099999999996</v>
      </c>
      <c r="N324">
        <f t="shared" si="16"/>
        <v>100.80284514541107</v>
      </c>
    </row>
    <row r="325" spans="9:14" x14ac:dyDescent="0.2">
      <c r="I325">
        <f t="shared" ref="I325:I388" si="17">I324+5</f>
        <v>1610</v>
      </c>
      <c r="J325">
        <f>(1/airplane!$B$48)*(airplane!$B$49*airplane!$B$7/Turns!I325+airplane!$B$46^2*airplane!$B$11*Turns!I325/airplane!$B$49)</f>
        <v>0.30109975366568381</v>
      </c>
      <c r="K325">
        <f>airplane!$B$45*J325/(airplane!$B$9*airplane!$B$10)</f>
        <v>22.724509710617646</v>
      </c>
      <c r="M325">
        <f t="shared" si="15"/>
        <v>538.06200000000001</v>
      </c>
      <c r="N325">
        <f t="shared" si="16"/>
        <v>101.0786191928273</v>
      </c>
    </row>
    <row r="326" spans="9:14" x14ac:dyDescent="0.2">
      <c r="I326">
        <f t="shared" si="17"/>
        <v>1615</v>
      </c>
      <c r="J326">
        <f>(1/airplane!$B$48)*(airplane!$B$49*airplane!$B$7/Turns!I326+airplane!$B$46^2*airplane!$B$11*Turns!I326/airplane!$B$49)</f>
        <v>0.30192160009343272</v>
      </c>
      <c r="K326">
        <f>airplane!$B$45*J326/(airplane!$B$9*airplane!$B$10)</f>
        <v>22.786535856108131</v>
      </c>
      <c r="M326">
        <f t="shared" si="15"/>
        <v>539.73299999999995</v>
      </c>
      <c r="N326">
        <f t="shared" si="16"/>
        <v>101.35451148796898</v>
      </c>
    </row>
    <row r="327" spans="9:14" x14ac:dyDescent="0.2">
      <c r="I327">
        <f t="shared" si="17"/>
        <v>1620</v>
      </c>
      <c r="J327">
        <f>(1/airplane!$B$48)*(airplane!$B$49*airplane!$B$7/Turns!I327+airplane!$B$46^2*airplane!$B$11*Turns!I327/airplane!$B$49)</f>
        <v>0.30274379550389691</v>
      </c>
      <c r="K327">
        <f>airplane!$B$45*J327/(airplane!$B$9*airplane!$B$10)</f>
        <v>22.848588339916748</v>
      </c>
      <c r="M327">
        <f t="shared" si="15"/>
        <v>541.404</v>
      </c>
      <c r="N327">
        <f t="shared" si="16"/>
        <v>101.6305209359497</v>
      </c>
    </row>
    <row r="328" spans="9:14" x14ac:dyDescent="0.2">
      <c r="I328">
        <f t="shared" si="17"/>
        <v>1625</v>
      </c>
      <c r="J328">
        <f>(1/airplane!$B$48)*(airplane!$B$49*airplane!$B$7/Turns!I328+airplane!$B$46^2*airplane!$B$11*Turns!I328/airplane!$B$49)</f>
        <v>0.30356633667569771</v>
      </c>
      <c r="K328">
        <f>airplane!$B$45*J328/(airplane!$B$9*airplane!$B$10)</f>
        <v>22.910666918920583</v>
      </c>
      <c r="M328">
        <f t="shared" si="15"/>
        <v>543.07500000000005</v>
      </c>
      <c r="N328">
        <f t="shared" si="16"/>
        <v>101.90664645535877</v>
      </c>
    </row>
    <row r="329" spans="9:14" x14ac:dyDescent="0.2">
      <c r="I329">
        <f t="shared" si="17"/>
        <v>1630</v>
      </c>
      <c r="J329">
        <f>(1/airplane!$B$48)*(airplane!$B$49*airplane!$B$7/Turns!I329+airplane!$B$46^2*airplane!$B$11*Turns!I329/airplane!$B$49)</f>
        <v>0.30438922042698213</v>
      </c>
      <c r="K329">
        <f>airplane!$B$45*J329/(airplane!$B$9*airplane!$B$10)</f>
        <v>22.97277135297978</v>
      </c>
      <c r="M329">
        <f t="shared" si="15"/>
        <v>544.74599999999998</v>
      </c>
      <c r="N329">
        <f t="shared" si="16"/>
        <v>102.18288697805407</v>
      </c>
    </row>
    <row r="330" spans="9:14" x14ac:dyDescent="0.2">
      <c r="I330">
        <f t="shared" si="17"/>
        <v>1635</v>
      </c>
      <c r="J330">
        <f>(1/airplane!$B$48)*(airplane!$B$49*airplane!$B$7/Turns!I330+airplane!$B$46^2*airplane!$B$11*Turns!I330/airplane!$B$49)</f>
        <v>0.30521244361481914</v>
      </c>
      <c r="K330">
        <f>airplane!$B$45*J330/(airplane!$B$9*airplane!$B$10)</f>
        <v>23.034901404892011</v>
      </c>
      <c r="M330">
        <f t="shared" si="15"/>
        <v>546.41700000000003</v>
      </c>
      <c r="N330">
        <f t="shared" si="16"/>
        <v>102.45924144895967</v>
      </c>
    </row>
    <row r="331" spans="9:14" x14ac:dyDescent="0.2">
      <c r="I331">
        <f t="shared" si="17"/>
        <v>1640</v>
      </c>
      <c r="J331">
        <f>(1/airplane!$B$48)*(airplane!$B$49*airplane!$B$7/Turns!I331+airplane!$B$46^2*airplane!$B$11*Turns!I331/airplane!$B$49)</f>
        <v>0.30603600313460633</v>
      </c>
      <c r="K331">
        <f>airplane!$B$45*J331/(airplane!$B$9*airplane!$B$10)</f>
        <v>23.097056840347648</v>
      </c>
      <c r="M331">
        <f t="shared" si="15"/>
        <v>548.08799999999997</v>
      </c>
      <c r="N331">
        <f t="shared" si="16"/>
        <v>102.73570882586634</v>
      </c>
    </row>
    <row r="332" spans="9:14" x14ac:dyDescent="0.2">
      <c r="I332">
        <f t="shared" si="17"/>
        <v>1645</v>
      </c>
      <c r="J332">
        <f>(1/airplane!$B$48)*(airplane!$B$49*airplane!$B$7/Turns!I332+airplane!$B$46^2*airplane!$B$11*Turns!I332/airplane!$B$49)</f>
        <v>0.30685989591948676</v>
      </c>
      <c r="K332">
        <f>airplane!$B$45*J332/(airplane!$B$9*airplane!$B$10)</f>
        <v>23.159237427885792</v>
      </c>
      <c r="M332">
        <f t="shared" si="15"/>
        <v>549.75900000000001</v>
      </c>
      <c r="N332">
        <f t="shared" si="16"/>
        <v>103.01228807923601</v>
      </c>
    </row>
    <row r="333" spans="9:14" x14ac:dyDescent="0.2">
      <c r="I333">
        <f t="shared" si="17"/>
        <v>1650</v>
      </c>
      <c r="J333">
        <f>(1/airplane!$B$48)*(airplane!$B$49*airplane!$B$7/Turns!I333+airplane!$B$46^2*airplane!$B$11*Turns!I333/airplane!$B$49)</f>
        <v>0.30768411893977787</v>
      </c>
      <c r="K333">
        <f>airplane!$B$45*J333/(airplane!$B$9*airplane!$B$10)</f>
        <v>23.221442938851158</v>
      </c>
      <c r="M333">
        <f t="shared" si="15"/>
        <v>551.42999999999995</v>
      </c>
      <c r="N333">
        <f t="shared" si="16"/>
        <v>103.28897819200996</v>
      </c>
    </row>
    <row r="334" spans="9:14" x14ac:dyDescent="0.2">
      <c r="I334">
        <f t="shared" si="17"/>
        <v>1655</v>
      </c>
      <c r="J334">
        <f>(1/airplane!$B$48)*(airplane!$B$49*airplane!$B$7/Turns!I334+airplane!$B$46^2*airplane!$B$11*Turns!I334/airplane!$B$49)</f>
        <v>0.30850866920240938</v>
      </c>
      <c r="K334">
        <f>airplane!$B$45*J334/(airplane!$B$9*airplane!$B$10)</f>
        <v>23.283673147351649</v>
      </c>
      <c r="M334">
        <f t="shared" ref="M334:M397" si="18">I334*0.3342</f>
        <v>553.101</v>
      </c>
      <c r="N334">
        <f t="shared" ref="N334:N397" si="19">K334*4.448</f>
        <v>103.56577815942015</v>
      </c>
    </row>
    <row r="335" spans="9:14" x14ac:dyDescent="0.2">
      <c r="I335">
        <f t="shared" si="17"/>
        <v>1660</v>
      </c>
      <c r="J335">
        <f>(1/airplane!$B$48)*(airplane!$B$49*airplane!$B$7/Turns!I335+airplane!$B$46^2*airplane!$B$11*Turns!I335/airplane!$B$49)</f>
        <v>0.30933354375037242</v>
      </c>
      <c r="K335">
        <f>airplane!$B$45*J335/(airplane!$B$9*airplane!$B$10)</f>
        <v>23.345927830216784</v>
      </c>
      <c r="M335">
        <f t="shared" si="18"/>
        <v>554.77200000000005</v>
      </c>
      <c r="N335">
        <f t="shared" si="19"/>
        <v>103.84268698880426</v>
      </c>
    </row>
    <row r="336" spans="9:14" x14ac:dyDescent="0.2">
      <c r="I336">
        <f t="shared" si="17"/>
        <v>1665</v>
      </c>
      <c r="J336">
        <f>(1/airplane!$B$48)*(airplane!$B$49*airplane!$B$7/Turns!I336+airplane!$B$46^2*airplane!$B$11*Turns!I336/airplane!$B$49)</f>
        <v>0.31015873966217727</v>
      </c>
      <c r="K336">
        <f>airplane!$B$45*J336/(airplane!$B$9*airplane!$B$10)</f>
        <v>23.408206766956773</v>
      </c>
      <c r="M336">
        <f t="shared" si="18"/>
        <v>556.44299999999998</v>
      </c>
      <c r="N336">
        <f t="shared" si="19"/>
        <v>104.11970369942374</v>
      </c>
    </row>
    <row r="337" spans="9:14" x14ac:dyDescent="0.2">
      <c r="I337">
        <f t="shared" si="17"/>
        <v>1670</v>
      </c>
      <c r="J337">
        <f>(1/airplane!$B$48)*(airplane!$B$49*airplane!$B$7/Turns!I337+airplane!$B$46^2*airplane!$B$11*Turns!I337/airplane!$B$49)</f>
        <v>0.31098425405132246</v>
      </c>
      <c r="K337">
        <f>airplane!$B$45*J337/(airplane!$B$9*airplane!$B$10)</f>
        <v>23.470509739722452</v>
      </c>
      <c r="M337">
        <f t="shared" si="18"/>
        <v>558.11400000000003</v>
      </c>
      <c r="N337">
        <f t="shared" si="19"/>
        <v>104.39682732228547</v>
      </c>
    </row>
    <row r="338" spans="9:14" x14ac:dyDescent="0.2">
      <c r="I338">
        <f t="shared" si="17"/>
        <v>1675</v>
      </c>
      <c r="J338">
        <f>(1/airplane!$B$48)*(airplane!$B$49*airplane!$B$7/Turns!I338+airplane!$B$46^2*airplane!$B$11*Turns!I338/airplane!$B$49)</f>
        <v>0.31181008406577215</v>
      </c>
      <c r="K338">
        <f>airplane!$B$45*J338/(airplane!$B$9*airplane!$B$10)</f>
        <v>23.532836533265819</v>
      </c>
      <c r="M338">
        <f t="shared" si="18"/>
        <v>559.78499999999997</v>
      </c>
      <c r="N338">
        <f t="shared" si="19"/>
        <v>104.67405689996637</v>
      </c>
    </row>
    <row r="339" spans="9:14" x14ac:dyDescent="0.2">
      <c r="I339">
        <f t="shared" si="17"/>
        <v>1680</v>
      </c>
      <c r="J339">
        <f>(1/airplane!$B$48)*(airplane!$B$49*airplane!$B$7/Turns!I339+airplane!$B$46^2*airplane!$B$11*Turns!I339/airplane!$B$49)</f>
        <v>0.31263622688744325</v>
      </c>
      <c r="K339">
        <f>airplane!$B$45*J339/(airplane!$B$9*airplane!$B$10)</f>
        <v>23.595186934901374</v>
      </c>
      <c r="M339">
        <f t="shared" si="18"/>
        <v>561.45600000000002</v>
      </c>
      <c r="N339">
        <f t="shared" si="19"/>
        <v>104.95139148644132</v>
      </c>
    </row>
    <row r="340" spans="9:14" x14ac:dyDescent="0.2">
      <c r="I340">
        <f t="shared" si="17"/>
        <v>1685</v>
      </c>
      <c r="J340">
        <f>(1/airplane!$B$48)*(airplane!$B$49*airplane!$B$7/Turns!I340+airplane!$B$46^2*airplane!$B$11*Turns!I340/airplane!$B$49)</f>
        <v>0.31346267973170167</v>
      </c>
      <c r="K340">
        <f>airplane!$B$45*J340/(airplane!$B$9*airplane!$B$10)</f>
        <v>23.657560734468049</v>
      </c>
      <c r="M340">
        <f t="shared" si="18"/>
        <v>563.12699999999995</v>
      </c>
      <c r="N340">
        <f t="shared" si="19"/>
        <v>105.22883014691389</v>
      </c>
    </row>
    <row r="341" spans="9:14" x14ac:dyDescent="0.2">
      <c r="I341">
        <f t="shared" si="17"/>
        <v>1690</v>
      </c>
      <c r="J341">
        <f>(1/airplane!$B$48)*(airplane!$B$49*airplane!$B$7/Turns!I341+airplane!$B$46^2*airplane!$B$11*Turns!I341/airplane!$B$49)</f>
        <v>0.31428943984686758</v>
      </c>
      <c r="K341">
        <f>airplane!$B$45*J341/(airplane!$B$9*airplane!$B$10)</f>
        <v>23.719957724291891</v>
      </c>
      <c r="M341">
        <f t="shared" si="18"/>
        <v>564.798</v>
      </c>
      <c r="N341">
        <f t="shared" si="19"/>
        <v>105.50637195765034</v>
      </c>
    </row>
    <row r="342" spans="9:14" x14ac:dyDescent="0.2">
      <c r="I342">
        <f t="shared" si="17"/>
        <v>1695</v>
      </c>
      <c r="J342">
        <f>(1/airplane!$B$48)*(airplane!$B$49*airplane!$B$7/Turns!I342+airplane!$B$46^2*airplane!$B$11*Turns!I342/airplane!$B$49)</f>
        <v>0.31511650451372969</v>
      </c>
      <c r="K342">
        <f>airplane!$B$45*J342/(airplane!$B$9*airplane!$B$10)</f>
        <v>23.782377699149407</v>
      </c>
      <c r="M342">
        <f t="shared" si="18"/>
        <v>566.46900000000005</v>
      </c>
      <c r="N342">
        <f t="shared" si="19"/>
        <v>105.78401600581657</v>
      </c>
    </row>
    <row r="343" spans="9:14" x14ac:dyDescent="0.2">
      <c r="I343">
        <f t="shared" si="17"/>
        <v>1700</v>
      </c>
      <c r="J343">
        <f>(1/airplane!$B$48)*(airplane!$B$49*airplane!$B$7/Turns!I343+airplane!$B$46^2*airplane!$B$11*Turns!I343/airplane!$B$49)</f>
        <v>0.31594387104506688</v>
      </c>
      <c r="K343">
        <f>airplane!$B$45*J343/(airplane!$B$9*airplane!$B$10)</f>
        <v>23.84482045623146</v>
      </c>
      <c r="M343">
        <f t="shared" si="18"/>
        <v>568.14</v>
      </c>
      <c r="N343">
        <f t="shared" si="19"/>
        <v>106.06176138931754</v>
      </c>
    </row>
    <row r="344" spans="9:14" x14ac:dyDescent="0.2">
      <c r="I344">
        <f t="shared" si="17"/>
        <v>1705</v>
      </c>
      <c r="J344">
        <f>(1/airplane!$B$48)*(airplane!$B$49*airplane!$B$7/Turns!I344+airplane!$B$46^2*airplane!$B$11*Turns!I344/airplane!$B$49)</f>
        <v>0.31677153678518</v>
      </c>
      <c r="K344">
        <f>airplane!$B$45*J344/(airplane!$B$9*airplane!$B$10)</f>
        <v>23.907285795107924</v>
      </c>
      <c r="M344">
        <f t="shared" si="18"/>
        <v>569.81100000000004</v>
      </c>
      <c r="N344">
        <f t="shared" si="19"/>
        <v>106.33960721664006</v>
      </c>
    </row>
    <row r="345" spans="9:14" x14ac:dyDescent="0.2">
      <c r="I345">
        <f t="shared" si="17"/>
        <v>1710</v>
      </c>
      <c r="J345">
        <f>(1/airplane!$B$48)*(airplane!$B$49*airplane!$B$7/Turns!I345+airplane!$B$46^2*airplane!$B$11*Turns!I345/airplane!$B$49)</f>
        <v>0.31759949910943075</v>
      </c>
      <c r="K345">
        <f>airplane!$B$45*J345/(airplane!$B$9*airplane!$B$10)</f>
        <v>23.969773517692882</v>
      </c>
      <c r="M345">
        <f t="shared" si="18"/>
        <v>571.48199999999997</v>
      </c>
      <c r="N345">
        <f t="shared" si="19"/>
        <v>106.61755260669796</v>
      </c>
    </row>
    <row r="346" spans="9:14" x14ac:dyDescent="0.2">
      <c r="I346">
        <f t="shared" si="17"/>
        <v>1715</v>
      </c>
      <c r="J346">
        <f>(1/airplane!$B$48)*(airplane!$B$49*airplane!$B$7/Turns!I346+airplane!$B$46^2*airplane!$B$11*Turns!I346/airplane!$B$49)</f>
        <v>0.31842775542378876</v>
      </c>
      <c r="K346">
        <f>airplane!$B$45*J346/(airplane!$B$9*airplane!$B$10)</f>
        <v>24.032283428210469</v>
      </c>
      <c r="M346">
        <f t="shared" si="18"/>
        <v>573.15300000000002</v>
      </c>
      <c r="N346">
        <f t="shared" si="19"/>
        <v>106.89559668868017</v>
      </c>
    </row>
    <row r="347" spans="9:14" x14ac:dyDescent="0.2">
      <c r="I347">
        <f t="shared" si="17"/>
        <v>1720</v>
      </c>
      <c r="J347">
        <f>(1/airplane!$B$48)*(airplane!$B$49*airplane!$B$7/Turns!I347+airplane!$B$46^2*airplane!$B$11*Turns!I347/airplane!$B$49)</f>
        <v>0.3192563031643868</v>
      </c>
      <c r="K347">
        <f>airplane!$B$45*J347/(airplane!$B$9*airplane!$B$10)</f>
        <v>24.094815333161264</v>
      </c>
      <c r="M347">
        <f t="shared" si="18"/>
        <v>574.82399999999996</v>
      </c>
      <c r="N347">
        <f t="shared" si="19"/>
        <v>107.17373860190132</v>
      </c>
    </row>
    <row r="348" spans="9:14" x14ac:dyDescent="0.2">
      <c r="I348">
        <f t="shared" si="17"/>
        <v>1725</v>
      </c>
      <c r="J348">
        <f>(1/airplane!$B$48)*(airplane!$B$49*airplane!$B$7/Turns!I348+airplane!$B$46^2*airplane!$B$11*Turns!I348/airplane!$B$49)</f>
        <v>0.32008513979708353</v>
      </c>
      <c r="K348">
        <f>airplane!$B$45*J348/(airplane!$B$9*airplane!$B$10)</f>
        <v>24.157369041289321</v>
      </c>
      <c r="M348">
        <f t="shared" si="18"/>
        <v>576.495</v>
      </c>
      <c r="N348">
        <f t="shared" si="19"/>
        <v>107.45197749565492</v>
      </c>
    </row>
    <row r="349" spans="9:14" x14ac:dyDescent="0.2">
      <c r="I349">
        <f t="shared" si="17"/>
        <v>1730</v>
      </c>
      <c r="J349">
        <f>(1/airplane!$B$48)*(airplane!$B$49*airplane!$B$7/Turns!I349+airplane!$B$46^2*airplane!$B$11*Turns!I349/airplane!$B$49)</f>
        <v>0.32091426281703445</v>
      </c>
      <c r="K349">
        <f>airplane!$B$45*J349/(airplane!$B$9*airplane!$B$10)</f>
        <v>24.219944363549768</v>
      </c>
      <c r="M349">
        <f t="shared" si="18"/>
        <v>578.16599999999994</v>
      </c>
      <c r="N349">
        <f t="shared" si="19"/>
        <v>107.73031252906938</v>
      </c>
    </row>
    <row r="350" spans="9:14" x14ac:dyDescent="0.2">
      <c r="I350">
        <f t="shared" si="17"/>
        <v>1735</v>
      </c>
      <c r="J350">
        <f>(1/airplane!$B$48)*(airplane!$B$49*airplane!$B$7/Turns!I350+airplane!$B$46^2*airplane!$B$11*Turns!I350/airplane!$B$49)</f>
        <v>0.32174366974826879</v>
      </c>
      <c r="K350">
        <f>airplane!$B$45*J350/(airplane!$B$9*airplane!$B$10)</f>
        <v>24.282541113076888</v>
      </c>
      <c r="M350">
        <f t="shared" si="18"/>
        <v>579.83699999999999</v>
      </c>
      <c r="N350">
        <f t="shared" si="19"/>
        <v>108.008742870966</v>
      </c>
    </row>
    <row r="351" spans="9:14" x14ac:dyDescent="0.2">
      <c r="I351">
        <f t="shared" si="17"/>
        <v>1740</v>
      </c>
      <c r="J351">
        <f>(1/airplane!$B$48)*(airplane!$B$49*airplane!$B$7/Turns!I351+airplane!$B$46^2*airplane!$B$11*Turns!I351/airplane!$B$49)</f>
        <v>0.32257335814327553</v>
      </c>
      <c r="K351">
        <f>airplane!$B$45*J351/(airplane!$B$9*airplane!$B$10)</f>
        <v>24.34515910515287</v>
      </c>
      <c r="M351">
        <f t="shared" si="18"/>
        <v>581.50800000000004</v>
      </c>
      <c r="N351">
        <f t="shared" si="19"/>
        <v>108.28726769971998</v>
      </c>
    </row>
    <row r="352" spans="9:14" x14ac:dyDescent="0.2">
      <c r="I352">
        <f t="shared" si="17"/>
        <v>1745</v>
      </c>
      <c r="J352">
        <f>(1/airplane!$B$48)*(airplane!$B$49*airplane!$B$7/Turns!I352+airplane!$B$46^2*airplane!$B$11*Turns!I352/airplane!$B$49)</f>
        <v>0.32340332558259538</v>
      </c>
      <c r="K352">
        <f>airplane!$B$45*J352/(airplane!$B$9*airplane!$B$10)</f>
        <v>24.407798157177009</v>
      </c>
      <c r="M352">
        <f t="shared" si="18"/>
        <v>583.17899999999997</v>
      </c>
      <c r="N352">
        <f t="shared" si="19"/>
        <v>108.56588620312334</v>
      </c>
    </row>
    <row r="353" spans="9:14" x14ac:dyDescent="0.2">
      <c r="I353">
        <f t="shared" si="17"/>
        <v>1750</v>
      </c>
      <c r="J353">
        <f>(1/airplane!$B$48)*(airplane!$B$49*airplane!$B$7/Turns!I353+airplane!$B$46^2*airplane!$B$11*Turns!I353/airplane!$B$49)</f>
        <v>0.32423356967442002</v>
      </c>
      <c r="K353">
        <f>airplane!$B$45*J353/(airplane!$B$9*airplane!$B$10)</f>
        <v>24.470458088635471</v>
      </c>
      <c r="M353">
        <f t="shared" si="18"/>
        <v>584.85</v>
      </c>
      <c r="N353">
        <f t="shared" si="19"/>
        <v>108.84459757825059</v>
      </c>
    </row>
    <row r="354" spans="9:14" x14ac:dyDescent="0.2">
      <c r="I354">
        <f t="shared" si="17"/>
        <v>1755</v>
      </c>
      <c r="J354">
        <f>(1/airplane!$B$48)*(airplane!$B$49*airplane!$B$7/Turns!I354+airplane!$B$46^2*airplane!$B$11*Turns!I354/airplane!$B$49)</f>
        <v>0.32506408805419801</v>
      </c>
      <c r="K354">
        <f>airplane!$B$45*J354/(airplane!$B$9*airplane!$B$10)</f>
        <v>24.533138721071545</v>
      </c>
      <c r="M354">
        <f t="shared" si="18"/>
        <v>586.52099999999996</v>
      </c>
      <c r="N354">
        <f t="shared" si="19"/>
        <v>109.12340103132624</v>
      </c>
    </row>
    <row r="355" spans="9:14" x14ac:dyDescent="0.2">
      <c r="I355">
        <f t="shared" si="17"/>
        <v>1760</v>
      </c>
      <c r="J355">
        <f>(1/airplane!$B$48)*(airplane!$B$49*airplane!$B$7/Turns!I355+airplane!$B$46^2*airplane!$B$11*Turns!I355/airplane!$B$49)</f>
        <v>0.32589487838424785</v>
      </c>
      <c r="K355">
        <f>airplane!$B$45*J355/(airplane!$B$9*airplane!$B$10)</f>
        <v>24.595839878056442</v>
      </c>
      <c r="M355">
        <f t="shared" si="18"/>
        <v>588.19200000000001</v>
      </c>
      <c r="N355">
        <f t="shared" si="19"/>
        <v>109.40229577759506</v>
      </c>
    </row>
    <row r="356" spans="9:14" x14ac:dyDescent="0.2">
      <c r="I356">
        <f t="shared" si="17"/>
        <v>1765</v>
      </c>
      <c r="J356">
        <f>(1/airplane!$B$48)*(airplane!$B$49*airplane!$B$7/Turns!I356+airplane!$B$46^2*airplane!$B$11*Turns!I356/airplane!$B$49)</f>
        <v>0.32672593835337765</v>
      </c>
      <c r="K356">
        <f>airplane!$B$45*J356/(airplane!$B$9*airplane!$B$10)</f>
        <v>24.658561385160574</v>
      </c>
      <c r="M356">
        <f t="shared" si="18"/>
        <v>589.86299999999994</v>
      </c>
      <c r="N356">
        <f t="shared" si="19"/>
        <v>109.68128104119424</v>
      </c>
    </row>
    <row r="357" spans="9:14" x14ac:dyDescent="0.2">
      <c r="I357">
        <f t="shared" si="17"/>
        <v>1770</v>
      </c>
      <c r="J357">
        <f>(1/airplane!$B$48)*(airplane!$B$49*airplane!$B$7/Turns!I357+airplane!$B$46^2*airplane!$B$11*Turns!I357/airplane!$B$49)</f>
        <v>0.32755726567651028</v>
      </c>
      <c r="K357">
        <f>airplane!$B$45*J357/(airplane!$B$9*airplane!$B$10)</f>
        <v>24.721303069925302</v>
      </c>
      <c r="M357">
        <f t="shared" si="18"/>
        <v>591.53399999999999</v>
      </c>
      <c r="N357">
        <f t="shared" si="19"/>
        <v>109.96035605502776</v>
      </c>
    </row>
    <row r="358" spans="9:14" x14ac:dyDescent="0.2">
      <c r="I358">
        <f t="shared" si="17"/>
        <v>1775</v>
      </c>
      <c r="J358">
        <f>(1/airplane!$B$48)*(airplane!$B$49*airplane!$B$7/Turns!I358+airplane!$B$46^2*airplane!$B$11*Turns!I358/airplane!$B$49)</f>
        <v>0.32838885809431612</v>
      </c>
      <c r="K358">
        <f>airplane!$B$45*J358/(airplane!$B$9*airplane!$B$10)</f>
        <v>24.784064761835179</v>
      </c>
      <c r="M358">
        <f t="shared" si="18"/>
        <v>593.20500000000004</v>
      </c>
      <c r="N358">
        <f t="shared" si="19"/>
        <v>110.23952006064289</v>
      </c>
    </row>
    <row r="359" spans="9:14" x14ac:dyDescent="0.2">
      <c r="I359">
        <f t="shared" si="17"/>
        <v>1780</v>
      </c>
      <c r="J359">
        <f>(1/airplane!$B$48)*(airplane!$B$49*airplane!$B$7/Turns!I359+airplane!$B$46^2*airplane!$B$11*Turns!I359/airplane!$B$49)</f>
        <v>0.32922071337285147</v>
      </c>
      <c r="K359">
        <f>airplane!$B$45*J359/(airplane!$B$9*airplane!$B$10)</f>
        <v>24.846846292290678</v>
      </c>
      <c r="M359">
        <f t="shared" si="18"/>
        <v>594.87599999999998</v>
      </c>
      <c r="N359">
        <f t="shared" si="19"/>
        <v>110.51877230810895</v>
      </c>
    </row>
    <row r="360" spans="9:14" x14ac:dyDescent="0.2">
      <c r="I360">
        <f t="shared" si="17"/>
        <v>1785</v>
      </c>
      <c r="J360">
        <f>(1/airplane!$B$48)*(airplane!$B$49*airplane!$B$7/Turns!I360+airplane!$B$46^2*airplane!$B$11*Turns!I360/airplane!$B$49)</f>
        <v>0.33005282930320257</v>
      </c>
      <c r="K360">
        <f>airplane!$B$45*J360/(airplane!$B$9*airplane!$B$10)</f>
        <v>24.909647494581325</v>
      </c>
      <c r="M360">
        <f t="shared" si="18"/>
        <v>596.54700000000003</v>
      </c>
      <c r="N360">
        <f t="shared" si="19"/>
        <v>110.79811205589775</v>
      </c>
    </row>
    <row r="361" spans="9:14" x14ac:dyDescent="0.2">
      <c r="I361">
        <f t="shared" si="17"/>
        <v>1790</v>
      </c>
      <c r="J361">
        <f>(1/airplane!$B$48)*(airplane!$B$49*airplane!$B$7/Turns!I361+airplane!$B$46^2*airplane!$B$11*Turns!I361/airplane!$B$49)</f>
        <v>0.33088520370113622</v>
      </c>
      <c r="K361">
        <f>airplane!$B$45*J361/(airplane!$B$9*airplane!$B$10)</f>
        <v>24.972468203859336</v>
      </c>
      <c r="M361">
        <f t="shared" si="18"/>
        <v>598.21799999999996</v>
      </c>
      <c r="N361">
        <f t="shared" si="19"/>
        <v>111.07753857076634</v>
      </c>
    </row>
    <row r="362" spans="9:14" x14ac:dyDescent="0.2">
      <c r="I362">
        <f t="shared" si="17"/>
        <v>1795</v>
      </c>
      <c r="J362">
        <f>(1/airplane!$B$48)*(airplane!$B$49*airplane!$B$7/Turns!I362+airplane!$B$46^2*airplane!$B$11*Turns!I362/airplane!$B$49)</f>
        <v>0.33171783440675623</v>
      </c>
      <c r="K362">
        <f>airplane!$B$45*J362/(airplane!$B$9*airplane!$B$10)</f>
        <v>25.035308257113677</v>
      </c>
      <c r="M362">
        <f t="shared" si="18"/>
        <v>599.88900000000001</v>
      </c>
      <c r="N362">
        <f t="shared" si="19"/>
        <v>111.35705112764164</v>
      </c>
    </row>
    <row r="363" spans="9:14" x14ac:dyDescent="0.2">
      <c r="I363">
        <f t="shared" si="17"/>
        <v>1800</v>
      </c>
      <c r="J363">
        <f>(1/airplane!$B$48)*(airplane!$B$49*airplane!$B$7/Turns!I363+airplane!$B$46^2*airplane!$B$11*Turns!I363/airplane!$B$49)</f>
        <v>0.33255071928416535</v>
      </c>
      <c r="K363">
        <f>airplane!$B$45*J363/(airplane!$B$9*airplane!$B$10)</f>
        <v>25.098167493144555</v>
      </c>
      <c r="M363">
        <f t="shared" si="18"/>
        <v>601.55999999999995</v>
      </c>
      <c r="N363">
        <f t="shared" si="19"/>
        <v>111.63664900950698</v>
      </c>
    </row>
    <row r="364" spans="9:14" x14ac:dyDescent="0.2">
      <c r="I364">
        <f t="shared" si="17"/>
        <v>1805</v>
      </c>
      <c r="J364">
        <f>(1/airplane!$B$48)*(airplane!$B$49*airplane!$B$7/Turns!I364+airplane!$B$46^2*airplane!$B$11*Turns!I364/airplane!$B$49)</f>
        <v>0.33338385622113254</v>
      </c>
      <c r="K364">
        <f>airplane!$B$45*J364/(airplane!$B$9*airplane!$B$10)</f>
        <v>25.161045752538303</v>
      </c>
      <c r="M364">
        <f t="shared" si="18"/>
        <v>603.23099999999999</v>
      </c>
      <c r="N364">
        <f t="shared" si="19"/>
        <v>111.91633150729038</v>
      </c>
    </row>
    <row r="365" spans="9:14" x14ac:dyDescent="0.2">
      <c r="I365">
        <f t="shared" si="17"/>
        <v>1810</v>
      </c>
      <c r="J365">
        <f>(1/airplane!$B$48)*(airplane!$B$49*airplane!$B$7/Turns!I365+airplane!$B$46^2*airplane!$B$11*Turns!I365/airplane!$B$49)</f>
        <v>0.33421724312876633</v>
      </c>
      <c r="K365">
        <f>airplane!$B$45*J365/(airplane!$B$9*airplane!$B$10)</f>
        <v>25.223942877642738</v>
      </c>
      <c r="M365">
        <f t="shared" si="18"/>
        <v>604.90200000000004</v>
      </c>
      <c r="N365">
        <f t="shared" si="19"/>
        <v>112.19609791975491</v>
      </c>
    </row>
    <row r="366" spans="9:14" x14ac:dyDescent="0.2">
      <c r="I366">
        <f t="shared" si="17"/>
        <v>1815</v>
      </c>
      <c r="J366">
        <f>(1/airplane!$B$48)*(airplane!$B$49*airplane!$B$7/Turns!I366+airplane!$B$46^2*airplane!$B$11*Turns!I366/airplane!$B$49)</f>
        <v>0.33505087794119359</v>
      </c>
      <c r="K366">
        <f>airplane!$B$45*J366/(airplane!$B$9*airplane!$B$10)</f>
        <v>25.286858712542912</v>
      </c>
      <c r="M366">
        <f t="shared" si="18"/>
        <v>606.57299999999998</v>
      </c>
      <c r="N366">
        <f t="shared" si="19"/>
        <v>112.47594755339088</v>
      </c>
    </row>
    <row r="367" spans="9:14" x14ac:dyDescent="0.2">
      <c r="I367">
        <f t="shared" si="17"/>
        <v>1820</v>
      </c>
      <c r="J367">
        <f>(1/airplane!$B$48)*(airplane!$B$49*airplane!$B$7/Turns!I367+airplane!$B$46^2*airplane!$B$11*Turns!I367/airplane!$B$49)</f>
        <v>0.33588475861524297</v>
      </c>
      <c r="K367">
        <f>airplane!$B$45*J367/(airplane!$B$9*airplane!$B$10)</f>
        <v>25.349793103037204</v>
      </c>
      <c r="M367">
        <f t="shared" si="18"/>
        <v>608.24400000000003</v>
      </c>
      <c r="N367">
        <f t="shared" si="19"/>
        <v>112.75587972230949</v>
      </c>
    </row>
    <row r="368" spans="9:14" x14ac:dyDescent="0.2">
      <c r="I368">
        <f t="shared" si="17"/>
        <v>1825</v>
      </c>
      <c r="J368">
        <f>(1/airplane!$B$48)*(airplane!$B$49*airplane!$B$7/Turns!I368+airplane!$B$46^2*airplane!$B$11*Turns!I368/airplane!$B$49)</f>
        <v>0.33671888313013393</v>
      </c>
      <c r="K368">
        <f>airplane!$B$45*J368/(airplane!$B$9*airplane!$B$10)</f>
        <v>25.412745896613881</v>
      </c>
      <c r="M368">
        <f t="shared" si="18"/>
        <v>609.91499999999996</v>
      </c>
      <c r="N368">
        <f t="shared" si="19"/>
        <v>113.03589374813855</v>
      </c>
    </row>
    <row r="369" spans="9:14" x14ac:dyDescent="0.2">
      <c r="I369">
        <f t="shared" si="17"/>
        <v>1830</v>
      </c>
      <c r="J369">
        <f>(1/airplane!$B$48)*(airplane!$B$49*airplane!$B$7/Turns!I369+airplane!$B$46^2*airplane!$B$11*Turns!I369/airplane!$B$49)</f>
        <v>0.33755324948717097</v>
      </c>
      <c r="K369">
        <f>airplane!$B$45*J369/(airplane!$B$9*airplane!$B$10)</f>
        <v>25.475716942427997</v>
      </c>
      <c r="M369">
        <f t="shared" si="18"/>
        <v>611.58600000000001</v>
      </c>
      <c r="N369">
        <f t="shared" si="19"/>
        <v>113.31598895991974</v>
      </c>
    </row>
    <row r="370" spans="9:14" x14ac:dyDescent="0.2">
      <c r="I370">
        <f t="shared" si="17"/>
        <v>1835</v>
      </c>
      <c r="J370">
        <f>(1/airplane!$B$48)*(airplane!$B$49*airplane!$B$7/Turns!I370+airplane!$B$46^2*airplane!$B$11*Turns!I370/airplane!$B$49)</f>
        <v>0.33838785570944302</v>
      </c>
      <c r="K370">
        <f>airplane!$B$45*J370/(airplane!$B$9*airplane!$B$10)</f>
        <v>25.538706091278719</v>
      </c>
      <c r="M370">
        <f t="shared" si="18"/>
        <v>613.25699999999995</v>
      </c>
      <c r="N370">
        <f t="shared" si="19"/>
        <v>113.59616469400775</v>
      </c>
    </row>
    <row r="371" spans="9:14" x14ac:dyDescent="0.2">
      <c r="I371">
        <f t="shared" si="17"/>
        <v>1840</v>
      </c>
      <c r="J371">
        <f>(1/airplane!$B$48)*(airplane!$B$49*airplane!$B$7/Turns!I371+airplane!$B$46^2*airplane!$B$11*Turns!I371/airplane!$B$49)</f>
        <v>0.33922269984152686</v>
      </c>
      <c r="K371">
        <f>airplane!$B$45*J371/(airplane!$B$9*airplane!$B$10)</f>
        <v>25.601713195586932</v>
      </c>
      <c r="M371">
        <f t="shared" si="18"/>
        <v>614.928</v>
      </c>
      <c r="N371">
        <f t="shared" si="19"/>
        <v>113.87642029397068</v>
      </c>
    </row>
    <row r="372" spans="9:14" x14ac:dyDescent="0.2">
      <c r="I372">
        <f t="shared" si="17"/>
        <v>1845</v>
      </c>
      <c r="J372">
        <f>(1/airplane!$B$48)*(airplane!$B$49*airplane!$B$7/Turns!I372+airplane!$B$46^2*airplane!$B$11*Turns!I372/airplane!$B$49)</f>
        <v>0.34005777994919628</v>
      </c>
      <c r="K372">
        <f>airplane!$B$45*J372/(airplane!$B$9*airplane!$B$10)</f>
        <v>25.6647381093733</v>
      </c>
      <c r="M372">
        <f t="shared" si="18"/>
        <v>616.59900000000005</v>
      </c>
      <c r="N372">
        <f t="shared" si="19"/>
        <v>114.15675511049244</v>
      </c>
    </row>
    <row r="373" spans="9:14" x14ac:dyDescent="0.2">
      <c r="I373">
        <f t="shared" si="17"/>
        <v>1850</v>
      </c>
      <c r="J373">
        <f>(1/airplane!$B$48)*(airplane!$B$49*airplane!$B$7/Turns!I373+airplane!$B$46^2*airplane!$B$11*Turns!I373/airplane!$B$49)</f>
        <v>0.34089309411913588</v>
      </c>
      <c r="K373">
        <f>airplane!$B$45*J373/(airplane!$B$9*airplane!$B$10)</f>
        <v>25.72778068823667</v>
      </c>
      <c r="M373">
        <f t="shared" si="18"/>
        <v>618.27</v>
      </c>
      <c r="N373">
        <f t="shared" si="19"/>
        <v>114.43716850127672</v>
      </c>
    </row>
    <row r="374" spans="9:14" x14ac:dyDescent="0.2">
      <c r="I374">
        <f t="shared" si="17"/>
        <v>1855</v>
      </c>
      <c r="J374">
        <f>(1/airplane!$B$48)*(airplane!$B$49*airplane!$B$7/Turns!I374+airplane!$B$46^2*airplane!$B$11*Turns!I374/airplane!$B$49)</f>
        <v>0.34172864045865881</v>
      </c>
      <c r="K374">
        <f>airplane!$B$45*J374/(airplane!$B$9*airplane!$B$10)</f>
        <v>25.790840789332737</v>
      </c>
      <c r="M374">
        <f t="shared" si="18"/>
        <v>619.94100000000003</v>
      </c>
      <c r="N374">
        <f t="shared" si="19"/>
        <v>114.71765983095203</v>
      </c>
    </row>
    <row r="375" spans="9:14" x14ac:dyDescent="0.2">
      <c r="I375">
        <f t="shared" si="17"/>
        <v>1860</v>
      </c>
      <c r="J375">
        <f>(1/airplane!$B$48)*(airplane!$B$49*airplane!$B$7/Turns!I375+airplane!$B$46^2*airplane!$B$11*Turns!I375/airplane!$B$49)</f>
        <v>0.34256441709542967</v>
      </c>
      <c r="K375">
        <f>airplane!$B$45*J375/(airplane!$B$9*airplane!$B$10)</f>
        <v>25.85391827135318</v>
      </c>
      <c r="M375">
        <f t="shared" si="18"/>
        <v>621.61199999999997</v>
      </c>
      <c r="N375">
        <f t="shared" si="19"/>
        <v>114.99822847097896</v>
      </c>
    </row>
    <row r="376" spans="9:14" x14ac:dyDescent="0.2">
      <c r="I376">
        <f t="shared" si="17"/>
        <v>1865</v>
      </c>
      <c r="J376">
        <f>(1/airplane!$B$48)*(airplane!$B$49*airplane!$B$7/Turns!I376+airplane!$B$46^2*airplane!$B$11*Turns!I376/airplane!$B$49)</f>
        <v>0.34340042217719174</v>
      </c>
      <c r="K376">
        <f>airplane!$B$45*J376/(airplane!$B$9*airplane!$B$10)</f>
        <v>25.917012994505036</v>
      </c>
      <c r="M376">
        <f t="shared" si="18"/>
        <v>623.28300000000002</v>
      </c>
      <c r="N376">
        <f t="shared" si="19"/>
        <v>115.27887379955841</v>
      </c>
    </row>
    <row r="377" spans="9:14" x14ac:dyDescent="0.2">
      <c r="I377">
        <f t="shared" si="17"/>
        <v>1870</v>
      </c>
      <c r="J377">
        <f>(1/airplane!$B$48)*(airplane!$B$49*airplane!$B$7/Turns!I377+airplane!$B$46^2*airplane!$B$11*Turns!I377/airplane!$B$49)</f>
        <v>0.34423665387149865</v>
      </c>
      <c r="K377">
        <f>airplane!$B$45*J377/(airplane!$B$9*airplane!$B$10)</f>
        <v>25.980124820490463</v>
      </c>
      <c r="M377">
        <f t="shared" si="18"/>
        <v>624.95399999999995</v>
      </c>
      <c r="N377">
        <f t="shared" si="19"/>
        <v>115.55959520154158</v>
      </c>
    </row>
    <row r="378" spans="9:14" x14ac:dyDescent="0.2">
      <c r="I378">
        <f t="shared" si="17"/>
        <v>1875</v>
      </c>
      <c r="J378">
        <f>(1/airplane!$B$48)*(airplane!$B$49*airplane!$B$7/Turns!I378+airplane!$B$46^2*airplane!$B$11*Turns!I378/airplane!$B$49)</f>
        <v>0.34507311036545008</v>
      </c>
      <c r="K378">
        <f>airplane!$B$45*J378/(airplane!$B$9*airplane!$B$10)</f>
        <v>26.043253612486797</v>
      </c>
      <c r="M378">
        <f t="shared" si="18"/>
        <v>626.625</v>
      </c>
      <c r="N378">
        <f t="shared" si="19"/>
        <v>115.84039206834129</v>
      </c>
    </row>
    <row r="379" spans="9:14" x14ac:dyDescent="0.2">
      <c r="I379">
        <f t="shared" si="17"/>
        <v>1880</v>
      </c>
      <c r="J379">
        <f>(1/airplane!$B$48)*(airplane!$B$49*airplane!$B$7/Turns!I379+airplane!$B$46^2*airplane!$B$11*Turns!I379/airplane!$B$49)</f>
        <v>0.34590978986543164</v>
      </c>
      <c r="K379">
        <f>airplane!$B$45*J379/(airplane!$B$9*airplane!$B$10)</f>
        <v>26.106399235126911</v>
      </c>
      <c r="M379">
        <f t="shared" si="18"/>
        <v>628.29600000000005</v>
      </c>
      <c r="N379">
        <f t="shared" si="19"/>
        <v>116.12126379784451</v>
      </c>
    </row>
    <row r="380" spans="9:14" x14ac:dyDescent="0.2">
      <c r="I380">
        <f t="shared" si="17"/>
        <v>1885</v>
      </c>
      <c r="J380">
        <f>(1/airplane!$B$48)*(airplane!$B$49*airplane!$B$7/Turns!I380+airplane!$B$46^2*airplane!$B$11*Turns!I380/airplane!$B$49)</f>
        <v>0.3467466905968597</v>
      </c>
      <c r="K380">
        <f>airplane!$B$45*J380/(airplane!$B$9*airplane!$B$10)</f>
        <v>26.169561554479976</v>
      </c>
      <c r="M380">
        <f t="shared" si="18"/>
        <v>629.96699999999998</v>
      </c>
      <c r="N380">
        <f t="shared" si="19"/>
        <v>116.40220979432695</v>
      </c>
    </row>
    <row r="381" spans="9:14" x14ac:dyDescent="0.2">
      <c r="I381">
        <f t="shared" si="17"/>
        <v>1890</v>
      </c>
      <c r="J381">
        <f>(1/airplane!$B$48)*(airplane!$B$49*airplane!$B$7/Turns!I381+airplane!$B$46^2*airplane!$B$11*Turns!I381/airplane!$B$49)</f>
        <v>0.34758381080392919</v>
      </c>
      <c r="K381">
        <f>airplane!$B$45*J381/(airplane!$B$9*airplane!$B$10)</f>
        <v>26.232740438032391</v>
      </c>
      <c r="M381">
        <f t="shared" si="18"/>
        <v>631.63800000000003</v>
      </c>
      <c r="N381">
        <f t="shared" si="19"/>
        <v>116.68322946836808</v>
      </c>
    </row>
    <row r="382" spans="9:14" x14ac:dyDescent="0.2">
      <c r="I382">
        <f t="shared" si="17"/>
        <v>1895</v>
      </c>
      <c r="J382">
        <f>(1/airplane!$B$48)*(airplane!$B$49*airplane!$B$7/Turns!I382+airplane!$B$46^2*airplane!$B$11*Turns!I382/airplane!$B$49)</f>
        <v>0.34842114874936575</v>
      </c>
      <c r="K382">
        <f>airplane!$B$45*J382/(airplane!$B$9*airplane!$B$10)</f>
        <v>26.295935754669113</v>
      </c>
      <c r="M382">
        <f t="shared" si="18"/>
        <v>633.30899999999997</v>
      </c>
      <c r="N382">
        <f t="shared" si="19"/>
        <v>116.96432223676823</v>
      </c>
    </row>
    <row r="383" spans="9:14" x14ac:dyDescent="0.2">
      <c r="I383">
        <f t="shared" si="17"/>
        <v>1900</v>
      </c>
      <c r="J383">
        <f>(1/airplane!$B$48)*(airplane!$B$49*airplane!$B$7/Turns!I383+airplane!$B$46^2*airplane!$B$11*Turns!I383/airplane!$B$49)</f>
        <v>0.3492587027141823</v>
      </c>
      <c r="K383">
        <f>airplane!$B$45*J383/(airplane!$B$9*airplane!$B$10)</f>
        <v>26.359147374655265</v>
      </c>
      <c r="M383">
        <f t="shared" si="18"/>
        <v>634.98</v>
      </c>
      <c r="N383">
        <f t="shared" si="19"/>
        <v>117.24548752246663</v>
      </c>
    </row>
    <row r="384" spans="9:14" x14ac:dyDescent="0.2">
      <c r="I384">
        <f t="shared" si="17"/>
        <v>1905</v>
      </c>
      <c r="J384">
        <f>(1/airplane!$B$48)*(airplane!$B$49*airplane!$B$7/Turns!I384+airplane!$B$46^2*airplane!$B$11*Turns!I384/airplane!$B$49)</f>
        <v>0.3500964709974389</v>
      </c>
      <c r="K384">
        <f>airplane!$B$45*J384/(airplane!$B$9*airplane!$B$10)</f>
        <v>26.422375169618032</v>
      </c>
      <c r="M384">
        <f t="shared" si="18"/>
        <v>636.65099999999995</v>
      </c>
      <c r="N384">
        <f t="shared" si="19"/>
        <v>117.52672475446101</v>
      </c>
    </row>
    <row r="385" spans="9:14" x14ac:dyDescent="0.2">
      <c r="I385">
        <f t="shared" si="17"/>
        <v>1910</v>
      </c>
      <c r="J385">
        <f>(1/airplane!$B$48)*(airplane!$B$49*airplane!$B$7/Turns!I385+airplane!$B$46^2*airplane!$B$11*Turns!I385/airplane!$B$49)</f>
        <v>0.35093445191600653</v>
      </c>
      <c r="K385">
        <f>airplane!$B$45*J385/(airplane!$B$9*airplane!$B$10)</f>
        <v>26.485619012528794</v>
      </c>
      <c r="M385">
        <f t="shared" si="18"/>
        <v>638.322</v>
      </c>
      <c r="N385">
        <f t="shared" si="19"/>
        <v>117.80803336772809</v>
      </c>
    </row>
    <row r="386" spans="9:14" x14ac:dyDescent="0.2">
      <c r="I386">
        <f t="shared" si="17"/>
        <v>1915</v>
      </c>
      <c r="J386">
        <f>(1/airplane!$B$48)*(airplane!$B$49*airplane!$B$7/Turns!I386+airplane!$B$46^2*airplane!$B$11*Turns!I386/airplane!$B$49)</f>
        <v>0.35177264380433415</v>
      </c>
      <c r="K386">
        <f>airplane!$B$45*J386/(airplane!$B$9*airplane!$B$10)</f>
        <v>26.548878777685598</v>
      </c>
      <c r="M386">
        <f t="shared" si="18"/>
        <v>639.99299999999994</v>
      </c>
      <c r="N386">
        <f t="shared" si="19"/>
        <v>118.08941280314555</v>
      </c>
    </row>
    <row r="387" spans="9:14" x14ac:dyDescent="0.2">
      <c r="I387">
        <f t="shared" si="17"/>
        <v>1920</v>
      </c>
      <c r="J387">
        <f>(1/airplane!$B$48)*(airplane!$B$49*airplane!$B$7/Turns!I387+airplane!$B$46^2*airplane!$B$11*Turns!I387/airplane!$B$49)</f>
        <v>0.3526110450142208</v>
      </c>
      <c r="K387">
        <f>airplane!$B$45*J387/(airplane!$B$9*airplane!$B$10)</f>
        <v>26.612154340695909</v>
      </c>
      <c r="M387">
        <f t="shared" si="18"/>
        <v>641.66399999999999</v>
      </c>
      <c r="N387">
        <f t="shared" si="19"/>
        <v>118.37086250741541</v>
      </c>
    </row>
    <row r="388" spans="9:14" x14ac:dyDescent="0.2">
      <c r="I388">
        <f t="shared" si="17"/>
        <v>1925</v>
      </c>
      <c r="J388">
        <f>(1/airplane!$B$48)*(airplane!$B$49*airplane!$B$7/Turns!I388+airplane!$B$46^2*airplane!$B$11*Turns!I388/airplane!$B$49)</f>
        <v>0.35344965391458927</v>
      </c>
      <c r="K388">
        <f>airplane!$B$45*J388/(airplane!$B$9*airplane!$B$10)</f>
        <v>26.675445578459566</v>
      </c>
      <c r="M388">
        <f t="shared" si="18"/>
        <v>643.33500000000004</v>
      </c>
      <c r="N388">
        <f t="shared" si="19"/>
        <v>118.65238193298816</v>
      </c>
    </row>
    <row r="389" spans="9:14" x14ac:dyDescent="0.2">
      <c r="I389">
        <f t="shared" ref="I389:I412" si="20">I388+5</f>
        <v>1930</v>
      </c>
      <c r="J389">
        <f>(1/airplane!$B$48)*(airplane!$B$49*airplane!$B$7/Turns!I389+airplane!$B$46^2*airplane!$B$11*Turns!I389/airplane!$B$49)</f>
        <v>0.35428846889126492</v>
      </c>
      <c r="K389">
        <f>airplane!$B$45*J389/(airplane!$B$9*airplane!$B$10)</f>
        <v>26.738752369152067</v>
      </c>
      <c r="M389">
        <f t="shared" si="18"/>
        <v>645.00599999999997</v>
      </c>
      <c r="N389">
        <f t="shared" si="19"/>
        <v>118.9339705379884</v>
      </c>
    </row>
    <row r="390" spans="9:14" x14ac:dyDescent="0.2">
      <c r="I390">
        <f t="shared" si="20"/>
        <v>1935</v>
      </c>
      <c r="J390">
        <f>(1/airplane!$B$48)*(airplane!$B$49*airplane!$B$7/Turns!I390+airplane!$B$46^2*airplane!$B$11*Turns!I390/airplane!$B$49)</f>
        <v>0.35512748834675678</v>
      </c>
      <c r="K390">
        <f>airplane!$B$45*J390/(airplane!$B$9*airplane!$B$10)</f>
        <v>26.802074592208058</v>
      </c>
      <c r="M390">
        <f t="shared" si="18"/>
        <v>646.67700000000002</v>
      </c>
      <c r="N390">
        <f t="shared" si="19"/>
        <v>119.21562778614145</v>
      </c>
    </row>
    <row r="391" spans="9:14" x14ac:dyDescent="0.2">
      <c r="I391">
        <f t="shared" si="20"/>
        <v>1940</v>
      </c>
      <c r="J391">
        <f>(1/airplane!$B$48)*(airplane!$B$49*airplane!$B$7/Turns!I391+airplane!$B$46^2*airplane!$B$11*Turns!I391/airplane!$B$49)</f>
        <v>0.35596671070004332</v>
      </c>
      <c r="K391">
        <f>airplane!$B$45*J391/(airplane!$B$9*airplane!$B$10)</f>
        <v>26.865412128305152</v>
      </c>
      <c r="M391">
        <f t="shared" si="18"/>
        <v>648.34799999999996</v>
      </c>
      <c r="N391">
        <f t="shared" si="19"/>
        <v>119.49735314670133</v>
      </c>
    </row>
    <row r="392" spans="9:14" x14ac:dyDescent="0.2">
      <c r="I392">
        <f t="shared" si="20"/>
        <v>1945</v>
      </c>
      <c r="J392">
        <f>(1/airplane!$B$48)*(airplane!$B$49*airplane!$B$7/Turns!I392+airplane!$B$46^2*airplane!$B$11*Turns!I392/airplane!$B$49)</f>
        <v>0.35680613438636</v>
      </c>
      <c r="K392">
        <f>airplane!$B$45*J392/(airplane!$B$9*airplane!$B$10)</f>
        <v>26.928764859347922</v>
      </c>
      <c r="M392">
        <f t="shared" si="18"/>
        <v>650.01900000000001</v>
      </c>
      <c r="N392">
        <f t="shared" si="19"/>
        <v>119.77914609437957</v>
      </c>
    </row>
    <row r="393" spans="9:14" x14ac:dyDescent="0.2">
      <c r="I393">
        <f t="shared" si="20"/>
        <v>1950</v>
      </c>
      <c r="J393">
        <f>(1/airplane!$B$48)*(airplane!$B$49*airplane!$B$7/Turns!I393+airplane!$B$46^2*airplane!$B$11*Turns!I393/airplane!$B$49)</f>
        <v>0.3576457578569911</v>
      </c>
      <c r="K393">
        <f>airplane!$B$45*J393/(airplane!$B$9*airplane!$B$10)</f>
        <v>26.992132668452157</v>
      </c>
      <c r="M393">
        <f t="shared" si="18"/>
        <v>651.68999999999994</v>
      </c>
      <c r="N393">
        <f t="shared" si="19"/>
        <v>120.06100610927521</v>
      </c>
    </row>
    <row r="394" spans="9:14" x14ac:dyDescent="0.2">
      <c r="I394">
        <f t="shared" si="20"/>
        <v>1955</v>
      </c>
      <c r="J394">
        <f>(1/airplane!$B$48)*(airplane!$B$49*airplane!$B$7/Turns!I394+airplane!$B$46^2*airplane!$B$11*Turns!I394/airplane!$B$49)</f>
        <v>0.35848557957906468</v>
      </c>
      <c r="K394">
        <f>airplane!$B$45*J394/(airplane!$B$9*airplane!$B$10)</f>
        <v>27.055515439929408</v>
      </c>
      <c r="M394">
        <f t="shared" si="18"/>
        <v>653.36099999999999</v>
      </c>
      <c r="N394">
        <f t="shared" si="19"/>
        <v>120.34293267680602</v>
      </c>
    </row>
    <row r="395" spans="9:14" x14ac:dyDescent="0.2">
      <c r="I395">
        <f t="shared" si="20"/>
        <v>1960</v>
      </c>
      <c r="J395">
        <f>(1/airplane!$B$48)*(airplane!$B$49*airplane!$B$7/Turns!I395+airplane!$B$46^2*airplane!$B$11*Turns!I395/airplane!$B$49)</f>
        <v>0.35932559803535041</v>
      </c>
      <c r="K395">
        <f>airplane!$B$45*J395/(airplane!$B$9*airplane!$B$10)</f>
        <v>27.11891305927173</v>
      </c>
      <c r="M395">
        <f t="shared" si="18"/>
        <v>655.03200000000004</v>
      </c>
      <c r="N395">
        <f t="shared" si="19"/>
        <v>120.62492528764066</v>
      </c>
    </row>
    <row r="396" spans="9:14" x14ac:dyDescent="0.2">
      <c r="I396">
        <f t="shared" si="20"/>
        <v>1965</v>
      </c>
      <c r="J396">
        <f>(1/airplane!$B$48)*(airplane!$B$49*airplane!$B$7/Turns!I396+airplane!$B$46^2*airplane!$B$11*Turns!I396/airplane!$B$49)</f>
        <v>0.36016581172406037</v>
      </c>
      <c r="K396">
        <f>airplane!$B$45*J396/(airplane!$B$9*airplane!$B$10)</f>
        <v>27.182325413136628</v>
      </c>
      <c r="M396">
        <f t="shared" si="18"/>
        <v>656.70299999999997</v>
      </c>
      <c r="N396">
        <f t="shared" si="19"/>
        <v>120.90698343763174</v>
      </c>
    </row>
    <row r="397" spans="9:14" x14ac:dyDescent="0.2">
      <c r="I397">
        <f t="shared" si="20"/>
        <v>1970</v>
      </c>
      <c r="J397">
        <f>(1/airplane!$B$48)*(airplane!$B$49*airplane!$B$7/Turns!I397+airplane!$B$46^2*airplane!$B$11*Turns!I397/airplane!$B$49)</f>
        <v>0.36100621915865311</v>
      </c>
      <c r="K397">
        <f>airplane!$B$45*J397/(airplane!$B$9*airplane!$B$10)</f>
        <v>27.24575238933231</v>
      </c>
      <c r="M397">
        <f t="shared" si="18"/>
        <v>658.37400000000002</v>
      </c>
      <c r="N397">
        <f t="shared" si="19"/>
        <v>121.18910662775012</v>
      </c>
    </row>
    <row r="398" spans="9:14" x14ac:dyDescent="0.2">
      <c r="I398">
        <f t="shared" si="20"/>
        <v>1975</v>
      </c>
      <c r="J398">
        <f>(1/airplane!$B$48)*(airplane!$B$49*airplane!$B$7/Turns!I398+airplane!$B$46^2*airplane!$B$11*Turns!I398/airplane!$B$49)</f>
        <v>0.36184681886764108</v>
      </c>
      <c r="K398">
        <f>airplane!$B$45*J398/(airplane!$B$9*airplane!$B$10)</f>
        <v>27.3091938768031</v>
      </c>
      <c r="M398">
        <f t="shared" ref="M398:M412" si="21">I398*0.3342</f>
        <v>660.04499999999996</v>
      </c>
      <c r="N398">
        <f t="shared" ref="N398:N412" si="22">K398*4.448</f>
        <v>121.4712943640202</v>
      </c>
    </row>
    <row r="399" spans="9:14" x14ac:dyDescent="0.2">
      <c r="I399">
        <f t="shared" si="20"/>
        <v>1980</v>
      </c>
      <c r="J399">
        <f>(1/airplane!$B$48)*(airplane!$B$49*airplane!$B$7/Turns!I399+airplane!$B$46^2*airplane!$B$11*Turns!I399/airplane!$B$49)</f>
        <v>0.36268760939440009</v>
      </c>
      <c r="K399">
        <f>airplane!$B$45*J399/(airplane!$B$9*airplane!$B$10)</f>
        <v>27.372649765615098</v>
      </c>
      <c r="M399">
        <f t="shared" si="21"/>
        <v>661.71600000000001</v>
      </c>
      <c r="N399">
        <f t="shared" si="22"/>
        <v>121.75354615745597</v>
      </c>
    </row>
    <row r="400" spans="9:14" x14ac:dyDescent="0.2">
      <c r="I400">
        <f t="shared" si="20"/>
        <v>1985</v>
      </c>
      <c r="J400">
        <f>(1/airplane!$B$48)*(airplane!$B$49*airplane!$B$7/Turns!I400+airplane!$B$46^2*airplane!$B$11*Turns!I400/airplane!$B$49)</f>
        <v>0.36352858929698212</v>
      </c>
      <c r="K400">
        <f>airplane!$B$45*J400/(airplane!$B$9*airplane!$B$10)</f>
        <v>27.436119946942046</v>
      </c>
      <c r="M400">
        <f t="shared" si="21"/>
        <v>663.38699999999994</v>
      </c>
      <c r="N400">
        <f t="shared" si="22"/>
        <v>122.03586152399824</v>
      </c>
    </row>
    <row r="401" spans="9:14" x14ac:dyDescent="0.2">
      <c r="I401">
        <f t="shared" si="20"/>
        <v>1990</v>
      </c>
      <c r="J401">
        <f>(1/airplane!$B$48)*(airplane!$B$49*airplane!$B$7/Turns!I401+airplane!$B$46^2*airplane!$B$11*Turns!I401/airplane!$B$49)</f>
        <v>0.36436975714793129</v>
      </c>
      <c r="K401">
        <f>airplane!$B$45*J401/(airplane!$B$9*airplane!$B$10)</f>
        <v>27.499604313051417</v>
      </c>
      <c r="M401">
        <f t="shared" si="21"/>
        <v>665.05799999999999</v>
      </c>
      <c r="N401">
        <f t="shared" si="22"/>
        <v>122.31823998445272</v>
      </c>
    </row>
    <row r="402" spans="9:14" x14ac:dyDescent="0.2">
      <c r="I402">
        <f t="shared" si="20"/>
        <v>1995</v>
      </c>
      <c r="J402">
        <f>(1/airplane!$B$48)*(airplane!$B$49*airplane!$B$7/Turns!I402+airplane!$B$46^2*airplane!$B$11*Turns!I402/airplane!$B$49)</f>
        <v>0.36521111153410196</v>
      </c>
      <c r="K402">
        <f>airplane!$B$45*J402/(airplane!$B$9*airplane!$B$10)</f>
        <v>27.563102757290711</v>
      </c>
      <c r="M402">
        <f t="shared" si="21"/>
        <v>666.72900000000004</v>
      </c>
      <c r="N402">
        <f t="shared" si="22"/>
        <v>122.6006810644291</v>
      </c>
    </row>
    <row r="403" spans="9:14" x14ac:dyDescent="0.2">
      <c r="I403">
        <f t="shared" si="20"/>
        <v>2000</v>
      </c>
      <c r="J403">
        <f>(1/airplane!$B$48)*(airplane!$B$49*airplane!$B$7/Turns!I403+airplane!$B$46^2*airplane!$B$11*Turns!I403/airplane!$B$49)</f>
        <v>0.36605265105648005</v>
      </c>
      <c r="K403">
        <f>airplane!$B$45*J403/(airplane!$B$9*airplane!$B$10)</f>
        <v>27.626615174073965</v>
      </c>
      <c r="M403">
        <f t="shared" si="21"/>
        <v>668.4</v>
      </c>
      <c r="N403">
        <f t="shared" si="22"/>
        <v>122.88318429428101</v>
      </c>
    </row>
    <row r="404" spans="9:14" x14ac:dyDescent="0.2">
      <c r="I404">
        <f t="shared" si="20"/>
        <v>2005</v>
      </c>
      <c r="J404">
        <f>(1/airplane!$B$48)*(airplane!$B$49*airplane!$B$7/Turns!I404+airplane!$B$46^2*airplane!$B$11*Turns!I404/airplane!$B$49)</f>
        <v>0.36689437433000649</v>
      </c>
      <c r="K404">
        <f>airplane!$B$45*J404/(airplane!$B$9*airplane!$B$10)</f>
        <v>27.69014145886841</v>
      </c>
      <c r="M404">
        <f t="shared" si="21"/>
        <v>670.07100000000003</v>
      </c>
      <c r="N404">
        <f t="shared" si="22"/>
        <v>123.16574920904669</v>
      </c>
    </row>
    <row r="405" spans="9:14" x14ac:dyDescent="0.2">
      <c r="I405">
        <f t="shared" si="20"/>
        <v>2010</v>
      </c>
      <c r="J405">
        <f>(1/airplane!$B$48)*(airplane!$B$49*airplane!$B$7/Turns!I405+airplane!$B$46^2*airplane!$B$11*Turns!I405/airplane!$B$49)</f>
        <v>0.36773627998340419</v>
      </c>
      <c r="K405">
        <f>airplane!$B$45*J405/(airplane!$B$9*airplane!$B$10)</f>
        <v>27.753681508181447</v>
      </c>
      <c r="M405">
        <f t="shared" si="21"/>
        <v>671.74199999999996</v>
      </c>
      <c r="N405">
        <f t="shared" si="22"/>
        <v>123.4483753483911</v>
      </c>
    </row>
    <row r="406" spans="9:14" x14ac:dyDescent="0.2">
      <c r="I406">
        <f t="shared" si="20"/>
        <v>2015</v>
      </c>
      <c r="J406">
        <f>(1/airplane!$B$48)*(airplane!$B$49*airplane!$B$7/Turns!I406+airplane!$B$46^2*airplane!$B$11*Turns!I406/airplane!$B$49)</f>
        <v>0.36857836665900662</v>
      </c>
      <c r="K406">
        <f>airplane!$B$45*J406/(airplane!$B$9*airplane!$B$10)</f>
        <v>27.817235219547666</v>
      </c>
      <c r="M406">
        <f t="shared" si="21"/>
        <v>673.41300000000001</v>
      </c>
      <c r="N406">
        <f t="shared" si="22"/>
        <v>123.73106225654803</v>
      </c>
    </row>
    <row r="407" spans="9:14" x14ac:dyDescent="0.2">
      <c r="I407">
        <f t="shared" si="20"/>
        <v>2020</v>
      </c>
      <c r="J407">
        <f>(1/airplane!$B$48)*(airplane!$B$49*airplane!$B$7/Turns!I407+airplane!$B$46^2*airplane!$B$11*Turns!I407/airplane!$B$49)</f>
        <v>0.36942063301258937</v>
      </c>
      <c r="K407">
        <f>airplane!$B$45*J407/(airplane!$B$9*airplane!$B$10)</f>
        <v>27.880802491516178</v>
      </c>
      <c r="M407">
        <f t="shared" si="21"/>
        <v>675.08399999999995</v>
      </c>
      <c r="N407">
        <f t="shared" si="22"/>
        <v>124.01380948226397</v>
      </c>
    </row>
    <row r="408" spans="9:14" x14ac:dyDescent="0.2">
      <c r="I408">
        <f t="shared" si="20"/>
        <v>2025</v>
      </c>
      <c r="J408">
        <f>(1/airplane!$B$48)*(airplane!$B$49*airplane!$B$7/Turns!I408+airplane!$B$46^2*airplane!$B$11*Turns!I408/airplane!$B$49)</f>
        <v>0.37026307771320455</v>
      </c>
      <c r="K408">
        <f>airplane!$B$45*J408/(airplane!$B$9*airplane!$B$10)</f>
        <v>27.944383223638077</v>
      </c>
      <c r="M408">
        <f t="shared" si="21"/>
        <v>676.755</v>
      </c>
      <c r="N408">
        <f t="shared" si="22"/>
        <v>124.29661657874217</v>
      </c>
    </row>
    <row r="409" spans="9:14" x14ac:dyDescent="0.2">
      <c r="I409">
        <f t="shared" si="20"/>
        <v>2030</v>
      </c>
      <c r="J409">
        <f>(1/airplane!$B$48)*(airplane!$B$49*airplane!$B$7/Turns!I409+airplane!$B$46^2*airplane!$B$11*Turns!I409/airplane!$B$49)</f>
        <v>0.37110569944301686</v>
      </c>
      <c r="K409">
        <f>airplane!$B$45*J409/(airplane!$B$9*airplane!$B$10)</f>
        <v>28.007977316454102</v>
      </c>
      <c r="M409">
        <f t="shared" si="21"/>
        <v>678.42600000000004</v>
      </c>
      <c r="N409">
        <f t="shared" si="22"/>
        <v>124.57948310358786</v>
      </c>
    </row>
    <row r="410" spans="9:14" x14ac:dyDescent="0.2">
      <c r="I410">
        <f t="shared" si="20"/>
        <v>2035</v>
      </c>
      <c r="J410">
        <f>(1/airplane!$B$48)*(airplane!$B$49*airplane!$B$7/Turns!I410+airplane!$B$46^2*airplane!$B$11*Turns!I410/airplane!$B$49)</f>
        <v>0.37194849689714293</v>
      </c>
      <c r="K410">
        <f>airplane!$B$45*J410/(airplane!$B$9*airplane!$B$10)</f>
        <v>28.071584671482483</v>
      </c>
      <c r="M410">
        <f t="shared" si="21"/>
        <v>680.09699999999998</v>
      </c>
      <c r="N410">
        <f t="shared" si="22"/>
        <v>124.8624086187541</v>
      </c>
    </row>
    <row r="411" spans="9:14" x14ac:dyDescent="0.2">
      <c r="I411">
        <f t="shared" si="20"/>
        <v>2040</v>
      </c>
      <c r="J411">
        <f>(1/airplane!$B$48)*(airplane!$B$49*airplane!$B$7/Turns!I411+airplane!$B$46^2*airplane!$B$11*Turns!I411/airplane!$B$49)</f>
        <v>0.37279146878349195</v>
      </c>
      <c r="K411">
        <f>airplane!$B$45*J411/(airplane!$B$9*airplane!$B$10)</f>
        <v>28.135205191206939</v>
      </c>
      <c r="M411">
        <f t="shared" si="21"/>
        <v>681.76800000000003</v>
      </c>
      <c r="N411">
        <f t="shared" si="22"/>
        <v>125.14539269048848</v>
      </c>
    </row>
    <row r="412" spans="9:14" x14ac:dyDescent="0.2">
      <c r="I412">
        <f t="shared" si="20"/>
        <v>2045</v>
      </c>
      <c r="J412">
        <f>(1/airplane!$B$48)*(airplane!$B$49*airplane!$B$7/Turns!I412+airplane!$B$46^2*airplane!$B$11*Turns!I412/airplane!$B$49)</f>
        <v>0.37363461382261021</v>
      </c>
      <c r="K412">
        <f>airplane!$B$45*J412/(airplane!$B$9*airplane!$B$10)</f>
        <v>28.198838779064918</v>
      </c>
      <c r="M412">
        <f t="shared" si="21"/>
        <v>683.43899999999996</v>
      </c>
      <c r="N412">
        <f t="shared" si="22"/>
        <v>125.42843488928077</v>
      </c>
    </row>
  </sheetData>
  <phoneticPr fontId="5" type="noConversion"/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12" shapeId="7169" r:id="rId4">
          <objectPr defaultSize="0" autoPict="0" r:id="rId5">
            <anchor moveWithCells="1" sizeWithCells="1">
              <from>
                <xdr:col>0</xdr:col>
                <xdr:colOff>0</xdr:colOff>
                <xdr:row>3</xdr:row>
                <xdr:rowOff>88900</xdr:rowOff>
              </from>
              <to>
                <xdr:col>8</xdr:col>
                <xdr:colOff>317500</xdr:colOff>
                <xdr:row>28</xdr:row>
                <xdr:rowOff>25400</xdr:rowOff>
              </to>
            </anchor>
          </objectPr>
        </oleObject>
      </mc:Choice>
      <mc:Fallback>
        <oleObject progId="Word.Document.12" shapeId="7169" r:id="rId4"/>
      </mc:Fallback>
    </mc:AlternateContent>
  </oleObjects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339"/>
  <sheetViews>
    <sheetView zoomScale="130" zoomScaleNormal="130" workbookViewId="0">
      <selection activeCell="F11" sqref="F11"/>
    </sheetView>
  </sheetViews>
  <sheetFormatPr baseColWidth="10" defaultColWidth="8.83203125" defaultRowHeight="15" x14ac:dyDescent="0.2"/>
  <cols>
    <col min="1" max="1" width="19" customWidth="1"/>
    <col min="5" max="5" width="21.5" customWidth="1"/>
    <col min="6" max="6" width="14.5" customWidth="1"/>
    <col min="15" max="23" width="8.83203125" style="8"/>
  </cols>
  <sheetData>
    <row r="1" spans="1:25" x14ac:dyDescent="0.2">
      <c r="A1" t="s">
        <v>18</v>
      </c>
      <c r="F1" t="s">
        <v>23</v>
      </c>
      <c r="G1" t="s">
        <v>24</v>
      </c>
      <c r="H1" t="s">
        <v>25</v>
      </c>
      <c r="K1" t="s">
        <v>23</v>
      </c>
      <c r="L1" t="s">
        <v>25</v>
      </c>
      <c r="O1" s="8" t="s">
        <v>85</v>
      </c>
      <c r="P1" s="8" t="s">
        <v>93</v>
      </c>
      <c r="Q1" s="8" t="s">
        <v>95</v>
      </c>
      <c r="R1" s="8" t="s">
        <v>96</v>
      </c>
      <c r="S1" s="8" t="s">
        <v>97</v>
      </c>
      <c r="T1" s="8" t="s">
        <v>98</v>
      </c>
      <c r="U1" s="8" t="s">
        <v>99</v>
      </c>
      <c r="W1" s="8" t="s">
        <v>100</v>
      </c>
      <c r="Y1" t="s">
        <v>25</v>
      </c>
    </row>
    <row r="2" spans="1:25" x14ac:dyDescent="0.2">
      <c r="F2" t="s">
        <v>16</v>
      </c>
      <c r="G2" t="s">
        <v>21</v>
      </c>
      <c r="H2" t="s">
        <v>26</v>
      </c>
      <c r="K2" t="s">
        <v>66</v>
      </c>
      <c r="L2" t="s">
        <v>65</v>
      </c>
      <c r="O2" s="8" t="s">
        <v>101</v>
      </c>
      <c r="U2" s="8" t="s">
        <v>81</v>
      </c>
      <c r="W2" s="8" t="s">
        <v>90</v>
      </c>
      <c r="Y2" t="s">
        <v>26</v>
      </c>
    </row>
    <row r="3" spans="1:25" x14ac:dyDescent="0.2">
      <c r="A3" t="s">
        <v>80</v>
      </c>
      <c r="F3">
        <v>0</v>
      </c>
      <c r="G3" t="e">
        <f>1.2*SQRT(2*F3/(airplane!#REF!*airplane!$B$13))-airplane!#REF!</f>
        <v>#REF!</v>
      </c>
      <c r="H3" t="e">
        <f>Y3</f>
        <v>#REF!</v>
      </c>
      <c r="K3">
        <f>F3*0.3342</f>
        <v>0</v>
      </c>
      <c r="L3" t="e">
        <f>H3*4.448</f>
        <v>#REF!</v>
      </c>
      <c r="O3" s="8">
        <f>K3/16</f>
        <v>0</v>
      </c>
      <c r="P3" s="8" t="e">
        <f>airplane!#REF!</f>
        <v>#REF!</v>
      </c>
      <c r="Q3" s="8">
        <f>airplane!$B$6</f>
        <v>5.2</v>
      </c>
      <c r="R3" s="8">
        <f>airplane!$B$7</f>
        <v>0.03</v>
      </c>
      <c r="S3" s="8">
        <f>airplane!$B$8</f>
        <v>0.8</v>
      </c>
      <c r="T3" s="8">
        <v>0.5</v>
      </c>
      <c r="U3" s="9" t="e">
        <f>airplane!#REF!</f>
        <v>#REF!</v>
      </c>
      <c r="W3" s="8" t="e">
        <f>149.048255755414 + -54.8076469211868 * TANH(0.5 * ((-1.90311837493387) + -2.90092544214518 * O3 + 2.39505098582308 * P3 + -0.0283389134105036 * Q3 + 5.19308047170936 * R3 + -0.0705176187957977 * S3 + -3.27116421887395 * T3 + 0.487399857872412 * U3)) + 33.0866673975606 * TANH(0.5 * ((-10.9668713929341) + 2.35524027768271 * O3 + 3.73791895311835 * P3 + 0.0550541094921953 * Q3 + 5.9452766643223 * R3 + -0.0800115435216866 * S3 + -0.0158182141911049 * T3 + 0.347472887456459 * U3)) + 28.3453260854724 * TANH(0.5 * (4.25176964573387 + -0.66460275837987 * O3 + 1.29537751335798 * P3 + -0.130256031902394 * Q3 + 31.2667602760926 * R3 + -1.24048544610401 * S3 + 0.0937927006240642 * T3 + -0.0566650624068167 * U3)) + 6.79870987971588 * TANH(0.5 * (10.0518228768354 + 5.50509550241032 * O3 + -3.83803539356733 * P3 + -0.465217054676259 * Q3 + -26.6617416441195 * R3 + 1.69864364271823 * S3 + 1.31308464511239 * T3 + -0.408787412840148 * U3)) + 34.8668869080431 * TANH(0.5 * (8.22077312844118 + 5.58131964160515 * O3 + -5.45167953353492 * P3 + 0.131357302073037 * Q3 + -3.02895908030327 * R3 + 0.620182457511558 * S3 + 0.516840709792139 * T3 + -0.426084796098354 * U3)) + -38.9742336884865 * TANH(0.5 * ((-6.63509223591402) + -3.81651288586513 * O3 + 3.96461447865925 * P3 + -0.0427755407034191 * Q3 + 1.12271394672456 * R3 + 0.0774782141523358 * S3 + -1.00839111713208 * T3 + 0.432613997233709 * U3)) + 94.7572230191964 * TANH(0.5 * (2.61370613563095 + 2.08158608465853 * O3 + -5.30494797629013 * P3 + -0.0107060857549542 * Q3 + -3.17349866436297 * R3 + 0.259803966881259 * S3 + 0.165932316676154 * T3 + -0.103542416733828 * U3)) + 19.6842352112259 * TANH(0.5 * ((-11.3180358678866) + -6.05406376734185 * O3 + 6.26161664490292 * P3 + -0.0149996825471037 * Q3 + 12.6493036152436 * R3 + -1.26783941440917 * S3 + -1.22533297933495 * T3 + 0.454263469706135 * U3)) + 33.3825353084738 * TANH(0.5 * (3.02832658290986 + -4.98369928277894 * O3 + -5.38839891768436 * P3 + 2.00089047251944 * Q3 + 518.862002410857 * R3 + 5.25176474025537 * S3 + -17.6499237483562 * T3 + 0.479515709156452 * U3)) + 8.33789006875588 * TANH(0.5 * (5.21393347551219 + -2.63059327387901 * O3 + 4.88843846109308 * P3 + -0.746655568511994 * Q3 + 25.471194142492 * R3 + -5.03554280328379 * S3 + 0.903364963978358 * T3 + -0.050418064604326 * U3))</f>
        <v>#REF!</v>
      </c>
      <c r="Y3" t="e">
        <f>W3/4.448</f>
        <v>#REF!</v>
      </c>
    </row>
    <row r="4" spans="1:25" x14ac:dyDescent="0.2">
      <c r="F4">
        <f>F3+5</f>
        <v>5</v>
      </c>
      <c r="G4" t="e">
        <f>1.2*SQRT(2*F4/(airplane!#REF!*airplane!$B$13))-airplane!#REF!</f>
        <v>#REF!</v>
      </c>
      <c r="H4" t="e">
        <f t="shared" ref="H4:H53" si="0">Y4</f>
        <v>#REF!</v>
      </c>
      <c r="K4">
        <f t="shared" ref="K4:K53" si="1">F4*0.3342</f>
        <v>1.671</v>
      </c>
      <c r="L4" t="e">
        <f t="shared" ref="L4:L53" si="2">H4*4.448</f>
        <v>#REF!</v>
      </c>
      <c r="O4" s="8">
        <f>K4/16</f>
        <v>0.1044375</v>
      </c>
      <c r="P4" s="8" t="e">
        <f t="shared" ref="P4:U4" si="3">P3</f>
        <v>#REF!</v>
      </c>
      <c r="Q4" s="8">
        <f t="shared" si="3"/>
        <v>5.2</v>
      </c>
      <c r="R4" s="8">
        <f t="shared" si="3"/>
        <v>0.03</v>
      </c>
      <c r="S4" s="8">
        <f t="shared" si="3"/>
        <v>0.8</v>
      </c>
      <c r="T4" s="8">
        <f t="shared" si="3"/>
        <v>0.5</v>
      </c>
      <c r="U4" s="8" t="e">
        <f t="shared" si="3"/>
        <v>#REF!</v>
      </c>
      <c r="W4" s="8" t="e">
        <f>149.048255755414 + -54.8076469211868 * TANH(0.5 * ((-1.90311837493387) + -2.90092544214518 * O4 + 2.39505098582308 * P4 + -0.0283389134105036 * Q4 + 5.19308047170936 * R4 + -0.0705176187957977 * S4 + -3.27116421887395 * T4 + 0.487399857872412 * U4)) + 33.0866673975606 * TANH(0.5 * ((-10.9668713929341) + 2.35524027768271 * O4 + 3.73791895311835 * P4 + 0.0550541094921953 * Q4 + 5.9452766643223 * R4 + -0.0800115435216866 * S4 + -0.0158182141911049 * T4 + 0.347472887456459 * U4)) + 28.3453260854724 * TANH(0.5 * (4.25176964573387 + -0.66460275837987 * O4 + 1.29537751335798 * P4 + -0.130256031902394 * Q4 + 31.2667602760926 * R4 + -1.24048544610401 * S4 + 0.0937927006240642 * T4 + -0.0566650624068167 * U4)) + 6.79870987971588 * TANH(0.5 * (10.0518228768354 + 5.50509550241032 * O4 + -3.83803539356733 * P4 + -0.465217054676259 * Q4 + -26.6617416441195 * R4 + 1.69864364271823 * S4 + 1.31308464511239 * T4 + -0.408787412840148 * U4)) + 34.8668869080431 * TANH(0.5 * (8.22077312844118 + 5.58131964160515 * O4 + -5.45167953353492 * P4 + 0.131357302073037 * Q4 + -3.02895908030327 * R4 + 0.620182457511558 * S4 + 0.516840709792139 * T4 + -0.426084796098354 * U4)) + -38.9742336884865 * TANH(0.5 * ((-6.63509223591402) + -3.81651288586513 * O4 + 3.96461447865925 * P4 + -0.0427755407034191 * Q4 + 1.12271394672456 * R4 + 0.0774782141523358 * S4 + -1.00839111713208 * T4 + 0.432613997233709 * U4)) + 94.7572230191964 * TANH(0.5 * (2.61370613563095 + 2.08158608465853 * O4 + -5.30494797629013 * P4 + -0.0107060857549542 * Q4 + -3.17349866436297 * R4 + 0.259803966881259 * S4 + 0.165932316676154 * T4 + -0.103542416733828 * U4)) + 19.6842352112259 * TANH(0.5 * ((-11.3180358678866) + -6.05406376734185 * O4 + 6.26161664490292 * P4 + -0.0149996825471037 * Q4 + 12.6493036152436 * R4 + -1.26783941440917 * S4 + -1.22533297933495 * T4 + 0.454263469706135 * U4)) + 33.3825353084738 * TANH(0.5 * (3.02832658290986 + -4.98369928277894 * O4 + -5.38839891768436 * P4 + 2.00089047251944 * Q4 + 518.862002410857 * R4 + 5.25176474025537 * S4 + -17.6499237483562 * T4 + 0.479515709156452 * U4)) + 8.33789006875588 * TANH(0.5 * (5.21393347551219 + -2.63059327387901 * O4 + 4.88843846109308 * P4 + -0.746655568511994 * Q4 + 25.471194142492 * R4 + -5.03554280328379 * S4 + 0.903364963978358 * T4 + -0.050418064604326 * U4))</f>
        <v>#REF!</v>
      </c>
      <c r="Y4" t="e">
        <f>W4/4.448</f>
        <v>#REF!</v>
      </c>
    </row>
    <row r="5" spans="1:25" x14ac:dyDescent="0.2">
      <c r="F5">
        <f t="shared" ref="F5:F68" si="4">F4+5</f>
        <v>10</v>
      </c>
      <c r="G5" t="e">
        <f>1.2*SQRT(2*F5/(airplane!#REF!*airplane!$B$13))-airplane!#REF!</f>
        <v>#REF!</v>
      </c>
      <c r="H5" t="e">
        <f t="shared" si="0"/>
        <v>#REF!</v>
      </c>
      <c r="K5">
        <f t="shared" si="1"/>
        <v>3.3420000000000001</v>
      </c>
      <c r="L5" t="e">
        <f t="shared" si="2"/>
        <v>#REF!</v>
      </c>
      <c r="O5" s="8">
        <f t="shared" ref="O5:O14" si="5">K5/16</f>
        <v>0.20887500000000001</v>
      </c>
      <c r="P5" s="8" t="e">
        <f t="shared" ref="P5:P14" si="6">P4</f>
        <v>#REF!</v>
      </c>
      <c r="Q5" s="8">
        <f t="shared" ref="Q5:Q14" si="7">Q4</f>
        <v>5.2</v>
      </c>
      <c r="R5" s="8">
        <f t="shared" ref="R5:R14" si="8">R4</f>
        <v>0.03</v>
      </c>
      <c r="S5" s="8">
        <f t="shared" ref="S5:S14" si="9">S4</f>
        <v>0.8</v>
      </c>
      <c r="T5" s="8">
        <f t="shared" ref="T5:T14" si="10">T4</f>
        <v>0.5</v>
      </c>
      <c r="U5" s="8" t="e">
        <f t="shared" ref="U5:U14" si="11">U4</f>
        <v>#REF!</v>
      </c>
      <c r="W5" s="8" t="e">
        <f t="shared" ref="W5:W14" si="12">149.048255755414 + -54.8076469211868 * TANH(0.5 * ((-1.90311837493387) + -2.90092544214518 * O5 + 2.39505098582308 * P5 + -0.0283389134105036 * Q5 + 5.19308047170936 * R5 + -0.0705176187957977 * S5 + -3.27116421887395 * T5 + 0.487399857872412 * U5)) + 33.0866673975606 * TANH(0.5 * ((-10.9668713929341) + 2.35524027768271 * O5 + 3.73791895311835 * P5 + 0.0550541094921953 * Q5 + 5.9452766643223 * R5 + -0.0800115435216866 * S5 + -0.0158182141911049 * T5 + 0.347472887456459 * U5)) + 28.3453260854724 * TANH(0.5 * (4.25176964573387 + -0.66460275837987 * O5 + 1.29537751335798 * P5 + -0.130256031902394 * Q5 + 31.2667602760926 * R5 + -1.24048544610401 * S5 + 0.0937927006240642 * T5 + -0.0566650624068167 * U5)) + 6.79870987971588 * TANH(0.5 * (10.0518228768354 + 5.50509550241032 * O5 + -3.83803539356733 * P5 + -0.465217054676259 * Q5 + -26.6617416441195 * R5 + 1.69864364271823 * S5 + 1.31308464511239 * T5 + -0.408787412840148 * U5)) + 34.8668869080431 * TANH(0.5 * (8.22077312844118 + 5.58131964160515 * O5 + -5.45167953353492 * P5 + 0.131357302073037 * Q5 + -3.02895908030327 * R5 + 0.620182457511558 * S5 + 0.516840709792139 * T5 + -0.426084796098354 * U5)) + -38.9742336884865 * TANH(0.5 * ((-6.63509223591402) + -3.81651288586513 * O5 + 3.96461447865925 * P5 + -0.0427755407034191 * Q5 + 1.12271394672456 * R5 + 0.0774782141523358 * S5 + -1.00839111713208 * T5 + 0.432613997233709 * U5)) + 94.7572230191964 * TANH(0.5 * (2.61370613563095 + 2.08158608465853 * O5 + -5.30494797629013 * P5 + -0.0107060857549542 * Q5 + -3.17349866436297 * R5 + 0.259803966881259 * S5 + 0.165932316676154 * T5 + -0.103542416733828 * U5)) + 19.6842352112259 * TANH(0.5 * ((-11.3180358678866) + -6.05406376734185 * O5 + 6.26161664490292 * P5 + -0.0149996825471037 * Q5 + 12.6493036152436 * R5 + -1.26783941440917 * S5 + -1.22533297933495 * T5 + 0.454263469706135 * U5)) + 33.3825353084738 * TANH(0.5 * (3.02832658290986 + -4.98369928277894 * O5 + -5.38839891768436 * P5 + 2.00089047251944 * Q5 + 518.862002410857 * R5 + 5.25176474025537 * S5 + -17.6499237483562 * T5 + 0.479515709156452 * U5)) + 8.33789006875588 * TANH(0.5 * (5.21393347551219 + -2.63059327387901 * O5 + 4.88843846109308 * P5 + -0.746655568511994 * Q5 + 25.471194142492 * R5 + -5.03554280328379 * S5 + 0.903364963978358 * T5 + -0.050418064604326 * U5))</f>
        <v>#REF!</v>
      </c>
      <c r="Y5" t="e">
        <f t="shared" ref="Y5:Y14" si="13">W5/4.448</f>
        <v>#REF!</v>
      </c>
    </row>
    <row r="6" spans="1:25" x14ac:dyDescent="0.2">
      <c r="F6">
        <f t="shared" si="4"/>
        <v>15</v>
      </c>
      <c r="G6" t="e">
        <f>1.2*SQRT(2*F6/(airplane!#REF!*airplane!$B$13))-airplane!#REF!</f>
        <v>#REF!</v>
      </c>
      <c r="H6" t="e">
        <f t="shared" si="0"/>
        <v>#REF!</v>
      </c>
      <c r="K6">
        <f t="shared" si="1"/>
        <v>5.0129999999999999</v>
      </c>
      <c r="L6" t="e">
        <f t="shared" si="2"/>
        <v>#REF!</v>
      </c>
      <c r="O6" s="8">
        <f t="shared" si="5"/>
        <v>0.31331249999999999</v>
      </c>
      <c r="P6" s="8" t="e">
        <f t="shared" si="6"/>
        <v>#REF!</v>
      </c>
      <c r="Q6" s="8">
        <f t="shared" si="7"/>
        <v>5.2</v>
      </c>
      <c r="R6" s="8">
        <f t="shared" si="8"/>
        <v>0.03</v>
      </c>
      <c r="S6" s="8">
        <f t="shared" si="9"/>
        <v>0.8</v>
      </c>
      <c r="T6" s="8">
        <f t="shared" si="10"/>
        <v>0.5</v>
      </c>
      <c r="U6" s="8" t="e">
        <f t="shared" si="11"/>
        <v>#REF!</v>
      </c>
      <c r="W6" s="8" t="e">
        <f t="shared" si="12"/>
        <v>#REF!</v>
      </c>
      <c r="Y6" t="e">
        <f t="shared" si="13"/>
        <v>#REF!</v>
      </c>
    </row>
    <row r="7" spans="1:25" x14ac:dyDescent="0.2">
      <c r="F7">
        <f t="shared" si="4"/>
        <v>20</v>
      </c>
      <c r="G7" t="e">
        <f>1.2*SQRT(2*F7/(airplane!#REF!*airplane!$B$13))-airplane!#REF!</f>
        <v>#REF!</v>
      </c>
      <c r="H7" t="e">
        <f t="shared" si="0"/>
        <v>#REF!</v>
      </c>
      <c r="K7">
        <f t="shared" si="1"/>
        <v>6.6840000000000002</v>
      </c>
      <c r="L7" t="e">
        <f t="shared" si="2"/>
        <v>#REF!</v>
      </c>
      <c r="O7" s="8">
        <f t="shared" si="5"/>
        <v>0.41775000000000001</v>
      </c>
      <c r="P7" s="8" t="e">
        <f t="shared" si="6"/>
        <v>#REF!</v>
      </c>
      <c r="Q7" s="8">
        <f t="shared" si="7"/>
        <v>5.2</v>
      </c>
      <c r="R7" s="8">
        <f t="shared" si="8"/>
        <v>0.03</v>
      </c>
      <c r="S7" s="8">
        <f t="shared" si="9"/>
        <v>0.8</v>
      </c>
      <c r="T7" s="8">
        <f t="shared" si="10"/>
        <v>0.5</v>
      </c>
      <c r="U7" s="8" t="e">
        <f t="shared" si="11"/>
        <v>#REF!</v>
      </c>
      <c r="W7" s="8" t="e">
        <f t="shared" si="12"/>
        <v>#REF!</v>
      </c>
      <c r="Y7" t="e">
        <f t="shared" si="13"/>
        <v>#REF!</v>
      </c>
    </row>
    <row r="8" spans="1:25" x14ac:dyDescent="0.2">
      <c r="F8">
        <f t="shared" si="4"/>
        <v>25</v>
      </c>
      <c r="G8" t="e">
        <f>1.2*SQRT(2*F8/(airplane!#REF!*airplane!$B$13))-airplane!#REF!</f>
        <v>#REF!</v>
      </c>
      <c r="H8" t="e">
        <f t="shared" si="0"/>
        <v>#REF!</v>
      </c>
      <c r="K8">
        <f t="shared" si="1"/>
        <v>8.3550000000000004</v>
      </c>
      <c r="L8" t="e">
        <f t="shared" si="2"/>
        <v>#REF!</v>
      </c>
      <c r="O8" s="8">
        <f t="shared" si="5"/>
        <v>0.52218750000000003</v>
      </c>
      <c r="P8" s="8" t="e">
        <f t="shared" si="6"/>
        <v>#REF!</v>
      </c>
      <c r="Q8" s="8">
        <f t="shared" si="7"/>
        <v>5.2</v>
      </c>
      <c r="R8" s="8">
        <f t="shared" si="8"/>
        <v>0.03</v>
      </c>
      <c r="S8" s="8">
        <f t="shared" si="9"/>
        <v>0.8</v>
      </c>
      <c r="T8" s="8">
        <f t="shared" si="10"/>
        <v>0.5</v>
      </c>
      <c r="U8" s="8" t="e">
        <f t="shared" si="11"/>
        <v>#REF!</v>
      </c>
      <c r="W8" s="8" t="e">
        <f t="shared" si="12"/>
        <v>#REF!</v>
      </c>
      <c r="Y8" t="e">
        <f t="shared" si="13"/>
        <v>#REF!</v>
      </c>
    </row>
    <row r="9" spans="1:25" x14ac:dyDescent="0.2">
      <c r="F9">
        <f t="shared" si="4"/>
        <v>30</v>
      </c>
      <c r="G9" t="e">
        <f>1.2*SQRT(2*F9/(airplane!#REF!*airplane!$B$13))-airplane!#REF!</f>
        <v>#REF!</v>
      </c>
      <c r="H9" t="e">
        <f t="shared" si="0"/>
        <v>#REF!</v>
      </c>
      <c r="K9">
        <f t="shared" si="1"/>
        <v>10.026</v>
      </c>
      <c r="L9" t="e">
        <f t="shared" si="2"/>
        <v>#REF!</v>
      </c>
      <c r="O9" s="8">
        <f t="shared" si="5"/>
        <v>0.62662499999999999</v>
      </c>
      <c r="P9" s="8" t="e">
        <f t="shared" si="6"/>
        <v>#REF!</v>
      </c>
      <c r="Q9" s="8">
        <f t="shared" si="7"/>
        <v>5.2</v>
      </c>
      <c r="R9" s="8">
        <f t="shared" si="8"/>
        <v>0.03</v>
      </c>
      <c r="S9" s="8">
        <f t="shared" si="9"/>
        <v>0.8</v>
      </c>
      <c r="T9" s="8">
        <f t="shared" si="10"/>
        <v>0.5</v>
      </c>
      <c r="U9" s="8" t="e">
        <f t="shared" si="11"/>
        <v>#REF!</v>
      </c>
      <c r="W9" s="8" t="e">
        <f t="shared" si="12"/>
        <v>#REF!</v>
      </c>
      <c r="Y9" t="e">
        <f t="shared" si="13"/>
        <v>#REF!</v>
      </c>
    </row>
    <row r="10" spans="1:25" x14ac:dyDescent="0.2">
      <c r="F10">
        <f t="shared" si="4"/>
        <v>35</v>
      </c>
      <c r="G10" t="e">
        <f>1.2*SQRT(2*F10/(airplane!#REF!*airplane!$B$13))-airplane!#REF!</f>
        <v>#REF!</v>
      </c>
      <c r="H10" t="e">
        <f t="shared" si="0"/>
        <v>#REF!</v>
      </c>
      <c r="K10">
        <f t="shared" si="1"/>
        <v>11.696999999999999</v>
      </c>
      <c r="L10" t="e">
        <f t="shared" si="2"/>
        <v>#REF!</v>
      </c>
      <c r="O10" s="8">
        <f t="shared" si="5"/>
        <v>0.73106249999999995</v>
      </c>
      <c r="P10" s="8" t="e">
        <f t="shared" si="6"/>
        <v>#REF!</v>
      </c>
      <c r="Q10" s="8">
        <f t="shared" si="7"/>
        <v>5.2</v>
      </c>
      <c r="R10" s="8">
        <f t="shared" si="8"/>
        <v>0.03</v>
      </c>
      <c r="S10" s="8">
        <f t="shared" si="9"/>
        <v>0.8</v>
      </c>
      <c r="T10" s="8">
        <f t="shared" si="10"/>
        <v>0.5</v>
      </c>
      <c r="U10" s="8" t="e">
        <f t="shared" si="11"/>
        <v>#REF!</v>
      </c>
      <c r="W10" s="8" t="e">
        <f t="shared" si="12"/>
        <v>#REF!</v>
      </c>
      <c r="Y10" t="e">
        <f t="shared" si="13"/>
        <v>#REF!</v>
      </c>
    </row>
    <row r="11" spans="1:25" x14ac:dyDescent="0.2">
      <c r="F11">
        <f t="shared" si="4"/>
        <v>40</v>
      </c>
      <c r="G11" t="e">
        <f>1.2*SQRT(2*F11/(airplane!#REF!*airplane!$B$13))-airplane!#REF!</f>
        <v>#REF!</v>
      </c>
      <c r="H11" t="e">
        <f t="shared" si="0"/>
        <v>#REF!</v>
      </c>
      <c r="K11">
        <f t="shared" si="1"/>
        <v>13.368</v>
      </c>
      <c r="L11" t="e">
        <f t="shared" si="2"/>
        <v>#REF!</v>
      </c>
      <c r="O11" s="8">
        <f t="shared" si="5"/>
        <v>0.83550000000000002</v>
      </c>
      <c r="P11" s="8" t="e">
        <f t="shared" si="6"/>
        <v>#REF!</v>
      </c>
      <c r="Q11" s="8">
        <f t="shared" si="7"/>
        <v>5.2</v>
      </c>
      <c r="R11" s="8">
        <f t="shared" si="8"/>
        <v>0.03</v>
      </c>
      <c r="S11" s="8">
        <f t="shared" si="9"/>
        <v>0.8</v>
      </c>
      <c r="T11" s="8">
        <f t="shared" si="10"/>
        <v>0.5</v>
      </c>
      <c r="U11" s="8" t="e">
        <f t="shared" si="11"/>
        <v>#REF!</v>
      </c>
      <c r="W11" s="8" t="e">
        <f t="shared" si="12"/>
        <v>#REF!</v>
      </c>
      <c r="Y11" t="e">
        <f t="shared" si="13"/>
        <v>#REF!</v>
      </c>
    </row>
    <row r="12" spans="1:25" x14ac:dyDescent="0.2">
      <c r="F12">
        <f t="shared" si="4"/>
        <v>45</v>
      </c>
      <c r="G12" t="e">
        <f>1.2*SQRT(2*F12/(airplane!#REF!*airplane!$B$13))-airplane!#REF!</f>
        <v>#REF!</v>
      </c>
      <c r="H12" t="e">
        <f t="shared" si="0"/>
        <v>#REF!</v>
      </c>
      <c r="K12">
        <f t="shared" si="1"/>
        <v>15.039</v>
      </c>
      <c r="L12" t="e">
        <f t="shared" si="2"/>
        <v>#REF!</v>
      </c>
      <c r="O12" s="8">
        <f t="shared" si="5"/>
        <v>0.93993749999999998</v>
      </c>
      <c r="P12" s="8" t="e">
        <f t="shared" si="6"/>
        <v>#REF!</v>
      </c>
      <c r="Q12" s="8">
        <f t="shared" si="7"/>
        <v>5.2</v>
      </c>
      <c r="R12" s="8">
        <f t="shared" si="8"/>
        <v>0.03</v>
      </c>
      <c r="S12" s="8">
        <f t="shared" si="9"/>
        <v>0.8</v>
      </c>
      <c r="T12" s="8">
        <f t="shared" si="10"/>
        <v>0.5</v>
      </c>
      <c r="U12" s="8" t="e">
        <f t="shared" si="11"/>
        <v>#REF!</v>
      </c>
      <c r="W12" s="8" t="e">
        <f t="shared" si="12"/>
        <v>#REF!</v>
      </c>
      <c r="Y12" t="e">
        <f t="shared" si="13"/>
        <v>#REF!</v>
      </c>
    </row>
    <row r="13" spans="1:25" x14ac:dyDescent="0.2">
      <c r="F13">
        <f t="shared" si="4"/>
        <v>50</v>
      </c>
      <c r="G13" t="e">
        <f>1.2*SQRT(2*F13/(airplane!#REF!*airplane!$B$13))-airplane!#REF!</f>
        <v>#REF!</v>
      </c>
      <c r="H13" t="e">
        <f t="shared" si="0"/>
        <v>#REF!</v>
      </c>
      <c r="K13">
        <f t="shared" si="1"/>
        <v>16.71</v>
      </c>
      <c r="L13" t="e">
        <f t="shared" si="2"/>
        <v>#REF!</v>
      </c>
      <c r="O13" s="8">
        <f t="shared" si="5"/>
        <v>1.0443750000000001</v>
      </c>
      <c r="P13" s="8" t="e">
        <f t="shared" si="6"/>
        <v>#REF!</v>
      </c>
      <c r="Q13" s="8">
        <f t="shared" si="7"/>
        <v>5.2</v>
      </c>
      <c r="R13" s="8">
        <f t="shared" si="8"/>
        <v>0.03</v>
      </c>
      <c r="S13" s="8">
        <f t="shared" si="9"/>
        <v>0.8</v>
      </c>
      <c r="T13" s="8">
        <f t="shared" si="10"/>
        <v>0.5</v>
      </c>
      <c r="U13" s="8" t="e">
        <f t="shared" si="11"/>
        <v>#REF!</v>
      </c>
      <c r="W13" s="8" t="e">
        <f t="shared" si="12"/>
        <v>#REF!</v>
      </c>
      <c r="Y13" t="e">
        <f t="shared" si="13"/>
        <v>#REF!</v>
      </c>
    </row>
    <row r="14" spans="1:25" x14ac:dyDescent="0.2">
      <c r="F14">
        <f t="shared" si="4"/>
        <v>55</v>
      </c>
      <c r="G14" t="e">
        <f>1.2*SQRT(2*F14/(airplane!#REF!*airplane!$B$13))-airplane!#REF!</f>
        <v>#REF!</v>
      </c>
      <c r="H14" t="e">
        <f t="shared" si="0"/>
        <v>#REF!</v>
      </c>
      <c r="K14">
        <f t="shared" si="1"/>
        <v>18.381</v>
      </c>
      <c r="L14" t="e">
        <f t="shared" si="2"/>
        <v>#REF!</v>
      </c>
      <c r="O14" s="8">
        <f t="shared" si="5"/>
        <v>1.1488125</v>
      </c>
      <c r="P14" s="8" t="e">
        <f t="shared" si="6"/>
        <v>#REF!</v>
      </c>
      <c r="Q14" s="8">
        <f t="shared" si="7"/>
        <v>5.2</v>
      </c>
      <c r="R14" s="8">
        <f t="shared" si="8"/>
        <v>0.03</v>
      </c>
      <c r="S14" s="8">
        <f t="shared" si="9"/>
        <v>0.8</v>
      </c>
      <c r="T14" s="8">
        <f t="shared" si="10"/>
        <v>0.5</v>
      </c>
      <c r="U14" s="8" t="e">
        <f t="shared" si="11"/>
        <v>#REF!</v>
      </c>
      <c r="W14" s="8" t="e">
        <f t="shared" si="12"/>
        <v>#REF!</v>
      </c>
      <c r="Y14" t="e">
        <f t="shared" si="13"/>
        <v>#REF!</v>
      </c>
    </row>
    <row r="15" spans="1:25" x14ac:dyDescent="0.2">
      <c r="F15">
        <f t="shared" si="4"/>
        <v>60</v>
      </c>
      <c r="G15" t="e">
        <f>1.2*SQRT(2*F15/(airplane!#REF!*airplane!$B$13))-airplane!#REF!</f>
        <v>#REF!</v>
      </c>
      <c r="H15" t="e">
        <f t="shared" si="0"/>
        <v>#REF!</v>
      </c>
      <c r="K15">
        <f t="shared" si="1"/>
        <v>20.052</v>
      </c>
      <c r="L15" t="e">
        <f t="shared" si="2"/>
        <v>#REF!</v>
      </c>
      <c r="O15" s="8">
        <f t="shared" ref="O15:O53" si="14">K15/16</f>
        <v>1.25325</v>
      </c>
      <c r="P15" s="8" t="e">
        <f t="shared" ref="P15:P78" si="15">P14</f>
        <v>#REF!</v>
      </c>
      <c r="Q15" s="8">
        <f t="shared" ref="Q15:Q78" si="16">Q14</f>
        <v>5.2</v>
      </c>
      <c r="R15" s="8">
        <f t="shared" ref="R15:R78" si="17">R14</f>
        <v>0.03</v>
      </c>
      <c r="S15" s="8">
        <f t="shared" ref="S15:S78" si="18">S14</f>
        <v>0.8</v>
      </c>
      <c r="T15" s="8">
        <f t="shared" ref="T15:T78" si="19">T14</f>
        <v>0.5</v>
      </c>
      <c r="U15" s="8" t="e">
        <f t="shared" ref="U15:U78" si="20">U14</f>
        <v>#REF!</v>
      </c>
      <c r="W15" s="8" t="e">
        <f t="shared" ref="W15:W53" si="21">149.048255755414 + -54.8076469211868 * TANH(0.5 * ((-1.90311837493387) + -2.90092544214518 * O15 + 2.39505098582308 * P15 + -0.0283389134105036 * Q15 + 5.19308047170936 * R15 + -0.0705176187957977 * S15 + -3.27116421887395 * T15 + 0.487399857872412 * U15)) + 33.0866673975606 * TANH(0.5 * ((-10.9668713929341) + 2.35524027768271 * O15 + 3.73791895311835 * P15 + 0.0550541094921953 * Q15 + 5.9452766643223 * R15 + -0.0800115435216866 * S15 + -0.0158182141911049 * T15 + 0.347472887456459 * U15)) + 28.3453260854724 * TANH(0.5 * (4.25176964573387 + -0.66460275837987 * O15 + 1.29537751335798 * P15 + -0.130256031902394 * Q15 + 31.2667602760926 * R15 + -1.24048544610401 * S15 + 0.0937927006240642 * T15 + -0.0566650624068167 * U15)) + 6.79870987971588 * TANH(0.5 * (10.0518228768354 + 5.50509550241032 * O15 + -3.83803539356733 * P15 + -0.465217054676259 * Q15 + -26.6617416441195 * R15 + 1.69864364271823 * S15 + 1.31308464511239 * T15 + -0.408787412840148 * U15)) + 34.8668869080431 * TANH(0.5 * (8.22077312844118 + 5.58131964160515 * O15 + -5.45167953353492 * P15 + 0.131357302073037 * Q15 + -3.02895908030327 * R15 + 0.620182457511558 * S15 + 0.516840709792139 * T15 + -0.426084796098354 * U15)) + -38.9742336884865 * TANH(0.5 * ((-6.63509223591402) + -3.81651288586513 * O15 + 3.96461447865925 * P15 + -0.0427755407034191 * Q15 + 1.12271394672456 * R15 + 0.0774782141523358 * S15 + -1.00839111713208 * T15 + 0.432613997233709 * U15)) + 94.7572230191964 * TANH(0.5 * (2.61370613563095 + 2.08158608465853 * O15 + -5.30494797629013 * P15 + -0.0107060857549542 * Q15 + -3.17349866436297 * R15 + 0.259803966881259 * S15 + 0.165932316676154 * T15 + -0.103542416733828 * U15)) + 19.6842352112259 * TANH(0.5 * ((-11.3180358678866) + -6.05406376734185 * O15 + 6.26161664490292 * P15 + -0.0149996825471037 * Q15 + 12.6493036152436 * R15 + -1.26783941440917 * S15 + -1.22533297933495 * T15 + 0.454263469706135 * U15)) + 33.3825353084738 * TANH(0.5 * (3.02832658290986 + -4.98369928277894 * O15 + -5.38839891768436 * P15 + 2.00089047251944 * Q15 + 518.862002410857 * R15 + 5.25176474025537 * S15 + -17.6499237483562 * T15 + 0.479515709156452 * U15)) + 8.33789006875588 * TANH(0.5 * (5.21393347551219 + -2.63059327387901 * O15 + 4.88843846109308 * P15 + -0.746655568511994 * Q15 + 25.471194142492 * R15 + -5.03554280328379 * S15 + 0.903364963978358 * T15 + -0.050418064604326 * U15))</f>
        <v>#REF!</v>
      </c>
      <c r="Y15" t="e">
        <f t="shared" ref="Y15:Y53" si="22">W15/4.448</f>
        <v>#REF!</v>
      </c>
    </row>
    <row r="16" spans="1:25" x14ac:dyDescent="0.2">
      <c r="F16">
        <f t="shared" si="4"/>
        <v>65</v>
      </c>
      <c r="G16" t="e">
        <f>1.2*SQRT(2*F16/(airplane!#REF!*airplane!$B$13))-airplane!#REF!</f>
        <v>#REF!</v>
      </c>
      <c r="H16" t="e">
        <f t="shared" si="0"/>
        <v>#REF!</v>
      </c>
      <c r="K16">
        <f t="shared" si="1"/>
        <v>21.722999999999999</v>
      </c>
      <c r="L16" t="e">
        <f t="shared" si="2"/>
        <v>#REF!</v>
      </c>
      <c r="O16" s="8">
        <f t="shared" si="14"/>
        <v>1.3576874999999999</v>
      </c>
      <c r="P16" s="8" t="e">
        <f t="shared" si="15"/>
        <v>#REF!</v>
      </c>
      <c r="Q16" s="8">
        <f t="shared" si="16"/>
        <v>5.2</v>
      </c>
      <c r="R16" s="8">
        <f t="shared" si="17"/>
        <v>0.03</v>
      </c>
      <c r="S16" s="8">
        <f t="shared" si="18"/>
        <v>0.8</v>
      </c>
      <c r="T16" s="8">
        <f t="shared" si="19"/>
        <v>0.5</v>
      </c>
      <c r="U16" s="8" t="e">
        <f t="shared" si="20"/>
        <v>#REF!</v>
      </c>
      <c r="W16" s="8" t="e">
        <f t="shared" si="21"/>
        <v>#REF!</v>
      </c>
      <c r="Y16" t="e">
        <f t="shared" si="22"/>
        <v>#REF!</v>
      </c>
    </row>
    <row r="17" spans="1:25" x14ac:dyDescent="0.2">
      <c r="F17">
        <f t="shared" si="4"/>
        <v>70</v>
      </c>
      <c r="G17" t="e">
        <f>1.2*SQRT(2*F17/(airplane!#REF!*airplane!$B$13))-airplane!#REF!</f>
        <v>#REF!</v>
      </c>
      <c r="H17" t="e">
        <f t="shared" si="0"/>
        <v>#REF!</v>
      </c>
      <c r="K17">
        <f t="shared" si="1"/>
        <v>23.393999999999998</v>
      </c>
      <c r="L17" t="e">
        <f t="shared" si="2"/>
        <v>#REF!</v>
      </c>
      <c r="O17" s="8">
        <f t="shared" si="14"/>
        <v>1.4621249999999999</v>
      </c>
      <c r="P17" s="8" t="e">
        <f t="shared" si="15"/>
        <v>#REF!</v>
      </c>
      <c r="Q17" s="8">
        <f t="shared" si="16"/>
        <v>5.2</v>
      </c>
      <c r="R17" s="8">
        <f t="shared" si="17"/>
        <v>0.03</v>
      </c>
      <c r="S17" s="8">
        <f t="shared" si="18"/>
        <v>0.8</v>
      </c>
      <c r="T17" s="8">
        <f t="shared" si="19"/>
        <v>0.5</v>
      </c>
      <c r="U17" s="8" t="e">
        <f t="shared" si="20"/>
        <v>#REF!</v>
      </c>
      <c r="W17" s="8" t="e">
        <f t="shared" si="21"/>
        <v>#REF!</v>
      </c>
      <c r="Y17" t="e">
        <f t="shared" si="22"/>
        <v>#REF!</v>
      </c>
    </row>
    <row r="18" spans="1:25" x14ac:dyDescent="0.2">
      <c r="A18" t="s">
        <v>22</v>
      </c>
      <c r="F18">
        <f t="shared" si="4"/>
        <v>75</v>
      </c>
      <c r="G18" t="e">
        <f>1.2*SQRT(2*F18/(airplane!#REF!*airplane!$B$13))-airplane!#REF!</f>
        <v>#REF!</v>
      </c>
      <c r="H18" t="e">
        <f t="shared" si="0"/>
        <v>#REF!</v>
      </c>
      <c r="K18">
        <f t="shared" si="1"/>
        <v>25.065000000000001</v>
      </c>
      <c r="L18" t="e">
        <f t="shared" si="2"/>
        <v>#REF!</v>
      </c>
      <c r="O18" s="8">
        <f t="shared" si="14"/>
        <v>1.5665625000000001</v>
      </c>
      <c r="P18" s="8" t="e">
        <f t="shared" si="15"/>
        <v>#REF!</v>
      </c>
      <c r="Q18" s="8">
        <f t="shared" si="16"/>
        <v>5.2</v>
      </c>
      <c r="R18" s="8">
        <f t="shared" si="17"/>
        <v>0.03</v>
      </c>
      <c r="S18" s="8">
        <f t="shared" si="18"/>
        <v>0.8</v>
      </c>
      <c r="T18" s="8">
        <f t="shared" si="19"/>
        <v>0.5</v>
      </c>
      <c r="U18" s="8" t="e">
        <f t="shared" si="20"/>
        <v>#REF!</v>
      </c>
      <c r="W18" s="8" t="e">
        <f t="shared" si="21"/>
        <v>#REF!</v>
      </c>
      <c r="Y18" t="e">
        <f t="shared" si="22"/>
        <v>#REF!</v>
      </c>
    </row>
    <row r="19" spans="1:25" x14ac:dyDescent="0.2">
      <c r="A19" t="s">
        <v>33</v>
      </c>
      <c r="F19">
        <f t="shared" si="4"/>
        <v>80</v>
      </c>
      <c r="G19" t="e">
        <f>1.2*SQRT(2*F19/(airplane!#REF!*airplane!$B$13))-airplane!#REF!</f>
        <v>#REF!</v>
      </c>
      <c r="H19" t="e">
        <f t="shared" si="0"/>
        <v>#REF!</v>
      </c>
      <c r="K19">
        <f t="shared" si="1"/>
        <v>26.736000000000001</v>
      </c>
      <c r="L19" t="e">
        <f t="shared" si="2"/>
        <v>#REF!</v>
      </c>
      <c r="O19" s="8">
        <f t="shared" si="14"/>
        <v>1.671</v>
      </c>
      <c r="P19" s="8" t="e">
        <f t="shared" si="15"/>
        <v>#REF!</v>
      </c>
      <c r="Q19" s="8">
        <f t="shared" si="16"/>
        <v>5.2</v>
      </c>
      <c r="R19" s="8">
        <f t="shared" si="17"/>
        <v>0.03</v>
      </c>
      <c r="S19" s="8">
        <f t="shared" si="18"/>
        <v>0.8</v>
      </c>
      <c r="T19" s="8">
        <f t="shared" si="19"/>
        <v>0.5</v>
      </c>
      <c r="U19" s="8" t="e">
        <f t="shared" si="20"/>
        <v>#REF!</v>
      </c>
      <c r="W19" s="8" t="e">
        <f t="shared" si="21"/>
        <v>#REF!</v>
      </c>
      <c r="Y19" t="e">
        <f t="shared" si="22"/>
        <v>#REF!</v>
      </c>
    </row>
    <row r="20" spans="1:25" x14ac:dyDescent="0.2">
      <c r="F20">
        <f t="shared" si="4"/>
        <v>85</v>
      </c>
      <c r="G20" t="e">
        <f>1.2*SQRT(2*F20/(airplane!#REF!*airplane!$B$13))-airplane!#REF!</f>
        <v>#REF!</v>
      </c>
      <c r="H20" t="e">
        <f t="shared" si="0"/>
        <v>#REF!</v>
      </c>
      <c r="K20">
        <f t="shared" si="1"/>
        <v>28.407</v>
      </c>
      <c r="L20" t="e">
        <f t="shared" si="2"/>
        <v>#REF!</v>
      </c>
      <c r="O20" s="8">
        <f t="shared" si="14"/>
        <v>1.7754375</v>
      </c>
      <c r="P20" s="8" t="e">
        <f t="shared" si="15"/>
        <v>#REF!</v>
      </c>
      <c r="Q20" s="8">
        <f t="shared" si="16"/>
        <v>5.2</v>
      </c>
      <c r="R20" s="8">
        <f t="shared" si="17"/>
        <v>0.03</v>
      </c>
      <c r="S20" s="8">
        <f t="shared" si="18"/>
        <v>0.8</v>
      </c>
      <c r="T20" s="8">
        <f t="shared" si="19"/>
        <v>0.5</v>
      </c>
      <c r="U20" s="8" t="e">
        <f t="shared" si="20"/>
        <v>#REF!</v>
      </c>
      <c r="W20" s="8" t="e">
        <f t="shared" si="21"/>
        <v>#REF!</v>
      </c>
      <c r="Y20" t="e">
        <f t="shared" si="22"/>
        <v>#REF!</v>
      </c>
    </row>
    <row r="21" spans="1:25" x14ac:dyDescent="0.2">
      <c r="F21">
        <f t="shared" si="4"/>
        <v>90</v>
      </c>
      <c r="G21" t="e">
        <f>1.2*SQRT(2*F21/(airplane!#REF!*airplane!$B$13))-airplane!#REF!</f>
        <v>#REF!</v>
      </c>
      <c r="H21" t="e">
        <f t="shared" si="0"/>
        <v>#REF!</v>
      </c>
      <c r="K21">
        <f t="shared" si="1"/>
        <v>30.077999999999999</v>
      </c>
      <c r="L21" t="e">
        <f t="shared" si="2"/>
        <v>#REF!</v>
      </c>
      <c r="O21" s="8">
        <f t="shared" si="14"/>
        <v>1.879875</v>
      </c>
      <c r="P21" s="8" t="e">
        <f t="shared" si="15"/>
        <v>#REF!</v>
      </c>
      <c r="Q21" s="8">
        <f t="shared" si="16"/>
        <v>5.2</v>
      </c>
      <c r="R21" s="8">
        <f t="shared" si="17"/>
        <v>0.03</v>
      </c>
      <c r="S21" s="8">
        <f t="shared" si="18"/>
        <v>0.8</v>
      </c>
      <c r="T21" s="8">
        <f t="shared" si="19"/>
        <v>0.5</v>
      </c>
      <c r="U21" s="8" t="e">
        <f t="shared" si="20"/>
        <v>#REF!</v>
      </c>
      <c r="W21" s="8" t="e">
        <f t="shared" si="21"/>
        <v>#REF!</v>
      </c>
      <c r="Y21" t="e">
        <f t="shared" si="22"/>
        <v>#REF!</v>
      </c>
    </row>
    <row r="22" spans="1:25" x14ac:dyDescent="0.2">
      <c r="F22">
        <f t="shared" si="4"/>
        <v>95</v>
      </c>
      <c r="G22" t="e">
        <f>1.2*SQRT(2*F22/(airplane!#REF!*airplane!$B$13))-airplane!#REF!</f>
        <v>#REF!</v>
      </c>
      <c r="H22" t="e">
        <f t="shared" si="0"/>
        <v>#REF!</v>
      </c>
      <c r="K22">
        <f t="shared" si="1"/>
        <v>31.748999999999999</v>
      </c>
      <c r="L22" t="e">
        <f t="shared" si="2"/>
        <v>#REF!</v>
      </c>
      <c r="O22" s="8">
        <f t="shared" si="14"/>
        <v>1.9843124999999999</v>
      </c>
      <c r="P22" s="8" t="e">
        <f t="shared" si="15"/>
        <v>#REF!</v>
      </c>
      <c r="Q22" s="8">
        <f t="shared" si="16"/>
        <v>5.2</v>
      </c>
      <c r="R22" s="8">
        <f t="shared" si="17"/>
        <v>0.03</v>
      </c>
      <c r="S22" s="8">
        <f t="shared" si="18"/>
        <v>0.8</v>
      </c>
      <c r="T22" s="8">
        <f t="shared" si="19"/>
        <v>0.5</v>
      </c>
      <c r="U22" s="8" t="e">
        <f t="shared" si="20"/>
        <v>#REF!</v>
      </c>
      <c r="W22" s="8" t="e">
        <f t="shared" si="21"/>
        <v>#REF!</v>
      </c>
      <c r="Y22" t="e">
        <f t="shared" si="22"/>
        <v>#REF!</v>
      </c>
    </row>
    <row r="23" spans="1:25" x14ac:dyDescent="0.2">
      <c r="F23">
        <f t="shared" si="4"/>
        <v>100</v>
      </c>
      <c r="G23" t="e">
        <f>1.2*SQRT(2*F23/(airplane!#REF!*airplane!$B$13))-airplane!#REF!</f>
        <v>#REF!</v>
      </c>
      <c r="H23" t="e">
        <f t="shared" si="0"/>
        <v>#REF!</v>
      </c>
      <c r="K23">
        <f t="shared" si="1"/>
        <v>33.42</v>
      </c>
      <c r="L23" t="e">
        <f t="shared" si="2"/>
        <v>#REF!</v>
      </c>
      <c r="O23" s="8">
        <f t="shared" si="14"/>
        <v>2.0887500000000001</v>
      </c>
      <c r="P23" s="8" t="e">
        <f t="shared" si="15"/>
        <v>#REF!</v>
      </c>
      <c r="Q23" s="8">
        <f t="shared" si="16"/>
        <v>5.2</v>
      </c>
      <c r="R23" s="8">
        <f t="shared" si="17"/>
        <v>0.03</v>
      </c>
      <c r="S23" s="8">
        <f t="shared" si="18"/>
        <v>0.8</v>
      </c>
      <c r="T23" s="8">
        <f t="shared" si="19"/>
        <v>0.5</v>
      </c>
      <c r="U23" s="8" t="e">
        <f t="shared" si="20"/>
        <v>#REF!</v>
      </c>
      <c r="W23" s="8" t="e">
        <f t="shared" si="21"/>
        <v>#REF!</v>
      </c>
      <c r="Y23" t="e">
        <f t="shared" si="22"/>
        <v>#REF!</v>
      </c>
    </row>
    <row r="24" spans="1:25" x14ac:dyDescent="0.2">
      <c r="F24">
        <f t="shared" si="4"/>
        <v>105</v>
      </c>
      <c r="G24" t="e">
        <f>1.2*SQRT(2*F24/(airplane!#REF!*airplane!$B$13))-airplane!#REF!</f>
        <v>#REF!</v>
      </c>
      <c r="H24" t="e">
        <f t="shared" si="0"/>
        <v>#REF!</v>
      </c>
      <c r="K24">
        <f t="shared" si="1"/>
        <v>35.091000000000001</v>
      </c>
      <c r="L24" t="e">
        <f t="shared" si="2"/>
        <v>#REF!</v>
      </c>
      <c r="O24" s="8">
        <f t="shared" si="14"/>
        <v>2.1931875000000001</v>
      </c>
      <c r="P24" s="8" t="e">
        <f t="shared" si="15"/>
        <v>#REF!</v>
      </c>
      <c r="Q24" s="8">
        <f t="shared" si="16"/>
        <v>5.2</v>
      </c>
      <c r="R24" s="8">
        <f t="shared" si="17"/>
        <v>0.03</v>
      </c>
      <c r="S24" s="8">
        <f t="shared" si="18"/>
        <v>0.8</v>
      </c>
      <c r="T24" s="8">
        <f t="shared" si="19"/>
        <v>0.5</v>
      </c>
      <c r="U24" s="8" t="e">
        <f t="shared" si="20"/>
        <v>#REF!</v>
      </c>
      <c r="W24" s="8" t="e">
        <f t="shared" si="21"/>
        <v>#REF!</v>
      </c>
      <c r="Y24" t="e">
        <f t="shared" si="22"/>
        <v>#REF!</v>
      </c>
    </row>
    <row r="25" spans="1:25" x14ac:dyDescent="0.2">
      <c r="F25">
        <f t="shared" si="4"/>
        <v>110</v>
      </c>
      <c r="G25" t="e">
        <f>1.2*SQRT(2*F25/(airplane!#REF!*airplane!$B$13))-airplane!#REF!</f>
        <v>#REF!</v>
      </c>
      <c r="H25" t="e">
        <f t="shared" si="0"/>
        <v>#REF!</v>
      </c>
      <c r="K25">
        <f t="shared" si="1"/>
        <v>36.762</v>
      </c>
      <c r="L25" t="e">
        <f t="shared" si="2"/>
        <v>#REF!</v>
      </c>
      <c r="O25" s="8">
        <f t="shared" si="14"/>
        <v>2.297625</v>
      </c>
      <c r="P25" s="8" t="e">
        <f t="shared" si="15"/>
        <v>#REF!</v>
      </c>
      <c r="Q25" s="8">
        <f t="shared" si="16"/>
        <v>5.2</v>
      </c>
      <c r="R25" s="8">
        <f t="shared" si="17"/>
        <v>0.03</v>
      </c>
      <c r="S25" s="8">
        <f t="shared" si="18"/>
        <v>0.8</v>
      </c>
      <c r="T25" s="8">
        <f t="shared" si="19"/>
        <v>0.5</v>
      </c>
      <c r="U25" s="8" t="e">
        <f t="shared" si="20"/>
        <v>#REF!</v>
      </c>
      <c r="W25" s="8" t="e">
        <f t="shared" si="21"/>
        <v>#REF!</v>
      </c>
      <c r="Y25" t="e">
        <f t="shared" si="22"/>
        <v>#REF!</v>
      </c>
    </row>
    <row r="26" spans="1:25" x14ac:dyDescent="0.2">
      <c r="F26">
        <f t="shared" si="4"/>
        <v>115</v>
      </c>
      <c r="G26" t="e">
        <f>1.2*SQRT(2*F26/(airplane!#REF!*airplane!$B$13))-airplane!#REF!</f>
        <v>#REF!</v>
      </c>
      <c r="H26" t="e">
        <f t="shared" si="0"/>
        <v>#REF!</v>
      </c>
      <c r="K26">
        <f t="shared" si="1"/>
        <v>38.433</v>
      </c>
      <c r="L26" t="e">
        <f t="shared" si="2"/>
        <v>#REF!</v>
      </c>
      <c r="O26" s="8">
        <f t="shared" si="14"/>
        <v>2.4020625</v>
      </c>
      <c r="P26" s="8" t="e">
        <f t="shared" si="15"/>
        <v>#REF!</v>
      </c>
      <c r="Q26" s="8">
        <f t="shared" si="16"/>
        <v>5.2</v>
      </c>
      <c r="R26" s="8">
        <f t="shared" si="17"/>
        <v>0.03</v>
      </c>
      <c r="S26" s="8">
        <f t="shared" si="18"/>
        <v>0.8</v>
      </c>
      <c r="T26" s="8">
        <f t="shared" si="19"/>
        <v>0.5</v>
      </c>
      <c r="U26" s="8" t="e">
        <f t="shared" si="20"/>
        <v>#REF!</v>
      </c>
      <c r="W26" s="8" t="e">
        <f t="shared" si="21"/>
        <v>#REF!</v>
      </c>
      <c r="Y26" t="e">
        <f t="shared" si="22"/>
        <v>#REF!</v>
      </c>
    </row>
    <row r="27" spans="1:25" x14ac:dyDescent="0.2">
      <c r="F27">
        <f t="shared" si="4"/>
        <v>120</v>
      </c>
      <c r="G27" t="e">
        <f>1.2*SQRT(2*F27/(airplane!#REF!*airplane!$B$13))-airplane!#REF!</f>
        <v>#REF!</v>
      </c>
      <c r="H27" t="e">
        <f t="shared" si="0"/>
        <v>#REF!</v>
      </c>
      <c r="K27">
        <f t="shared" si="1"/>
        <v>40.103999999999999</v>
      </c>
      <c r="L27" t="e">
        <f t="shared" si="2"/>
        <v>#REF!</v>
      </c>
      <c r="O27" s="8">
        <f t="shared" si="14"/>
        <v>2.5065</v>
      </c>
      <c r="P27" s="8" t="e">
        <f t="shared" si="15"/>
        <v>#REF!</v>
      </c>
      <c r="Q27" s="8">
        <f t="shared" si="16"/>
        <v>5.2</v>
      </c>
      <c r="R27" s="8">
        <f t="shared" si="17"/>
        <v>0.03</v>
      </c>
      <c r="S27" s="8">
        <f t="shared" si="18"/>
        <v>0.8</v>
      </c>
      <c r="T27" s="8">
        <f t="shared" si="19"/>
        <v>0.5</v>
      </c>
      <c r="U27" s="8" t="e">
        <f t="shared" si="20"/>
        <v>#REF!</v>
      </c>
      <c r="W27" s="8" t="e">
        <f t="shared" si="21"/>
        <v>#REF!</v>
      </c>
      <c r="Y27" t="e">
        <f t="shared" si="22"/>
        <v>#REF!</v>
      </c>
    </row>
    <row r="28" spans="1:25" x14ac:dyDescent="0.2">
      <c r="F28">
        <f t="shared" si="4"/>
        <v>125</v>
      </c>
      <c r="G28" t="e">
        <f>1.2*SQRT(2*F28/(airplane!#REF!*airplane!$B$13))-airplane!#REF!</f>
        <v>#REF!</v>
      </c>
      <c r="H28" t="e">
        <f t="shared" si="0"/>
        <v>#REF!</v>
      </c>
      <c r="K28">
        <f t="shared" si="1"/>
        <v>41.774999999999999</v>
      </c>
      <c r="L28" t="e">
        <f t="shared" si="2"/>
        <v>#REF!</v>
      </c>
      <c r="O28" s="8">
        <f t="shared" si="14"/>
        <v>2.6109374999999999</v>
      </c>
      <c r="P28" s="8" t="e">
        <f t="shared" si="15"/>
        <v>#REF!</v>
      </c>
      <c r="Q28" s="8">
        <f t="shared" si="16"/>
        <v>5.2</v>
      </c>
      <c r="R28" s="8">
        <f t="shared" si="17"/>
        <v>0.03</v>
      </c>
      <c r="S28" s="8">
        <f t="shared" si="18"/>
        <v>0.8</v>
      </c>
      <c r="T28" s="8">
        <f t="shared" si="19"/>
        <v>0.5</v>
      </c>
      <c r="U28" s="8" t="e">
        <f t="shared" si="20"/>
        <v>#REF!</v>
      </c>
      <c r="W28" s="8" t="e">
        <f t="shared" si="21"/>
        <v>#REF!</v>
      </c>
      <c r="Y28" t="e">
        <f t="shared" si="22"/>
        <v>#REF!</v>
      </c>
    </row>
    <row r="29" spans="1:25" x14ac:dyDescent="0.2">
      <c r="F29">
        <f t="shared" si="4"/>
        <v>130</v>
      </c>
      <c r="G29" t="e">
        <f>1.2*SQRT(2*F29/(airplane!#REF!*airplane!$B$13))-airplane!#REF!</f>
        <v>#REF!</v>
      </c>
      <c r="H29" t="e">
        <f t="shared" si="0"/>
        <v>#REF!</v>
      </c>
      <c r="K29">
        <f t="shared" si="1"/>
        <v>43.445999999999998</v>
      </c>
      <c r="L29" t="e">
        <f t="shared" si="2"/>
        <v>#REF!</v>
      </c>
      <c r="O29" s="8">
        <f t="shared" si="14"/>
        <v>2.7153749999999999</v>
      </c>
      <c r="P29" s="8" t="e">
        <f t="shared" si="15"/>
        <v>#REF!</v>
      </c>
      <c r="Q29" s="8">
        <f t="shared" si="16"/>
        <v>5.2</v>
      </c>
      <c r="R29" s="8">
        <f t="shared" si="17"/>
        <v>0.03</v>
      </c>
      <c r="S29" s="8">
        <f t="shared" si="18"/>
        <v>0.8</v>
      </c>
      <c r="T29" s="8">
        <f t="shared" si="19"/>
        <v>0.5</v>
      </c>
      <c r="U29" s="8" t="e">
        <f t="shared" si="20"/>
        <v>#REF!</v>
      </c>
      <c r="W29" s="8" t="e">
        <f t="shared" si="21"/>
        <v>#REF!</v>
      </c>
      <c r="Y29" t="e">
        <f t="shared" si="22"/>
        <v>#REF!</v>
      </c>
    </row>
    <row r="30" spans="1:25" x14ac:dyDescent="0.2">
      <c r="F30">
        <f t="shared" si="4"/>
        <v>135</v>
      </c>
      <c r="G30" t="e">
        <f>1.2*SQRT(2*F30/(airplane!#REF!*airplane!$B$13))-airplane!#REF!</f>
        <v>#REF!</v>
      </c>
      <c r="H30" t="e">
        <f t="shared" si="0"/>
        <v>#REF!</v>
      </c>
      <c r="K30">
        <f t="shared" si="1"/>
        <v>45.116999999999997</v>
      </c>
      <c r="L30" t="e">
        <f t="shared" si="2"/>
        <v>#REF!</v>
      </c>
      <c r="O30" s="8">
        <f t="shared" si="14"/>
        <v>2.8198124999999998</v>
      </c>
      <c r="P30" s="8" t="e">
        <f t="shared" si="15"/>
        <v>#REF!</v>
      </c>
      <c r="Q30" s="8">
        <f t="shared" si="16"/>
        <v>5.2</v>
      </c>
      <c r="R30" s="8">
        <f t="shared" si="17"/>
        <v>0.03</v>
      </c>
      <c r="S30" s="8">
        <f t="shared" si="18"/>
        <v>0.8</v>
      </c>
      <c r="T30" s="8">
        <f t="shared" si="19"/>
        <v>0.5</v>
      </c>
      <c r="U30" s="8" t="e">
        <f t="shared" si="20"/>
        <v>#REF!</v>
      </c>
      <c r="W30" s="8" t="e">
        <f t="shared" si="21"/>
        <v>#REF!</v>
      </c>
      <c r="Y30" t="e">
        <f t="shared" si="22"/>
        <v>#REF!</v>
      </c>
    </row>
    <row r="31" spans="1:25" x14ac:dyDescent="0.2">
      <c r="F31">
        <f>F30+5</f>
        <v>140</v>
      </c>
      <c r="G31" t="e">
        <f>1.2*SQRT(2*F31/(airplane!#REF!*airplane!$B$13))-airplane!#REF!</f>
        <v>#REF!</v>
      </c>
      <c r="H31" t="e">
        <f t="shared" si="0"/>
        <v>#REF!</v>
      </c>
      <c r="K31">
        <f t="shared" si="1"/>
        <v>46.787999999999997</v>
      </c>
      <c r="L31" t="e">
        <f t="shared" si="2"/>
        <v>#REF!</v>
      </c>
      <c r="O31" s="8">
        <f t="shared" si="14"/>
        <v>2.9242499999999998</v>
      </c>
      <c r="P31" s="8" t="e">
        <f t="shared" si="15"/>
        <v>#REF!</v>
      </c>
      <c r="Q31" s="8">
        <f t="shared" si="16"/>
        <v>5.2</v>
      </c>
      <c r="R31" s="8">
        <f t="shared" si="17"/>
        <v>0.03</v>
      </c>
      <c r="S31" s="8">
        <f t="shared" si="18"/>
        <v>0.8</v>
      </c>
      <c r="T31" s="8">
        <f t="shared" si="19"/>
        <v>0.5</v>
      </c>
      <c r="U31" s="8" t="e">
        <f t="shared" si="20"/>
        <v>#REF!</v>
      </c>
      <c r="W31" s="8" t="e">
        <f t="shared" si="21"/>
        <v>#REF!</v>
      </c>
      <c r="Y31" t="e">
        <f t="shared" si="22"/>
        <v>#REF!</v>
      </c>
    </row>
    <row r="32" spans="1:25" x14ac:dyDescent="0.2">
      <c r="F32">
        <f t="shared" si="4"/>
        <v>145</v>
      </c>
      <c r="G32" t="e">
        <f>1.2*SQRT(2*F32/(airplane!#REF!*airplane!$B$13))-airplane!#REF!</f>
        <v>#REF!</v>
      </c>
      <c r="H32" t="e">
        <f t="shared" si="0"/>
        <v>#REF!</v>
      </c>
      <c r="K32">
        <f t="shared" si="1"/>
        <v>48.458999999999996</v>
      </c>
      <c r="L32" t="e">
        <f t="shared" si="2"/>
        <v>#REF!</v>
      </c>
      <c r="O32" s="8">
        <f t="shared" si="14"/>
        <v>3.0286874999999998</v>
      </c>
      <c r="P32" s="8" t="e">
        <f t="shared" si="15"/>
        <v>#REF!</v>
      </c>
      <c r="Q32" s="8">
        <f t="shared" si="16"/>
        <v>5.2</v>
      </c>
      <c r="R32" s="8">
        <f t="shared" si="17"/>
        <v>0.03</v>
      </c>
      <c r="S32" s="8">
        <f t="shared" si="18"/>
        <v>0.8</v>
      </c>
      <c r="T32" s="8">
        <f t="shared" si="19"/>
        <v>0.5</v>
      </c>
      <c r="U32" s="8" t="e">
        <f t="shared" si="20"/>
        <v>#REF!</v>
      </c>
      <c r="W32" s="8" t="e">
        <f t="shared" si="21"/>
        <v>#REF!</v>
      </c>
      <c r="Y32" t="e">
        <f t="shared" si="22"/>
        <v>#REF!</v>
      </c>
    </row>
    <row r="33" spans="6:25" x14ac:dyDescent="0.2">
      <c r="F33">
        <f t="shared" si="4"/>
        <v>150</v>
      </c>
      <c r="G33" t="e">
        <f>1.2*SQRT(2*F33/(airplane!#REF!*airplane!$B$13))-airplane!#REF!</f>
        <v>#REF!</v>
      </c>
      <c r="H33" t="e">
        <f t="shared" si="0"/>
        <v>#REF!</v>
      </c>
      <c r="K33">
        <f t="shared" si="1"/>
        <v>50.13</v>
      </c>
      <c r="L33" t="e">
        <f t="shared" si="2"/>
        <v>#REF!</v>
      </c>
      <c r="O33" s="8">
        <f t="shared" si="14"/>
        <v>3.1331250000000002</v>
      </c>
      <c r="P33" s="8" t="e">
        <f t="shared" si="15"/>
        <v>#REF!</v>
      </c>
      <c r="Q33" s="8">
        <f t="shared" si="16"/>
        <v>5.2</v>
      </c>
      <c r="R33" s="8">
        <f t="shared" si="17"/>
        <v>0.03</v>
      </c>
      <c r="S33" s="8">
        <f t="shared" si="18"/>
        <v>0.8</v>
      </c>
      <c r="T33" s="8">
        <f t="shared" si="19"/>
        <v>0.5</v>
      </c>
      <c r="U33" s="8" t="e">
        <f t="shared" si="20"/>
        <v>#REF!</v>
      </c>
      <c r="W33" s="8" t="e">
        <f t="shared" si="21"/>
        <v>#REF!</v>
      </c>
      <c r="Y33" t="e">
        <f t="shared" si="22"/>
        <v>#REF!</v>
      </c>
    </row>
    <row r="34" spans="6:25" x14ac:dyDescent="0.2">
      <c r="F34">
        <f t="shared" si="4"/>
        <v>155</v>
      </c>
      <c r="G34" t="e">
        <f>1.2*SQRT(2*F34/(airplane!#REF!*airplane!$B$13))-airplane!#REF!</f>
        <v>#REF!</v>
      </c>
      <c r="H34" t="e">
        <f t="shared" si="0"/>
        <v>#REF!</v>
      </c>
      <c r="K34">
        <f t="shared" si="1"/>
        <v>51.801000000000002</v>
      </c>
      <c r="L34" t="e">
        <f t="shared" si="2"/>
        <v>#REF!</v>
      </c>
      <c r="O34" s="8">
        <f t="shared" si="14"/>
        <v>3.2375625000000001</v>
      </c>
      <c r="P34" s="8" t="e">
        <f t="shared" si="15"/>
        <v>#REF!</v>
      </c>
      <c r="Q34" s="8">
        <f t="shared" si="16"/>
        <v>5.2</v>
      </c>
      <c r="R34" s="8">
        <f t="shared" si="17"/>
        <v>0.03</v>
      </c>
      <c r="S34" s="8">
        <f t="shared" si="18"/>
        <v>0.8</v>
      </c>
      <c r="T34" s="8">
        <f t="shared" si="19"/>
        <v>0.5</v>
      </c>
      <c r="U34" s="8" t="e">
        <f t="shared" si="20"/>
        <v>#REF!</v>
      </c>
      <c r="W34" s="8" t="e">
        <f t="shared" si="21"/>
        <v>#REF!</v>
      </c>
      <c r="Y34" t="e">
        <f t="shared" si="22"/>
        <v>#REF!</v>
      </c>
    </row>
    <row r="35" spans="6:25" x14ac:dyDescent="0.2">
      <c r="F35">
        <f t="shared" si="4"/>
        <v>160</v>
      </c>
      <c r="G35" t="e">
        <f>1.2*SQRT(2*F35/(airplane!#REF!*airplane!$B$13))-airplane!#REF!</f>
        <v>#REF!</v>
      </c>
      <c r="H35" t="e">
        <f t="shared" si="0"/>
        <v>#REF!</v>
      </c>
      <c r="K35">
        <f t="shared" si="1"/>
        <v>53.472000000000001</v>
      </c>
      <c r="L35" t="e">
        <f t="shared" si="2"/>
        <v>#REF!</v>
      </c>
      <c r="O35" s="8">
        <f t="shared" si="14"/>
        <v>3.3420000000000001</v>
      </c>
      <c r="P35" s="8" t="e">
        <f t="shared" si="15"/>
        <v>#REF!</v>
      </c>
      <c r="Q35" s="8">
        <f t="shared" si="16"/>
        <v>5.2</v>
      </c>
      <c r="R35" s="8">
        <f t="shared" si="17"/>
        <v>0.03</v>
      </c>
      <c r="S35" s="8">
        <f t="shared" si="18"/>
        <v>0.8</v>
      </c>
      <c r="T35" s="8">
        <f t="shared" si="19"/>
        <v>0.5</v>
      </c>
      <c r="U35" s="8" t="e">
        <f t="shared" si="20"/>
        <v>#REF!</v>
      </c>
      <c r="W35" s="8" t="e">
        <f t="shared" si="21"/>
        <v>#REF!</v>
      </c>
      <c r="Y35" t="e">
        <f t="shared" si="22"/>
        <v>#REF!</v>
      </c>
    </row>
    <row r="36" spans="6:25" x14ac:dyDescent="0.2">
      <c r="F36">
        <f t="shared" si="4"/>
        <v>165</v>
      </c>
      <c r="G36" t="e">
        <f>1.2*SQRT(2*F36/(airplane!#REF!*airplane!$B$13))-airplane!#REF!</f>
        <v>#REF!</v>
      </c>
      <c r="H36" t="e">
        <f t="shared" si="0"/>
        <v>#REF!</v>
      </c>
      <c r="K36">
        <f t="shared" si="1"/>
        <v>55.143000000000001</v>
      </c>
      <c r="L36" t="e">
        <f t="shared" si="2"/>
        <v>#REF!</v>
      </c>
      <c r="O36" s="8">
        <f t="shared" si="14"/>
        <v>3.4464375</v>
      </c>
      <c r="P36" s="8" t="e">
        <f t="shared" si="15"/>
        <v>#REF!</v>
      </c>
      <c r="Q36" s="8">
        <f t="shared" si="16"/>
        <v>5.2</v>
      </c>
      <c r="R36" s="8">
        <f t="shared" si="17"/>
        <v>0.03</v>
      </c>
      <c r="S36" s="8">
        <f t="shared" si="18"/>
        <v>0.8</v>
      </c>
      <c r="T36" s="8">
        <f t="shared" si="19"/>
        <v>0.5</v>
      </c>
      <c r="U36" s="8" t="e">
        <f t="shared" si="20"/>
        <v>#REF!</v>
      </c>
      <c r="W36" s="8" t="e">
        <f t="shared" si="21"/>
        <v>#REF!</v>
      </c>
      <c r="Y36" t="e">
        <f t="shared" si="22"/>
        <v>#REF!</v>
      </c>
    </row>
    <row r="37" spans="6:25" x14ac:dyDescent="0.2">
      <c r="F37">
        <f t="shared" si="4"/>
        <v>170</v>
      </c>
      <c r="G37" t="e">
        <f>1.2*SQRT(2*F37/(airplane!#REF!*airplane!$B$13))-airplane!#REF!</f>
        <v>#REF!</v>
      </c>
      <c r="H37" t="e">
        <f t="shared" si="0"/>
        <v>#REF!</v>
      </c>
      <c r="K37">
        <f t="shared" si="1"/>
        <v>56.814</v>
      </c>
      <c r="L37" t="e">
        <f t="shared" si="2"/>
        <v>#REF!</v>
      </c>
      <c r="O37" s="8">
        <f t="shared" si="14"/>
        <v>3.550875</v>
      </c>
      <c r="P37" s="8" t="e">
        <f t="shared" si="15"/>
        <v>#REF!</v>
      </c>
      <c r="Q37" s="8">
        <f t="shared" si="16"/>
        <v>5.2</v>
      </c>
      <c r="R37" s="8">
        <f t="shared" si="17"/>
        <v>0.03</v>
      </c>
      <c r="S37" s="8">
        <f t="shared" si="18"/>
        <v>0.8</v>
      </c>
      <c r="T37" s="8">
        <f t="shared" si="19"/>
        <v>0.5</v>
      </c>
      <c r="U37" s="8" t="e">
        <f t="shared" si="20"/>
        <v>#REF!</v>
      </c>
      <c r="W37" s="8" t="e">
        <f t="shared" si="21"/>
        <v>#REF!</v>
      </c>
      <c r="Y37" t="e">
        <f t="shared" si="22"/>
        <v>#REF!</v>
      </c>
    </row>
    <row r="38" spans="6:25" x14ac:dyDescent="0.2">
      <c r="F38">
        <f t="shared" si="4"/>
        <v>175</v>
      </c>
      <c r="G38" t="e">
        <f>1.2*SQRT(2*F38/(airplane!#REF!*airplane!$B$13))-airplane!#REF!</f>
        <v>#REF!</v>
      </c>
      <c r="H38" t="e">
        <f t="shared" si="0"/>
        <v>#REF!</v>
      </c>
      <c r="K38">
        <f t="shared" si="1"/>
        <v>58.484999999999999</v>
      </c>
      <c r="L38" t="e">
        <f t="shared" si="2"/>
        <v>#REF!</v>
      </c>
      <c r="O38" s="8">
        <f t="shared" si="14"/>
        <v>3.6553125</v>
      </c>
      <c r="P38" s="8" t="e">
        <f t="shared" si="15"/>
        <v>#REF!</v>
      </c>
      <c r="Q38" s="8">
        <f t="shared" si="16"/>
        <v>5.2</v>
      </c>
      <c r="R38" s="8">
        <f t="shared" si="17"/>
        <v>0.03</v>
      </c>
      <c r="S38" s="8">
        <f t="shared" si="18"/>
        <v>0.8</v>
      </c>
      <c r="T38" s="8">
        <f t="shared" si="19"/>
        <v>0.5</v>
      </c>
      <c r="U38" s="8" t="e">
        <f t="shared" si="20"/>
        <v>#REF!</v>
      </c>
      <c r="W38" s="8" t="e">
        <f t="shared" si="21"/>
        <v>#REF!</v>
      </c>
      <c r="Y38" t="e">
        <f t="shared" si="22"/>
        <v>#REF!</v>
      </c>
    </row>
    <row r="39" spans="6:25" x14ac:dyDescent="0.2">
      <c r="F39">
        <f t="shared" si="4"/>
        <v>180</v>
      </c>
      <c r="G39" t="e">
        <f>1.2*SQRT(2*F39/(airplane!#REF!*airplane!$B$13))-airplane!#REF!</f>
        <v>#REF!</v>
      </c>
      <c r="H39" t="e">
        <f t="shared" si="0"/>
        <v>#REF!</v>
      </c>
      <c r="K39">
        <f t="shared" si="1"/>
        <v>60.155999999999999</v>
      </c>
      <c r="L39" t="e">
        <f t="shared" si="2"/>
        <v>#REF!</v>
      </c>
      <c r="O39" s="8">
        <f t="shared" si="14"/>
        <v>3.7597499999999999</v>
      </c>
      <c r="P39" s="8" t="e">
        <f t="shared" si="15"/>
        <v>#REF!</v>
      </c>
      <c r="Q39" s="8">
        <f t="shared" si="16"/>
        <v>5.2</v>
      </c>
      <c r="R39" s="8">
        <f t="shared" si="17"/>
        <v>0.03</v>
      </c>
      <c r="S39" s="8">
        <f t="shared" si="18"/>
        <v>0.8</v>
      </c>
      <c r="T39" s="8">
        <f t="shared" si="19"/>
        <v>0.5</v>
      </c>
      <c r="U39" s="8" t="e">
        <f t="shared" si="20"/>
        <v>#REF!</v>
      </c>
      <c r="W39" s="8" t="e">
        <f t="shared" si="21"/>
        <v>#REF!</v>
      </c>
      <c r="Y39" t="e">
        <f t="shared" si="22"/>
        <v>#REF!</v>
      </c>
    </row>
    <row r="40" spans="6:25" x14ac:dyDescent="0.2">
      <c r="F40">
        <f t="shared" si="4"/>
        <v>185</v>
      </c>
      <c r="G40" t="e">
        <f>1.2*SQRT(2*F40/(airplane!#REF!*airplane!$B$13))-airplane!#REF!</f>
        <v>#REF!</v>
      </c>
      <c r="H40" t="e">
        <f t="shared" si="0"/>
        <v>#REF!</v>
      </c>
      <c r="K40">
        <f t="shared" si="1"/>
        <v>61.826999999999998</v>
      </c>
      <c r="L40" t="e">
        <f t="shared" si="2"/>
        <v>#REF!</v>
      </c>
      <c r="O40" s="8">
        <f t="shared" si="14"/>
        <v>3.8641874999999999</v>
      </c>
      <c r="P40" s="8" t="e">
        <f t="shared" si="15"/>
        <v>#REF!</v>
      </c>
      <c r="Q40" s="8">
        <f t="shared" si="16"/>
        <v>5.2</v>
      </c>
      <c r="R40" s="8">
        <f t="shared" si="17"/>
        <v>0.03</v>
      </c>
      <c r="S40" s="8">
        <f t="shared" si="18"/>
        <v>0.8</v>
      </c>
      <c r="T40" s="8">
        <f t="shared" si="19"/>
        <v>0.5</v>
      </c>
      <c r="U40" s="8" t="e">
        <f t="shared" si="20"/>
        <v>#REF!</v>
      </c>
      <c r="W40" s="8" t="e">
        <f t="shared" si="21"/>
        <v>#REF!</v>
      </c>
      <c r="Y40" t="e">
        <f t="shared" si="22"/>
        <v>#REF!</v>
      </c>
    </row>
    <row r="41" spans="6:25" x14ac:dyDescent="0.2">
      <c r="F41">
        <f t="shared" si="4"/>
        <v>190</v>
      </c>
      <c r="G41" t="e">
        <f>1.2*SQRT(2*F41/(airplane!#REF!*airplane!$B$13))-airplane!#REF!</f>
        <v>#REF!</v>
      </c>
      <c r="H41" t="e">
        <f t="shared" si="0"/>
        <v>#REF!</v>
      </c>
      <c r="K41">
        <f t="shared" si="1"/>
        <v>63.497999999999998</v>
      </c>
      <c r="L41" t="e">
        <f t="shared" si="2"/>
        <v>#REF!</v>
      </c>
      <c r="O41" s="8">
        <f t="shared" si="14"/>
        <v>3.9686249999999998</v>
      </c>
      <c r="P41" s="8" t="e">
        <f t="shared" si="15"/>
        <v>#REF!</v>
      </c>
      <c r="Q41" s="8">
        <f t="shared" si="16"/>
        <v>5.2</v>
      </c>
      <c r="R41" s="8">
        <f t="shared" si="17"/>
        <v>0.03</v>
      </c>
      <c r="S41" s="8">
        <f t="shared" si="18"/>
        <v>0.8</v>
      </c>
      <c r="T41" s="8">
        <f t="shared" si="19"/>
        <v>0.5</v>
      </c>
      <c r="U41" s="8" t="e">
        <f t="shared" si="20"/>
        <v>#REF!</v>
      </c>
      <c r="W41" s="8" t="e">
        <f t="shared" si="21"/>
        <v>#REF!</v>
      </c>
      <c r="Y41" t="e">
        <f t="shared" si="22"/>
        <v>#REF!</v>
      </c>
    </row>
    <row r="42" spans="6:25" x14ac:dyDescent="0.2">
      <c r="F42">
        <f t="shared" si="4"/>
        <v>195</v>
      </c>
      <c r="G42" t="e">
        <f>1.2*SQRT(2*F42/(airplane!#REF!*airplane!$B$13))-airplane!#REF!</f>
        <v>#REF!</v>
      </c>
      <c r="H42" t="e">
        <f t="shared" si="0"/>
        <v>#REF!</v>
      </c>
      <c r="K42">
        <f t="shared" si="1"/>
        <v>65.168999999999997</v>
      </c>
      <c r="L42" t="e">
        <f t="shared" si="2"/>
        <v>#REF!</v>
      </c>
      <c r="O42" s="8">
        <f t="shared" si="14"/>
        <v>4.0730624999999998</v>
      </c>
      <c r="P42" s="8" t="e">
        <f t="shared" si="15"/>
        <v>#REF!</v>
      </c>
      <c r="Q42" s="8">
        <f t="shared" si="16"/>
        <v>5.2</v>
      </c>
      <c r="R42" s="8">
        <f t="shared" si="17"/>
        <v>0.03</v>
      </c>
      <c r="S42" s="8">
        <f t="shared" si="18"/>
        <v>0.8</v>
      </c>
      <c r="T42" s="8">
        <f t="shared" si="19"/>
        <v>0.5</v>
      </c>
      <c r="U42" s="8" t="e">
        <f t="shared" si="20"/>
        <v>#REF!</v>
      </c>
      <c r="W42" s="8" t="e">
        <f t="shared" si="21"/>
        <v>#REF!</v>
      </c>
      <c r="Y42" t="e">
        <f t="shared" si="22"/>
        <v>#REF!</v>
      </c>
    </row>
    <row r="43" spans="6:25" x14ac:dyDescent="0.2">
      <c r="F43">
        <f t="shared" si="4"/>
        <v>200</v>
      </c>
      <c r="G43" t="e">
        <f>1.2*SQRT(2*F43/(airplane!#REF!*airplane!$B$13))-airplane!#REF!</f>
        <v>#REF!</v>
      </c>
      <c r="H43" t="e">
        <f t="shared" si="0"/>
        <v>#REF!</v>
      </c>
      <c r="K43">
        <f t="shared" si="1"/>
        <v>66.84</v>
      </c>
      <c r="L43" t="e">
        <f t="shared" si="2"/>
        <v>#REF!</v>
      </c>
      <c r="O43" s="8">
        <f t="shared" si="14"/>
        <v>4.1775000000000002</v>
      </c>
      <c r="P43" s="8" t="e">
        <f t="shared" si="15"/>
        <v>#REF!</v>
      </c>
      <c r="Q43" s="8">
        <f t="shared" si="16"/>
        <v>5.2</v>
      </c>
      <c r="R43" s="8">
        <f t="shared" si="17"/>
        <v>0.03</v>
      </c>
      <c r="S43" s="8">
        <f t="shared" si="18"/>
        <v>0.8</v>
      </c>
      <c r="T43" s="8">
        <f t="shared" si="19"/>
        <v>0.5</v>
      </c>
      <c r="U43" s="8" t="e">
        <f t="shared" si="20"/>
        <v>#REF!</v>
      </c>
      <c r="W43" s="8" t="e">
        <f t="shared" si="21"/>
        <v>#REF!</v>
      </c>
      <c r="Y43" t="e">
        <f t="shared" si="22"/>
        <v>#REF!</v>
      </c>
    </row>
    <row r="44" spans="6:25" x14ac:dyDescent="0.2">
      <c r="F44">
        <f t="shared" si="4"/>
        <v>205</v>
      </c>
      <c r="G44" t="e">
        <f>1.2*SQRT(2*F44/(airplane!#REF!*airplane!$B$13))-airplane!#REF!</f>
        <v>#REF!</v>
      </c>
      <c r="H44" t="e">
        <f t="shared" si="0"/>
        <v>#REF!</v>
      </c>
      <c r="K44">
        <f t="shared" si="1"/>
        <v>68.510999999999996</v>
      </c>
      <c r="L44" t="e">
        <f t="shared" si="2"/>
        <v>#REF!</v>
      </c>
      <c r="O44" s="8">
        <f t="shared" si="14"/>
        <v>4.2819374999999997</v>
      </c>
      <c r="P44" s="8" t="e">
        <f t="shared" si="15"/>
        <v>#REF!</v>
      </c>
      <c r="Q44" s="8">
        <f t="shared" si="16"/>
        <v>5.2</v>
      </c>
      <c r="R44" s="8">
        <f t="shared" si="17"/>
        <v>0.03</v>
      </c>
      <c r="S44" s="8">
        <f t="shared" si="18"/>
        <v>0.8</v>
      </c>
      <c r="T44" s="8">
        <f t="shared" si="19"/>
        <v>0.5</v>
      </c>
      <c r="U44" s="8" t="e">
        <f t="shared" si="20"/>
        <v>#REF!</v>
      </c>
      <c r="W44" s="8" t="e">
        <f t="shared" si="21"/>
        <v>#REF!</v>
      </c>
      <c r="Y44" t="e">
        <f t="shared" si="22"/>
        <v>#REF!</v>
      </c>
    </row>
    <row r="45" spans="6:25" x14ac:dyDescent="0.2">
      <c r="F45">
        <f t="shared" si="4"/>
        <v>210</v>
      </c>
      <c r="G45" t="e">
        <f>1.2*SQRT(2*F45/(airplane!#REF!*airplane!$B$13))-airplane!#REF!</f>
        <v>#REF!</v>
      </c>
      <c r="H45" t="e">
        <f t="shared" si="0"/>
        <v>#REF!</v>
      </c>
      <c r="K45">
        <f t="shared" si="1"/>
        <v>70.182000000000002</v>
      </c>
      <c r="L45" t="e">
        <f t="shared" si="2"/>
        <v>#REF!</v>
      </c>
      <c r="O45" s="8">
        <f t="shared" si="14"/>
        <v>4.3863750000000001</v>
      </c>
      <c r="P45" s="8" t="e">
        <f t="shared" si="15"/>
        <v>#REF!</v>
      </c>
      <c r="Q45" s="8">
        <f t="shared" si="16"/>
        <v>5.2</v>
      </c>
      <c r="R45" s="8">
        <f t="shared" si="17"/>
        <v>0.03</v>
      </c>
      <c r="S45" s="8">
        <f t="shared" si="18"/>
        <v>0.8</v>
      </c>
      <c r="T45" s="8">
        <f t="shared" si="19"/>
        <v>0.5</v>
      </c>
      <c r="U45" s="8" t="e">
        <f t="shared" si="20"/>
        <v>#REF!</v>
      </c>
      <c r="W45" s="8" t="e">
        <f t="shared" si="21"/>
        <v>#REF!</v>
      </c>
      <c r="Y45" t="e">
        <f t="shared" si="22"/>
        <v>#REF!</v>
      </c>
    </row>
    <row r="46" spans="6:25" x14ac:dyDescent="0.2">
      <c r="F46">
        <f t="shared" si="4"/>
        <v>215</v>
      </c>
      <c r="G46" t="e">
        <f>1.2*SQRT(2*F46/(airplane!#REF!*airplane!$B$13))-airplane!#REF!</f>
        <v>#REF!</v>
      </c>
      <c r="H46" t="e">
        <f t="shared" si="0"/>
        <v>#REF!</v>
      </c>
      <c r="K46">
        <f t="shared" si="1"/>
        <v>71.852999999999994</v>
      </c>
      <c r="L46" t="e">
        <f t="shared" si="2"/>
        <v>#REF!</v>
      </c>
      <c r="O46" s="8">
        <f t="shared" si="14"/>
        <v>4.4908124999999997</v>
      </c>
      <c r="P46" s="8" t="e">
        <f t="shared" si="15"/>
        <v>#REF!</v>
      </c>
      <c r="Q46" s="8">
        <f t="shared" si="16"/>
        <v>5.2</v>
      </c>
      <c r="R46" s="8">
        <f t="shared" si="17"/>
        <v>0.03</v>
      </c>
      <c r="S46" s="8">
        <f t="shared" si="18"/>
        <v>0.8</v>
      </c>
      <c r="T46" s="8">
        <f t="shared" si="19"/>
        <v>0.5</v>
      </c>
      <c r="U46" s="8" t="e">
        <f t="shared" si="20"/>
        <v>#REF!</v>
      </c>
      <c r="W46" s="8" t="e">
        <f t="shared" si="21"/>
        <v>#REF!</v>
      </c>
      <c r="Y46" t="e">
        <f t="shared" si="22"/>
        <v>#REF!</v>
      </c>
    </row>
    <row r="47" spans="6:25" x14ac:dyDescent="0.2">
      <c r="F47">
        <f t="shared" si="4"/>
        <v>220</v>
      </c>
      <c r="G47" t="e">
        <f>1.2*SQRT(2*F47/(airplane!#REF!*airplane!$B$13))-airplane!#REF!</f>
        <v>#REF!</v>
      </c>
      <c r="H47" t="e">
        <f t="shared" si="0"/>
        <v>#REF!</v>
      </c>
      <c r="K47">
        <f t="shared" si="1"/>
        <v>73.524000000000001</v>
      </c>
      <c r="L47" t="e">
        <f t="shared" si="2"/>
        <v>#REF!</v>
      </c>
      <c r="O47" s="8">
        <f t="shared" si="14"/>
        <v>4.5952500000000001</v>
      </c>
      <c r="P47" s="8" t="e">
        <f t="shared" si="15"/>
        <v>#REF!</v>
      </c>
      <c r="Q47" s="8">
        <f t="shared" si="16"/>
        <v>5.2</v>
      </c>
      <c r="R47" s="8">
        <f t="shared" si="17"/>
        <v>0.03</v>
      </c>
      <c r="S47" s="8">
        <f t="shared" si="18"/>
        <v>0.8</v>
      </c>
      <c r="T47" s="8">
        <f t="shared" si="19"/>
        <v>0.5</v>
      </c>
      <c r="U47" s="8" t="e">
        <f t="shared" si="20"/>
        <v>#REF!</v>
      </c>
      <c r="W47" s="8" t="e">
        <f t="shared" si="21"/>
        <v>#REF!</v>
      </c>
      <c r="Y47" t="e">
        <f t="shared" si="22"/>
        <v>#REF!</v>
      </c>
    </row>
    <row r="48" spans="6:25" x14ac:dyDescent="0.2">
      <c r="F48">
        <f t="shared" si="4"/>
        <v>225</v>
      </c>
      <c r="G48" t="e">
        <f>1.2*SQRT(2*F48/(airplane!#REF!*airplane!$B$13))-airplane!#REF!</f>
        <v>#REF!</v>
      </c>
      <c r="H48" t="e">
        <f t="shared" si="0"/>
        <v>#REF!</v>
      </c>
      <c r="K48">
        <f t="shared" si="1"/>
        <v>75.194999999999993</v>
      </c>
      <c r="L48" t="e">
        <f t="shared" si="2"/>
        <v>#REF!</v>
      </c>
      <c r="O48" s="8">
        <f t="shared" si="14"/>
        <v>4.6996874999999996</v>
      </c>
      <c r="P48" s="8" t="e">
        <f t="shared" si="15"/>
        <v>#REF!</v>
      </c>
      <c r="Q48" s="8">
        <f t="shared" si="16"/>
        <v>5.2</v>
      </c>
      <c r="R48" s="8">
        <f t="shared" si="17"/>
        <v>0.03</v>
      </c>
      <c r="S48" s="8">
        <f t="shared" si="18"/>
        <v>0.8</v>
      </c>
      <c r="T48" s="8">
        <f t="shared" si="19"/>
        <v>0.5</v>
      </c>
      <c r="U48" s="8" t="e">
        <f t="shared" si="20"/>
        <v>#REF!</v>
      </c>
      <c r="W48" s="8" t="e">
        <f t="shared" si="21"/>
        <v>#REF!</v>
      </c>
      <c r="Y48" t="e">
        <f t="shared" si="22"/>
        <v>#REF!</v>
      </c>
    </row>
    <row r="49" spans="6:25" x14ac:dyDescent="0.2">
      <c r="F49">
        <f t="shared" si="4"/>
        <v>230</v>
      </c>
      <c r="G49" t="e">
        <f>1.2*SQRT(2*F49/(airplane!#REF!*airplane!$B$13))-airplane!#REF!</f>
        <v>#REF!</v>
      </c>
      <c r="H49" t="e">
        <f t="shared" si="0"/>
        <v>#REF!</v>
      </c>
      <c r="K49">
        <f t="shared" si="1"/>
        <v>76.866</v>
      </c>
      <c r="L49" t="e">
        <f t="shared" si="2"/>
        <v>#REF!</v>
      </c>
      <c r="O49" s="8">
        <f t="shared" si="14"/>
        <v>4.804125</v>
      </c>
      <c r="P49" s="8" t="e">
        <f t="shared" si="15"/>
        <v>#REF!</v>
      </c>
      <c r="Q49" s="8">
        <f t="shared" si="16"/>
        <v>5.2</v>
      </c>
      <c r="R49" s="8">
        <f t="shared" si="17"/>
        <v>0.03</v>
      </c>
      <c r="S49" s="8">
        <f t="shared" si="18"/>
        <v>0.8</v>
      </c>
      <c r="T49" s="8">
        <f t="shared" si="19"/>
        <v>0.5</v>
      </c>
      <c r="U49" s="8" t="e">
        <f t="shared" si="20"/>
        <v>#REF!</v>
      </c>
      <c r="W49" s="8" t="e">
        <f t="shared" si="21"/>
        <v>#REF!</v>
      </c>
      <c r="Y49" t="e">
        <f t="shared" si="22"/>
        <v>#REF!</v>
      </c>
    </row>
    <row r="50" spans="6:25" x14ac:dyDescent="0.2">
      <c r="F50">
        <f t="shared" si="4"/>
        <v>235</v>
      </c>
      <c r="G50" t="e">
        <f>1.2*SQRT(2*F50/(airplane!#REF!*airplane!$B$13))-airplane!#REF!</f>
        <v>#REF!</v>
      </c>
      <c r="H50" t="e">
        <f t="shared" si="0"/>
        <v>#REF!</v>
      </c>
      <c r="K50">
        <f t="shared" si="1"/>
        <v>78.537000000000006</v>
      </c>
      <c r="L50" t="e">
        <f t="shared" si="2"/>
        <v>#REF!</v>
      </c>
      <c r="O50" s="8">
        <f t="shared" si="14"/>
        <v>4.9085625000000004</v>
      </c>
      <c r="P50" s="8" t="e">
        <f t="shared" si="15"/>
        <v>#REF!</v>
      </c>
      <c r="Q50" s="8">
        <f t="shared" si="16"/>
        <v>5.2</v>
      </c>
      <c r="R50" s="8">
        <f t="shared" si="17"/>
        <v>0.03</v>
      </c>
      <c r="S50" s="8">
        <f t="shared" si="18"/>
        <v>0.8</v>
      </c>
      <c r="T50" s="8">
        <f t="shared" si="19"/>
        <v>0.5</v>
      </c>
      <c r="U50" s="8" t="e">
        <f t="shared" si="20"/>
        <v>#REF!</v>
      </c>
      <c r="W50" s="8" t="e">
        <f t="shared" si="21"/>
        <v>#REF!</v>
      </c>
      <c r="Y50" t="e">
        <f t="shared" si="22"/>
        <v>#REF!</v>
      </c>
    </row>
    <row r="51" spans="6:25" x14ac:dyDescent="0.2">
      <c r="F51">
        <f t="shared" si="4"/>
        <v>240</v>
      </c>
      <c r="G51" t="e">
        <f>1.2*SQRT(2*F51/(airplane!#REF!*airplane!$B$13))-airplane!#REF!</f>
        <v>#REF!</v>
      </c>
      <c r="H51" t="e">
        <f t="shared" si="0"/>
        <v>#REF!</v>
      </c>
      <c r="K51">
        <f t="shared" si="1"/>
        <v>80.207999999999998</v>
      </c>
      <c r="L51" t="e">
        <f t="shared" si="2"/>
        <v>#REF!</v>
      </c>
      <c r="O51" s="8">
        <f t="shared" si="14"/>
        <v>5.0129999999999999</v>
      </c>
      <c r="P51" s="8" t="e">
        <f t="shared" si="15"/>
        <v>#REF!</v>
      </c>
      <c r="Q51" s="8">
        <f t="shared" si="16"/>
        <v>5.2</v>
      </c>
      <c r="R51" s="8">
        <f t="shared" si="17"/>
        <v>0.03</v>
      </c>
      <c r="S51" s="8">
        <f t="shared" si="18"/>
        <v>0.8</v>
      </c>
      <c r="T51" s="8">
        <f t="shared" si="19"/>
        <v>0.5</v>
      </c>
      <c r="U51" s="8" t="e">
        <f t="shared" si="20"/>
        <v>#REF!</v>
      </c>
      <c r="W51" s="8" t="e">
        <f t="shared" si="21"/>
        <v>#REF!</v>
      </c>
      <c r="Y51" t="e">
        <f t="shared" si="22"/>
        <v>#REF!</v>
      </c>
    </row>
    <row r="52" spans="6:25" x14ac:dyDescent="0.2">
      <c r="F52">
        <f t="shared" si="4"/>
        <v>245</v>
      </c>
      <c r="G52" t="e">
        <f>1.2*SQRT(2*F52/(airplane!#REF!*airplane!$B$13))-airplane!#REF!</f>
        <v>#REF!</v>
      </c>
      <c r="H52" t="e">
        <f t="shared" si="0"/>
        <v>#REF!</v>
      </c>
      <c r="K52">
        <f t="shared" si="1"/>
        <v>81.879000000000005</v>
      </c>
      <c r="L52" t="e">
        <f t="shared" si="2"/>
        <v>#REF!</v>
      </c>
      <c r="O52" s="8">
        <f t="shared" si="14"/>
        <v>5.1174375000000003</v>
      </c>
      <c r="P52" s="8" t="e">
        <f t="shared" si="15"/>
        <v>#REF!</v>
      </c>
      <c r="Q52" s="8">
        <f t="shared" si="16"/>
        <v>5.2</v>
      </c>
      <c r="R52" s="8">
        <f t="shared" si="17"/>
        <v>0.03</v>
      </c>
      <c r="S52" s="8">
        <f t="shared" si="18"/>
        <v>0.8</v>
      </c>
      <c r="T52" s="8">
        <f t="shared" si="19"/>
        <v>0.5</v>
      </c>
      <c r="U52" s="8" t="e">
        <f t="shared" si="20"/>
        <v>#REF!</v>
      </c>
      <c r="W52" s="8" t="e">
        <f t="shared" si="21"/>
        <v>#REF!</v>
      </c>
      <c r="Y52" t="e">
        <f t="shared" si="22"/>
        <v>#REF!</v>
      </c>
    </row>
    <row r="53" spans="6:25" x14ac:dyDescent="0.2">
      <c r="F53">
        <f t="shared" si="4"/>
        <v>250</v>
      </c>
      <c r="G53" t="e">
        <f>1.2*SQRT(2*F53/(airplane!#REF!*airplane!$B$13))-airplane!#REF!</f>
        <v>#REF!</v>
      </c>
      <c r="H53" t="e">
        <f t="shared" si="0"/>
        <v>#REF!</v>
      </c>
      <c r="K53">
        <f t="shared" si="1"/>
        <v>83.55</v>
      </c>
      <c r="L53" t="e">
        <f t="shared" si="2"/>
        <v>#REF!</v>
      </c>
      <c r="O53" s="8">
        <f t="shared" si="14"/>
        <v>5.2218749999999998</v>
      </c>
      <c r="P53" s="8" t="e">
        <f t="shared" si="15"/>
        <v>#REF!</v>
      </c>
      <c r="Q53" s="8">
        <f t="shared" si="16"/>
        <v>5.2</v>
      </c>
      <c r="R53" s="8">
        <f t="shared" si="17"/>
        <v>0.03</v>
      </c>
      <c r="S53" s="8">
        <f t="shared" si="18"/>
        <v>0.8</v>
      </c>
      <c r="T53" s="8">
        <f t="shared" si="19"/>
        <v>0.5</v>
      </c>
      <c r="U53" s="8" t="e">
        <f t="shared" si="20"/>
        <v>#REF!</v>
      </c>
      <c r="W53" s="8" t="e">
        <f t="shared" si="21"/>
        <v>#REF!</v>
      </c>
      <c r="Y53" t="e">
        <f t="shared" si="22"/>
        <v>#REF!</v>
      </c>
    </row>
    <row r="54" spans="6:25" x14ac:dyDescent="0.2">
      <c r="F54">
        <f t="shared" si="4"/>
        <v>255</v>
      </c>
      <c r="G54" t="e">
        <f>1.2*SQRT(2*F54/(airplane!#REF!*airplane!$B$13))-airplane!#REF!</f>
        <v>#REF!</v>
      </c>
      <c r="H54" t="e">
        <f t="shared" ref="H54:H78" si="23">Y54</f>
        <v>#REF!</v>
      </c>
      <c r="K54">
        <f t="shared" ref="K54:K78" si="24">F54*0.3342</f>
        <v>85.221000000000004</v>
      </c>
      <c r="L54" t="e">
        <f t="shared" ref="L54:L78" si="25">H54*4.448</f>
        <v>#REF!</v>
      </c>
      <c r="O54" s="8">
        <f t="shared" ref="O54:O78" si="26">K54/16</f>
        <v>5.3263125000000002</v>
      </c>
      <c r="P54" s="8" t="e">
        <f t="shared" si="15"/>
        <v>#REF!</v>
      </c>
      <c r="Q54" s="8">
        <f t="shared" si="16"/>
        <v>5.2</v>
      </c>
      <c r="R54" s="8">
        <f t="shared" si="17"/>
        <v>0.03</v>
      </c>
      <c r="S54" s="8">
        <f t="shared" si="18"/>
        <v>0.8</v>
      </c>
      <c r="T54" s="8">
        <f t="shared" si="19"/>
        <v>0.5</v>
      </c>
      <c r="U54" s="8" t="e">
        <f t="shared" si="20"/>
        <v>#REF!</v>
      </c>
      <c r="W54" s="8" t="e">
        <f t="shared" ref="W54:W78" si="27">149.048255755414 + -54.8076469211868 * TANH(0.5 * ((-1.90311837493387) + -2.90092544214518 * O54 + 2.39505098582308 * P54 + -0.0283389134105036 * Q54 + 5.19308047170936 * R54 + -0.0705176187957977 * S54 + -3.27116421887395 * T54 + 0.487399857872412 * U54)) + 33.0866673975606 * TANH(0.5 * ((-10.9668713929341) + 2.35524027768271 * O54 + 3.73791895311835 * P54 + 0.0550541094921953 * Q54 + 5.9452766643223 * R54 + -0.0800115435216866 * S54 + -0.0158182141911049 * T54 + 0.347472887456459 * U54)) + 28.3453260854724 * TANH(0.5 * (4.25176964573387 + -0.66460275837987 * O54 + 1.29537751335798 * P54 + -0.130256031902394 * Q54 + 31.2667602760926 * R54 + -1.24048544610401 * S54 + 0.0937927006240642 * T54 + -0.0566650624068167 * U54)) + 6.79870987971588 * TANH(0.5 * (10.0518228768354 + 5.50509550241032 * O54 + -3.83803539356733 * P54 + -0.465217054676259 * Q54 + -26.6617416441195 * R54 + 1.69864364271823 * S54 + 1.31308464511239 * T54 + -0.408787412840148 * U54)) + 34.8668869080431 * TANH(0.5 * (8.22077312844118 + 5.58131964160515 * O54 + -5.45167953353492 * P54 + 0.131357302073037 * Q54 + -3.02895908030327 * R54 + 0.620182457511558 * S54 + 0.516840709792139 * T54 + -0.426084796098354 * U54)) + -38.9742336884865 * TANH(0.5 * ((-6.63509223591402) + -3.81651288586513 * O54 + 3.96461447865925 * P54 + -0.0427755407034191 * Q54 + 1.12271394672456 * R54 + 0.0774782141523358 * S54 + -1.00839111713208 * T54 + 0.432613997233709 * U54)) + 94.7572230191964 * TANH(0.5 * (2.61370613563095 + 2.08158608465853 * O54 + -5.30494797629013 * P54 + -0.0107060857549542 * Q54 + -3.17349866436297 * R54 + 0.259803966881259 * S54 + 0.165932316676154 * T54 + -0.103542416733828 * U54)) + 19.6842352112259 * TANH(0.5 * ((-11.3180358678866) + -6.05406376734185 * O54 + 6.26161664490292 * P54 + -0.0149996825471037 * Q54 + 12.6493036152436 * R54 + -1.26783941440917 * S54 + -1.22533297933495 * T54 + 0.454263469706135 * U54)) + 33.3825353084738 * TANH(0.5 * (3.02832658290986 + -4.98369928277894 * O54 + -5.38839891768436 * P54 + 2.00089047251944 * Q54 + 518.862002410857 * R54 + 5.25176474025537 * S54 + -17.6499237483562 * T54 + 0.479515709156452 * U54)) + 8.33789006875588 * TANH(0.5 * (5.21393347551219 + -2.63059327387901 * O54 + 4.88843846109308 * P54 + -0.746655568511994 * Q54 + 25.471194142492 * R54 + -5.03554280328379 * S54 + 0.903364963978358 * T54 + -0.050418064604326 * U54))</f>
        <v>#REF!</v>
      </c>
      <c r="Y54" t="e">
        <f t="shared" ref="Y54:Y78" si="28">W54/4.448</f>
        <v>#REF!</v>
      </c>
    </row>
    <row r="55" spans="6:25" x14ac:dyDescent="0.2">
      <c r="F55">
        <f t="shared" si="4"/>
        <v>260</v>
      </c>
      <c r="G55" t="e">
        <f>1.2*SQRT(2*F55/(airplane!#REF!*airplane!$B$13))-airplane!#REF!</f>
        <v>#REF!</v>
      </c>
      <c r="H55" t="e">
        <f t="shared" si="23"/>
        <v>#REF!</v>
      </c>
      <c r="K55">
        <f t="shared" si="24"/>
        <v>86.891999999999996</v>
      </c>
      <c r="L55" t="e">
        <f t="shared" si="25"/>
        <v>#REF!</v>
      </c>
      <c r="O55" s="8">
        <f t="shared" si="26"/>
        <v>5.4307499999999997</v>
      </c>
      <c r="P55" s="8" t="e">
        <f t="shared" si="15"/>
        <v>#REF!</v>
      </c>
      <c r="Q55" s="8">
        <f t="shared" si="16"/>
        <v>5.2</v>
      </c>
      <c r="R55" s="8">
        <f t="shared" si="17"/>
        <v>0.03</v>
      </c>
      <c r="S55" s="8">
        <f t="shared" si="18"/>
        <v>0.8</v>
      </c>
      <c r="T55" s="8">
        <f t="shared" si="19"/>
        <v>0.5</v>
      </c>
      <c r="U55" s="8" t="e">
        <f t="shared" si="20"/>
        <v>#REF!</v>
      </c>
      <c r="W55" s="8" t="e">
        <f t="shared" si="27"/>
        <v>#REF!</v>
      </c>
      <c r="Y55" t="e">
        <f t="shared" si="28"/>
        <v>#REF!</v>
      </c>
    </row>
    <row r="56" spans="6:25" x14ac:dyDescent="0.2">
      <c r="F56">
        <f t="shared" si="4"/>
        <v>265</v>
      </c>
      <c r="G56" t="e">
        <f>1.2*SQRT(2*F56/(airplane!#REF!*airplane!$B$13))-airplane!#REF!</f>
        <v>#REF!</v>
      </c>
      <c r="H56" t="e">
        <f t="shared" si="23"/>
        <v>#REF!</v>
      </c>
      <c r="K56">
        <f t="shared" si="24"/>
        <v>88.563000000000002</v>
      </c>
      <c r="L56" t="e">
        <f t="shared" si="25"/>
        <v>#REF!</v>
      </c>
      <c r="O56" s="8">
        <f t="shared" si="26"/>
        <v>5.5351875000000001</v>
      </c>
      <c r="P56" s="8" t="e">
        <f t="shared" si="15"/>
        <v>#REF!</v>
      </c>
      <c r="Q56" s="8">
        <f t="shared" si="16"/>
        <v>5.2</v>
      </c>
      <c r="R56" s="8">
        <f t="shared" si="17"/>
        <v>0.03</v>
      </c>
      <c r="S56" s="8">
        <f t="shared" si="18"/>
        <v>0.8</v>
      </c>
      <c r="T56" s="8">
        <f t="shared" si="19"/>
        <v>0.5</v>
      </c>
      <c r="U56" s="8" t="e">
        <f t="shared" si="20"/>
        <v>#REF!</v>
      </c>
      <c r="W56" s="8" t="e">
        <f t="shared" si="27"/>
        <v>#REF!</v>
      </c>
      <c r="Y56" t="e">
        <f t="shared" si="28"/>
        <v>#REF!</v>
      </c>
    </row>
    <row r="57" spans="6:25" x14ac:dyDescent="0.2">
      <c r="F57">
        <f t="shared" si="4"/>
        <v>270</v>
      </c>
      <c r="G57" t="e">
        <f>1.2*SQRT(2*F57/(airplane!#REF!*airplane!$B$13))-airplane!#REF!</f>
        <v>#REF!</v>
      </c>
      <c r="H57" t="e">
        <f t="shared" si="23"/>
        <v>#REF!</v>
      </c>
      <c r="K57">
        <f t="shared" si="24"/>
        <v>90.233999999999995</v>
      </c>
      <c r="L57" t="e">
        <f t="shared" si="25"/>
        <v>#REF!</v>
      </c>
      <c r="O57" s="8">
        <f t="shared" si="26"/>
        <v>5.6396249999999997</v>
      </c>
      <c r="P57" s="8" t="e">
        <f t="shared" si="15"/>
        <v>#REF!</v>
      </c>
      <c r="Q57" s="8">
        <f t="shared" si="16"/>
        <v>5.2</v>
      </c>
      <c r="R57" s="8">
        <f t="shared" si="17"/>
        <v>0.03</v>
      </c>
      <c r="S57" s="8">
        <f t="shared" si="18"/>
        <v>0.8</v>
      </c>
      <c r="T57" s="8">
        <f t="shared" si="19"/>
        <v>0.5</v>
      </c>
      <c r="U57" s="8" t="e">
        <f t="shared" si="20"/>
        <v>#REF!</v>
      </c>
      <c r="W57" s="8" t="e">
        <f t="shared" si="27"/>
        <v>#REF!</v>
      </c>
      <c r="Y57" t="e">
        <f t="shared" si="28"/>
        <v>#REF!</v>
      </c>
    </row>
    <row r="58" spans="6:25" x14ac:dyDescent="0.2">
      <c r="F58">
        <f t="shared" si="4"/>
        <v>275</v>
      </c>
      <c r="G58" t="e">
        <f>1.2*SQRT(2*F58/(airplane!#REF!*airplane!$B$13))-airplane!#REF!</f>
        <v>#REF!</v>
      </c>
      <c r="H58" t="e">
        <f t="shared" si="23"/>
        <v>#REF!</v>
      </c>
      <c r="K58">
        <f t="shared" si="24"/>
        <v>91.905000000000001</v>
      </c>
      <c r="L58" t="e">
        <f t="shared" si="25"/>
        <v>#REF!</v>
      </c>
      <c r="O58" s="8">
        <f t="shared" si="26"/>
        <v>5.7440625000000001</v>
      </c>
      <c r="P58" s="8" t="e">
        <f t="shared" si="15"/>
        <v>#REF!</v>
      </c>
      <c r="Q58" s="8">
        <f t="shared" si="16"/>
        <v>5.2</v>
      </c>
      <c r="R58" s="8">
        <f t="shared" si="17"/>
        <v>0.03</v>
      </c>
      <c r="S58" s="8">
        <f t="shared" si="18"/>
        <v>0.8</v>
      </c>
      <c r="T58" s="8">
        <f t="shared" si="19"/>
        <v>0.5</v>
      </c>
      <c r="U58" s="8" t="e">
        <f t="shared" si="20"/>
        <v>#REF!</v>
      </c>
      <c r="W58" s="8" t="e">
        <f t="shared" si="27"/>
        <v>#REF!</v>
      </c>
      <c r="Y58" t="e">
        <f t="shared" si="28"/>
        <v>#REF!</v>
      </c>
    </row>
    <row r="59" spans="6:25" x14ac:dyDescent="0.2">
      <c r="F59">
        <f t="shared" si="4"/>
        <v>280</v>
      </c>
      <c r="G59" t="e">
        <f>1.2*SQRT(2*F59/(airplane!#REF!*airplane!$B$13))-airplane!#REF!</f>
        <v>#REF!</v>
      </c>
      <c r="H59" t="e">
        <f t="shared" si="23"/>
        <v>#REF!</v>
      </c>
      <c r="K59">
        <f t="shared" si="24"/>
        <v>93.575999999999993</v>
      </c>
      <c r="L59" t="e">
        <f t="shared" si="25"/>
        <v>#REF!</v>
      </c>
      <c r="O59" s="8">
        <f t="shared" si="26"/>
        <v>5.8484999999999996</v>
      </c>
      <c r="P59" s="8" t="e">
        <f t="shared" si="15"/>
        <v>#REF!</v>
      </c>
      <c r="Q59" s="8">
        <f t="shared" si="16"/>
        <v>5.2</v>
      </c>
      <c r="R59" s="8">
        <f t="shared" si="17"/>
        <v>0.03</v>
      </c>
      <c r="S59" s="8">
        <f t="shared" si="18"/>
        <v>0.8</v>
      </c>
      <c r="T59" s="8">
        <f t="shared" si="19"/>
        <v>0.5</v>
      </c>
      <c r="U59" s="8" t="e">
        <f t="shared" si="20"/>
        <v>#REF!</v>
      </c>
      <c r="W59" s="8" t="e">
        <f t="shared" si="27"/>
        <v>#REF!</v>
      </c>
      <c r="Y59" t="e">
        <f t="shared" si="28"/>
        <v>#REF!</v>
      </c>
    </row>
    <row r="60" spans="6:25" x14ac:dyDescent="0.2">
      <c r="F60">
        <f t="shared" si="4"/>
        <v>285</v>
      </c>
      <c r="G60" t="e">
        <f>1.2*SQRT(2*F60/(airplane!#REF!*airplane!$B$13))-airplane!#REF!</f>
        <v>#REF!</v>
      </c>
      <c r="H60" t="e">
        <f t="shared" si="23"/>
        <v>#REF!</v>
      </c>
      <c r="K60">
        <f t="shared" si="24"/>
        <v>95.247</v>
      </c>
      <c r="L60" t="e">
        <f t="shared" si="25"/>
        <v>#REF!</v>
      </c>
      <c r="O60" s="8">
        <f t="shared" si="26"/>
        <v>5.9529375</v>
      </c>
      <c r="P60" s="8" t="e">
        <f t="shared" si="15"/>
        <v>#REF!</v>
      </c>
      <c r="Q60" s="8">
        <f t="shared" si="16"/>
        <v>5.2</v>
      </c>
      <c r="R60" s="8">
        <f t="shared" si="17"/>
        <v>0.03</v>
      </c>
      <c r="S60" s="8">
        <f t="shared" si="18"/>
        <v>0.8</v>
      </c>
      <c r="T60" s="8">
        <f t="shared" si="19"/>
        <v>0.5</v>
      </c>
      <c r="U60" s="8" t="e">
        <f t="shared" si="20"/>
        <v>#REF!</v>
      </c>
      <c r="W60" s="8" t="e">
        <f t="shared" si="27"/>
        <v>#REF!</v>
      </c>
      <c r="Y60" t="e">
        <f t="shared" si="28"/>
        <v>#REF!</v>
      </c>
    </row>
    <row r="61" spans="6:25" x14ac:dyDescent="0.2">
      <c r="F61">
        <f t="shared" si="4"/>
        <v>290</v>
      </c>
      <c r="G61" t="e">
        <f>1.2*SQRT(2*F61/(airplane!#REF!*airplane!$B$13))-airplane!#REF!</f>
        <v>#REF!</v>
      </c>
      <c r="H61" t="e">
        <f t="shared" si="23"/>
        <v>#REF!</v>
      </c>
      <c r="K61">
        <f t="shared" si="24"/>
        <v>96.917999999999992</v>
      </c>
      <c r="L61" t="e">
        <f t="shared" si="25"/>
        <v>#REF!</v>
      </c>
      <c r="O61" s="8">
        <f t="shared" si="26"/>
        <v>6.0573749999999995</v>
      </c>
      <c r="P61" s="8" t="e">
        <f t="shared" si="15"/>
        <v>#REF!</v>
      </c>
      <c r="Q61" s="8">
        <f t="shared" si="16"/>
        <v>5.2</v>
      </c>
      <c r="R61" s="8">
        <f t="shared" si="17"/>
        <v>0.03</v>
      </c>
      <c r="S61" s="8">
        <f t="shared" si="18"/>
        <v>0.8</v>
      </c>
      <c r="T61" s="8">
        <f t="shared" si="19"/>
        <v>0.5</v>
      </c>
      <c r="U61" s="8" t="e">
        <f t="shared" si="20"/>
        <v>#REF!</v>
      </c>
      <c r="W61" s="8" t="e">
        <f t="shared" si="27"/>
        <v>#REF!</v>
      </c>
      <c r="Y61" t="e">
        <f t="shared" si="28"/>
        <v>#REF!</v>
      </c>
    </row>
    <row r="62" spans="6:25" x14ac:dyDescent="0.2">
      <c r="F62">
        <f t="shared" si="4"/>
        <v>295</v>
      </c>
      <c r="G62" t="e">
        <f>1.2*SQRT(2*F62/(airplane!#REF!*airplane!$B$13))-airplane!#REF!</f>
        <v>#REF!</v>
      </c>
      <c r="H62" t="e">
        <f t="shared" si="23"/>
        <v>#REF!</v>
      </c>
      <c r="K62">
        <f t="shared" si="24"/>
        <v>98.588999999999999</v>
      </c>
      <c r="L62" t="e">
        <f t="shared" si="25"/>
        <v>#REF!</v>
      </c>
      <c r="O62" s="8">
        <f t="shared" si="26"/>
        <v>6.1618124999999999</v>
      </c>
      <c r="P62" s="8" t="e">
        <f t="shared" si="15"/>
        <v>#REF!</v>
      </c>
      <c r="Q62" s="8">
        <f t="shared" si="16"/>
        <v>5.2</v>
      </c>
      <c r="R62" s="8">
        <f t="shared" si="17"/>
        <v>0.03</v>
      </c>
      <c r="S62" s="8">
        <f t="shared" si="18"/>
        <v>0.8</v>
      </c>
      <c r="T62" s="8">
        <f t="shared" si="19"/>
        <v>0.5</v>
      </c>
      <c r="U62" s="8" t="e">
        <f t="shared" si="20"/>
        <v>#REF!</v>
      </c>
      <c r="W62" s="8" t="e">
        <f t="shared" si="27"/>
        <v>#REF!</v>
      </c>
      <c r="Y62" t="e">
        <f t="shared" si="28"/>
        <v>#REF!</v>
      </c>
    </row>
    <row r="63" spans="6:25" x14ac:dyDescent="0.2">
      <c r="F63">
        <f t="shared" si="4"/>
        <v>300</v>
      </c>
      <c r="G63" t="e">
        <f>1.2*SQRT(2*F63/(airplane!#REF!*airplane!$B$13))-airplane!#REF!</f>
        <v>#REF!</v>
      </c>
      <c r="H63" t="e">
        <f t="shared" si="23"/>
        <v>#REF!</v>
      </c>
      <c r="K63">
        <f t="shared" si="24"/>
        <v>100.26</v>
      </c>
      <c r="L63" t="e">
        <f t="shared" si="25"/>
        <v>#REF!</v>
      </c>
      <c r="O63" s="8">
        <f t="shared" si="26"/>
        <v>6.2662500000000003</v>
      </c>
      <c r="P63" s="8" t="e">
        <f t="shared" si="15"/>
        <v>#REF!</v>
      </c>
      <c r="Q63" s="8">
        <f t="shared" si="16"/>
        <v>5.2</v>
      </c>
      <c r="R63" s="8">
        <f t="shared" si="17"/>
        <v>0.03</v>
      </c>
      <c r="S63" s="8">
        <f t="shared" si="18"/>
        <v>0.8</v>
      </c>
      <c r="T63" s="8">
        <f t="shared" si="19"/>
        <v>0.5</v>
      </c>
      <c r="U63" s="8" t="e">
        <f t="shared" si="20"/>
        <v>#REF!</v>
      </c>
      <c r="W63" s="8" t="e">
        <f t="shared" si="27"/>
        <v>#REF!</v>
      </c>
      <c r="Y63" t="e">
        <f t="shared" si="28"/>
        <v>#REF!</v>
      </c>
    </row>
    <row r="64" spans="6:25" x14ac:dyDescent="0.2">
      <c r="F64">
        <f t="shared" si="4"/>
        <v>305</v>
      </c>
      <c r="G64" t="e">
        <f>1.2*SQRT(2*F64/(airplane!#REF!*airplane!$B$13))-airplane!#REF!</f>
        <v>#REF!</v>
      </c>
      <c r="H64" t="e">
        <f t="shared" si="23"/>
        <v>#REF!</v>
      </c>
      <c r="K64">
        <f t="shared" si="24"/>
        <v>101.931</v>
      </c>
      <c r="L64" t="e">
        <f t="shared" si="25"/>
        <v>#REF!</v>
      </c>
      <c r="O64" s="8">
        <f t="shared" si="26"/>
        <v>6.3706874999999998</v>
      </c>
      <c r="P64" s="8" t="e">
        <f t="shared" si="15"/>
        <v>#REF!</v>
      </c>
      <c r="Q64" s="8">
        <f t="shared" si="16"/>
        <v>5.2</v>
      </c>
      <c r="R64" s="8">
        <f t="shared" si="17"/>
        <v>0.03</v>
      </c>
      <c r="S64" s="8">
        <f t="shared" si="18"/>
        <v>0.8</v>
      </c>
      <c r="T64" s="8">
        <f t="shared" si="19"/>
        <v>0.5</v>
      </c>
      <c r="U64" s="8" t="e">
        <f t="shared" si="20"/>
        <v>#REF!</v>
      </c>
      <c r="W64" s="8" t="e">
        <f t="shared" si="27"/>
        <v>#REF!</v>
      </c>
      <c r="Y64" t="e">
        <f t="shared" si="28"/>
        <v>#REF!</v>
      </c>
    </row>
    <row r="65" spans="6:25" x14ac:dyDescent="0.2">
      <c r="F65">
        <f t="shared" si="4"/>
        <v>310</v>
      </c>
      <c r="G65" t="e">
        <f>1.2*SQRT(2*F65/(airplane!#REF!*airplane!$B$13))-airplane!#REF!</f>
        <v>#REF!</v>
      </c>
      <c r="H65" t="e">
        <f t="shared" si="23"/>
        <v>#REF!</v>
      </c>
      <c r="K65">
        <f t="shared" si="24"/>
        <v>103.602</v>
      </c>
      <c r="L65" t="e">
        <f t="shared" si="25"/>
        <v>#REF!</v>
      </c>
      <c r="O65" s="8">
        <f t="shared" si="26"/>
        <v>6.4751250000000002</v>
      </c>
      <c r="P65" s="8" t="e">
        <f t="shared" si="15"/>
        <v>#REF!</v>
      </c>
      <c r="Q65" s="8">
        <f t="shared" si="16"/>
        <v>5.2</v>
      </c>
      <c r="R65" s="8">
        <f t="shared" si="17"/>
        <v>0.03</v>
      </c>
      <c r="S65" s="8">
        <f t="shared" si="18"/>
        <v>0.8</v>
      </c>
      <c r="T65" s="8">
        <f t="shared" si="19"/>
        <v>0.5</v>
      </c>
      <c r="U65" s="8" t="e">
        <f t="shared" si="20"/>
        <v>#REF!</v>
      </c>
      <c r="W65" s="8" t="e">
        <f t="shared" si="27"/>
        <v>#REF!</v>
      </c>
      <c r="Y65" t="e">
        <f t="shared" si="28"/>
        <v>#REF!</v>
      </c>
    </row>
    <row r="66" spans="6:25" x14ac:dyDescent="0.2">
      <c r="F66">
        <f t="shared" si="4"/>
        <v>315</v>
      </c>
      <c r="G66" t="e">
        <f>1.2*SQRT(2*F66/(airplane!#REF!*airplane!$B$13))-airplane!#REF!</f>
        <v>#REF!</v>
      </c>
      <c r="H66" t="e">
        <f t="shared" si="23"/>
        <v>#REF!</v>
      </c>
      <c r="K66">
        <f t="shared" si="24"/>
        <v>105.273</v>
      </c>
      <c r="L66" t="e">
        <f t="shared" si="25"/>
        <v>#REF!</v>
      </c>
      <c r="O66" s="8">
        <f t="shared" si="26"/>
        <v>6.5795624999999998</v>
      </c>
      <c r="P66" s="8" t="e">
        <f t="shared" si="15"/>
        <v>#REF!</v>
      </c>
      <c r="Q66" s="8">
        <f t="shared" si="16"/>
        <v>5.2</v>
      </c>
      <c r="R66" s="8">
        <f t="shared" si="17"/>
        <v>0.03</v>
      </c>
      <c r="S66" s="8">
        <f t="shared" si="18"/>
        <v>0.8</v>
      </c>
      <c r="T66" s="8">
        <f t="shared" si="19"/>
        <v>0.5</v>
      </c>
      <c r="U66" s="8" t="e">
        <f t="shared" si="20"/>
        <v>#REF!</v>
      </c>
      <c r="W66" s="8" t="e">
        <f t="shared" si="27"/>
        <v>#REF!</v>
      </c>
      <c r="Y66" t="e">
        <f t="shared" si="28"/>
        <v>#REF!</v>
      </c>
    </row>
    <row r="67" spans="6:25" x14ac:dyDescent="0.2">
      <c r="F67">
        <f t="shared" si="4"/>
        <v>320</v>
      </c>
      <c r="G67" t="e">
        <f>1.2*SQRT(2*F67/(airplane!#REF!*airplane!$B$13))-airplane!#REF!</f>
        <v>#REF!</v>
      </c>
      <c r="H67" t="e">
        <f t="shared" si="23"/>
        <v>#REF!</v>
      </c>
      <c r="K67">
        <f t="shared" si="24"/>
        <v>106.944</v>
      </c>
      <c r="L67" t="e">
        <f t="shared" si="25"/>
        <v>#REF!</v>
      </c>
      <c r="O67" s="8">
        <f t="shared" si="26"/>
        <v>6.6840000000000002</v>
      </c>
      <c r="P67" s="8" t="e">
        <f t="shared" si="15"/>
        <v>#REF!</v>
      </c>
      <c r="Q67" s="8">
        <f t="shared" si="16"/>
        <v>5.2</v>
      </c>
      <c r="R67" s="8">
        <f t="shared" si="17"/>
        <v>0.03</v>
      </c>
      <c r="S67" s="8">
        <f t="shared" si="18"/>
        <v>0.8</v>
      </c>
      <c r="T67" s="8">
        <f t="shared" si="19"/>
        <v>0.5</v>
      </c>
      <c r="U67" s="8" t="e">
        <f t="shared" si="20"/>
        <v>#REF!</v>
      </c>
      <c r="W67" s="8" t="e">
        <f t="shared" si="27"/>
        <v>#REF!</v>
      </c>
      <c r="Y67" t="e">
        <f t="shared" si="28"/>
        <v>#REF!</v>
      </c>
    </row>
    <row r="68" spans="6:25" x14ac:dyDescent="0.2">
      <c r="F68">
        <f t="shared" si="4"/>
        <v>325</v>
      </c>
      <c r="G68" t="e">
        <f>1.2*SQRT(2*F68/(airplane!#REF!*airplane!$B$13))-airplane!#REF!</f>
        <v>#REF!</v>
      </c>
      <c r="H68" t="e">
        <f t="shared" si="23"/>
        <v>#REF!</v>
      </c>
      <c r="K68">
        <f t="shared" si="24"/>
        <v>108.61499999999999</v>
      </c>
      <c r="L68" t="e">
        <f t="shared" si="25"/>
        <v>#REF!</v>
      </c>
      <c r="O68" s="8">
        <f t="shared" si="26"/>
        <v>6.7884374999999997</v>
      </c>
      <c r="P68" s="8" t="e">
        <f t="shared" si="15"/>
        <v>#REF!</v>
      </c>
      <c r="Q68" s="8">
        <f t="shared" si="16"/>
        <v>5.2</v>
      </c>
      <c r="R68" s="8">
        <f t="shared" si="17"/>
        <v>0.03</v>
      </c>
      <c r="S68" s="8">
        <f t="shared" si="18"/>
        <v>0.8</v>
      </c>
      <c r="T68" s="8">
        <f t="shared" si="19"/>
        <v>0.5</v>
      </c>
      <c r="U68" s="8" t="e">
        <f t="shared" si="20"/>
        <v>#REF!</v>
      </c>
      <c r="W68" s="8" t="e">
        <f t="shared" si="27"/>
        <v>#REF!</v>
      </c>
      <c r="Y68" t="e">
        <f t="shared" si="28"/>
        <v>#REF!</v>
      </c>
    </row>
    <row r="69" spans="6:25" x14ac:dyDescent="0.2">
      <c r="F69">
        <f t="shared" ref="F69:F132" si="29">F68+5</f>
        <v>330</v>
      </c>
      <c r="G69" t="e">
        <f>1.2*SQRT(2*F69/(airplane!#REF!*airplane!$B$13))-airplane!#REF!</f>
        <v>#REF!</v>
      </c>
      <c r="H69" t="e">
        <f t="shared" si="23"/>
        <v>#REF!</v>
      </c>
      <c r="K69">
        <f t="shared" si="24"/>
        <v>110.286</v>
      </c>
      <c r="L69" t="e">
        <f t="shared" si="25"/>
        <v>#REF!</v>
      </c>
      <c r="O69" s="8">
        <f t="shared" si="26"/>
        <v>6.8928750000000001</v>
      </c>
      <c r="P69" s="8" t="e">
        <f t="shared" si="15"/>
        <v>#REF!</v>
      </c>
      <c r="Q69" s="8">
        <f t="shared" si="16"/>
        <v>5.2</v>
      </c>
      <c r="R69" s="8">
        <f t="shared" si="17"/>
        <v>0.03</v>
      </c>
      <c r="S69" s="8">
        <f t="shared" si="18"/>
        <v>0.8</v>
      </c>
      <c r="T69" s="8">
        <f t="shared" si="19"/>
        <v>0.5</v>
      </c>
      <c r="U69" s="8" t="e">
        <f t="shared" si="20"/>
        <v>#REF!</v>
      </c>
      <c r="W69" s="8" t="e">
        <f t="shared" si="27"/>
        <v>#REF!</v>
      </c>
      <c r="Y69" t="e">
        <f t="shared" si="28"/>
        <v>#REF!</v>
      </c>
    </row>
    <row r="70" spans="6:25" x14ac:dyDescent="0.2">
      <c r="F70">
        <f t="shared" si="29"/>
        <v>335</v>
      </c>
      <c r="G70" t="e">
        <f>1.2*SQRT(2*F70/(airplane!#REF!*airplane!$B$13))-airplane!#REF!</f>
        <v>#REF!</v>
      </c>
      <c r="H70" t="e">
        <f t="shared" si="23"/>
        <v>#REF!</v>
      </c>
      <c r="K70">
        <f t="shared" si="24"/>
        <v>111.95699999999999</v>
      </c>
      <c r="L70" t="e">
        <f t="shared" si="25"/>
        <v>#REF!</v>
      </c>
      <c r="O70" s="8">
        <f t="shared" si="26"/>
        <v>6.9973124999999996</v>
      </c>
      <c r="P70" s="8" t="e">
        <f t="shared" si="15"/>
        <v>#REF!</v>
      </c>
      <c r="Q70" s="8">
        <f t="shared" si="16"/>
        <v>5.2</v>
      </c>
      <c r="R70" s="8">
        <f t="shared" si="17"/>
        <v>0.03</v>
      </c>
      <c r="S70" s="8">
        <f t="shared" si="18"/>
        <v>0.8</v>
      </c>
      <c r="T70" s="8">
        <f t="shared" si="19"/>
        <v>0.5</v>
      </c>
      <c r="U70" s="8" t="e">
        <f t="shared" si="20"/>
        <v>#REF!</v>
      </c>
      <c r="W70" s="8" t="e">
        <f t="shared" si="27"/>
        <v>#REF!</v>
      </c>
      <c r="Y70" t="e">
        <f t="shared" si="28"/>
        <v>#REF!</v>
      </c>
    </row>
    <row r="71" spans="6:25" x14ac:dyDescent="0.2">
      <c r="F71">
        <f t="shared" si="29"/>
        <v>340</v>
      </c>
      <c r="G71" t="e">
        <f>1.2*SQRT(2*F71/(airplane!#REF!*airplane!$B$13))-airplane!#REF!</f>
        <v>#REF!</v>
      </c>
      <c r="H71" t="e">
        <f t="shared" si="23"/>
        <v>#REF!</v>
      </c>
      <c r="K71">
        <f t="shared" si="24"/>
        <v>113.628</v>
      </c>
      <c r="L71" t="e">
        <f t="shared" si="25"/>
        <v>#REF!</v>
      </c>
      <c r="O71" s="8">
        <f t="shared" si="26"/>
        <v>7.10175</v>
      </c>
      <c r="P71" s="8" t="e">
        <f t="shared" si="15"/>
        <v>#REF!</v>
      </c>
      <c r="Q71" s="8">
        <f t="shared" si="16"/>
        <v>5.2</v>
      </c>
      <c r="R71" s="8">
        <f t="shared" si="17"/>
        <v>0.03</v>
      </c>
      <c r="S71" s="8">
        <f t="shared" si="18"/>
        <v>0.8</v>
      </c>
      <c r="T71" s="8">
        <f t="shared" si="19"/>
        <v>0.5</v>
      </c>
      <c r="U71" s="8" t="e">
        <f t="shared" si="20"/>
        <v>#REF!</v>
      </c>
      <c r="W71" s="8" t="e">
        <f t="shared" si="27"/>
        <v>#REF!</v>
      </c>
      <c r="Y71" t="e">
        <f t="shared" si="28"/>
        <v>#REF!</v>
      </c>
    </row>
    <row r="72" spans="6:25" x14ac:dyDescent="0.2">
      <c r="F72">
        <f t="shared" si="29"/>
        <v>345</v>
      </c>
      <c r="G72" t="e">
        <f>1.2*SQRT(2*F72/(airplane!#REF!*airplane!$B$13))-airplane!#REF!</f>
        <v>#REF!</v>
      </c>
      <c r="H72" t="e">
        <f t="shared" si="23"/>
        <v>#REF!</v>
      </c>
      <c r="K72">
        <f t="shared" si="24"/>
        <v>115.29899999999999</v>
      </c>
      <c r="L72" t="e">
        <f t="shared" si="25"/>
        <v>#REF!</v>
      </c>
      <c r="O72" s="8">
        <f t="shared" si="26"/>
        <v>7.2061874999999995</v>
      </c>
      <c r="P72" s="8" t="e">
        <f t="shared" si="15"/>
        <v>#REF!</v>
      </c>
      <c r="Q72" s="8">
        <f t="shared" si="16"/>
        <v>5.2</v>
      </c>
      <c r="R72" s="8">
        <f t="shared" si="17"/>
        <v>0.03</v>
      </c>
      <c r="S72" s="8">
        <f t="shared" si="18"/>
        <v>0.8</v>
      </c>
      <c r="T72" s="8">
        <f t="shared" si="19"/>
        <v>0.5</v>
      </c>
      <c r="U72" s="8" t="e">
        <f t="shared" si="20"/>
        <v>#REF!</v>
      </c>
      <c r="W72" s="8" t="e">
        <f t="shared" si="27"/>
        <v>#REF!</v>
      </c>
      <c r="Y72" t="e">
        <f t="shared" si="28"/>
        <v>#REF!</v>
      </c>
    </row>
    <row r="73" spans="6:25" x14ac:dyDescent="0.2">
      <c r="F73">
        <f t="shared" si="29"/>
        <v>350</v>
      </c>
      <c r="G73" t="e">
        <f>1.2*SQRT(2*F73/(airplane!#REF!*airplane!$B$13))-airplane!#REF!</f>
        <v>#REF!</v>
      </c>
      <c r="H73" t="e">
        <f t="shared" si="23"/>
        <v>#REF!</v>
      </c>
      <c r="K73">
        <f t="shared" si="24"/>
        <v>116.97</v>
      </c>
      <c r="L73" t="e">
        <f t="shared" si="25"/>
        <v>#REF!</v>
      </c>
      <c r="O73" s="8">
        <f t="shared" si="26"/>
        <v>7.3106249999999999</v>
      </c>
      <c r="P73" s="8" t="e">
        <f t="shared" si="15"/>
        <v>#REF!</v>
      </c>
      <c r="Q73" s="8">
        <f t="shared" si="16"/>
        <v>5.2</v>
      </c>
      <c r="R73" s="8">
        <f t="shared" si="17"/>
        <v>0.03</v>
      </c>
      <c r="S73" s="8">
        <f t="shared" si="18"/>
        <v>0.8</v>
      </c>
      <c r="T73" s="8">
        <f t="shared" si="19"/>
        <v>0.5</v>
      </c>
      <c r="U73" s="8" t="e">
        <f t="shared" si="20"/>
        <v>#REF!</v>
      </c>
      <c r="W73" s="8" t="e">
        <f t="shared" si="27"/>
        <v>#REF!</v>
      </c>
      <c r="Y73" t="e">
        <f t="shared" si="28"/>
        <v>#REF!</v>
      </c>
    </row>
    <row r="74" spans="6:25" x14ac:dyDescent="0.2">
      <c r="F74">
        <f t="shared" si="29"/>
        <v>355</v>
      </c>
      <c r="G74" t="e">
        <f>1.2*SQRT(2*F74/(airplane!#REF!*airplane!$B$13))-airplane!#REF!</f>
        <v>#REF!</v>
      </c>
      <c r="H74" t="e">
        <f t="shared" si="23"/>
        <v>#REF!</v>
      </c>
      <c r="K74">
        <f t="shared" si="24"/>
        <v>118.64100000000001</v>
      </c>
      <c r="L74" t="e">
        <f t="shared" si="25"/>
        <v>#REF!</v>
      </c>
      <c r="O74" s="8">
        <f t="shared" si="26"/>
        <v>7.4150625000000003</v>
      </c>
      <c r="P74" s="8" t="e">
        <f t="shared" si="15"/>
        <v>#REF!</v>
      </c>
      <c r="Q74" s="8">
        <f t="shared" si="16"/>
        <v>5.2</v>
      </c>
      <c r="R74" s="8">
        <f t="shared" si="17"/>
        <v>0.03</v>
      </c>
      <c r="S74" s="8">
        <f t="shared" si="18"/>
        <v>0.8</v>
      </c>
      <c r="T74" s="8">
        <f t="shared" si="19"/>
        <v>0.5</v>
      </c>
      <c r="U74" s="8" t="e">
        <f t="shared" si="20"/>
        <v>#REF!</v>
      </c>
      <c r="W74" s="8" t="e">
        <f t="shared" si="27"/>
        <v>#REF!</v>
      </c>
      <c r="Y74" t="e">
        <f t="shared" si="28"/>
        <v>#REF!</v>
      </c>
    </row>
    <row r="75" spans="6:25" x14ac:dyDescent="0.2">
      <c r="F75">
        <f t="shared" si="29"/>
        <v>360</v>
      </c>
      <c r="G75" t="e">
        <f>1.2*SQRT(2*F75/(airplane!#REF!*airplane!$B$13))-airplane!#REF!</f>
        <v>#REF!</v>
      </c>
      <c r="H75" t="e">
        <f t="shared" si="23"/>
        <v>#REF!</v>
      </c>
      <c r="K75">
        <f t="shared" si="24"/>
        <v>120.312</v>
      </c>
      <c r="L75" t="e">
        <f t="shared" si="25"/>
        <v>#REF!</v>
      </c>
      <c r="O75" s="8">
        <f t="shared" si="26"/>
        <v>7.5194999999999999</v>
      </c>
      <c r="P75" s="8" t="e">
        <f t="shared" si="15"/>
        <v>#REF!</v>
      </c>
      <c r="Q75" s="8">
        <f t="shared" si="16"/>
        <v>5.2</v>
      </c>
      <c r="R75" s="8">
        <f t="shared" si="17"/>
        <v>0.03</v>
      </c>
      <c r="S75" s="8">
        <f t="shared" si="18"/>
        <v>0.8</v>
      </c>
      <c r="T75" s="8">
        <f t="shared" si="19"/>
        <v>0.5</v>
      </c>
      <c r="U75" s="8" t="e">
        <f t="shared" si="20"/>
        <v>#REF!</v>
      </c>
      <c r="W75" s="8" t="e">
        <f t="shared" si="27"/>
        <v>#REF!</v>
      </c>
      <c r="Y75" t="e">
        <f t="shared" si="28"/>
        <v>#REF!</v>
      </c>
    </row>
    <row r="76" spans="6:25" x14ac:dyDescent="0.2">
      <c r="F76">
        <f t="shared" si="29"/>
        <v>365</v>
      </c>
      <c r="G76" t="e">
        <f>1.2*SQRT(2*F76/(airplane!#REF!*airplane!$B$13))-airplane!#REF!</f>
        <v>#REF!</v>
      </c>
      <c r="H76" t="e">
        <f t="shared" si="23"/>
        <v>#REF!</v>
      </c>
      <c r="K76">
        <f t="shared" si="24"/>
        <v>121.983</v>
      </c>
      <c r="L76" t="e">
        <f t="shared" si="25"/>
        <v>#REF!</v>
      </c>
      <c r="O76" s="8">
        <f t="shared" si="26"/>
        <v>7.6239375000000003</v>
      </c>
      <c r="P76" s="8" t="e">
        <f t="shared" si="15"/>
        <v>#REF!</v>
      </c>
      <c r="Q76" s="8">
        <f t="shared" si="16"/>
        <v>5.2</v>
      </c>
      <c r="R76" s="8">
        <f t="shared" si="17"/>
        <v>0.03</v>
      </c>
      <c r="S76" s="8">
        <f t="shared" si="18"/>
        <v>0.8</v>
      </c>
      <c r="T76" s="8">
        <f t="shared" si="19"/>
        <v>0.5</v>
      </c>
      <c r="U76" s="8" t="e">
        <f t="shared" si="20"/>
        <v>#REF!</v>
      </c>
      <c r="W76" s="8" t="e">
        <f t="shared" si="27"/>
        <v>#REF!</v>
      </c>
      <c r="Y76" t="e">
        <f t="shared" si="28"/>
        <v>#REF!</v>
      </c>
    </row>
    <row r="77" spans="6:25" x14ac:dyDescent="0.2">
      <c r="F77">
        <f t="shared" si="29"/>
        <v>370</v>
      </c>
      <c r="G77" t="e">
        <f>1.2*SQRT(2*F77/(airplane!#REF!*airplane!$B$13))-airplane!#REF!</f>
        <v>#REF!</v>
      </c>
      <c r="H77" t="e">
        <f t="shared" si="23"/>
        <v>#REF!</v>
      </c>
      <c r="K77">
        <f t="shared" si="24"/>
        <v>123.654</v>
      </c>
      <c r="L77" t="e">
        <f t="shared" si="25"/>
        <v>#REF!</v>
      </c>
      <c r="O77" s="8">
        <f t="shared" si="26"/>
        <v>7.7283749999999998</v>
      </c>
      <c r="P77" s="8" t="e">
        <f t="shared" si="15"/>
        <v>#REF!</v>
      </c>
      <c r="Q77" s="8">
        <f t="shared" si="16"/>
        <v>5.2</v>
      </c>
      <c r="R77" s="8">
        <f t="shared" si="17"/>
        <v>0.03</v>
      </c>
      <c r="S77" s="8">
        <f t="shared" si="18"/>
        <v>0.8</v>
      </c>
      <c r="T77" s="8">
        <f t="shared" si="19"/>
        <v>0.5</v>
      </c>
      <c r="U77" s="8" t="e">
        <f t="shared" si="20"/>
        <v>#REF!</v>
      </c>
      <c r="W77" s="8" t="e">
        <f t="shared" si="27"/>
        <v>#REF!</v>
      </c>
      <c r="Y77" t="e">
        <f t="shared" si="28"/>
        <v>#REF!</v>
      </c>
    </row>
    <row r="78" spans="6:25" x14ac:dyDescent="0.2">
      <c r="F78">
        <f t="shared" si="29"/>
        <v>375</v>
      </c>
      <c r="G78" t="e">
        <f>1.2*SQRT(2*F78/(airplane!#REF!*airplane!$B$13))-airplane!#REF!</f>
        <v>#REF!</v>
      </c>
      <c r="H78" t="e">
        <f t="shared" si="23"/>
        <v>#REF!</v>
      </c>
      <c r="K78">
        <f t="shared" si="24"/>
        <v>125.325</v>
      </c>
      <c r="L78" t="e">
        <f t="shared" si="25"/>
        <v>#REF!</v>
      </c>
      <c r="O78" s="8">
        <f t="shared" si="26"/>
        <v>7.8328125000000002</v>
      </c>
      <c r="P78" s="8" t="e">
        <f t="shared" si="15"/>
        <v>#REF!</v>
      </c>
      <c r="Q78" s="8">
        <f t="shared" si="16"/>
        <v>5.2</v>
      </c>
      <c r="R78" s="8">
        <f t="shared" si="17"/>
        <v>0.03</v>
      </c>
      <c r="S78" s="8">
        <f t="shared" si="18"/>
        <v>0.8</v>
      </c>
      <c r="T78" s="8">
        <f t="shared" si="19"/>
        <v>0.5</v>
      </c>
      <c r="U78" s="8" t="e">
        <f t="shared" si="20"/>
        <v>#REF!</v>
      </c>
      <c r="W78" s="8" t="e">
        <f t="shared" si="27"/>
        <v>#REF!</v>
      </c>
      <c r="Y78" t="e">
        <f t="shared" si="28"/>
        <v>#REF!</v>
      </c>
    </row>
    <row r="79" spans="6:25" x14ac:dyDescent="0.2">
      <c r="F79">
        <f t="shared" si="29"/>
        <v>380</v>
      </c>
      <c r="G79" t="e">
        <f>1.2*SQRT(2*F79/(airplane!#REF!*airplane!$B$13))-airplane!#REF!</f>
        <v>#REF!</v>
      </c>
      <c r="H79" t="e">
        <f t="shared" ref="H79:H142" si="30">Y79</f>
        <v>#REF!</v>
      </c>
      <c r="K79">
        <f t="shared" ref="K79:K142" si="31">F79*0.3342</f>
        <v>126.996</v>
      </c>
      <c r="L79" t="e">
        <f t="shared" ref="L79:L142" si="32">H79*4.448</f>
        <v>#REF!</v>
      </c>
      <c r="O79" s="8">
        <f t="shared" ref="O79:O142" si="33">K79/16</f>
        <v>7.9372499999999997</v>
      </c>
      <c r="P79" s="8" t="e">
        <f t="shared" ref="P79:U94" si="34">P78</f>
        <v>#REF!</v>
      </c>
      <c r="Q79" s="8">
        <f t="shared" si="34"/>
        <v>5.2</v>
      </c>
      <c r="R79" s="8">
        <f t="shared" si="34"/>
        <v>0.03</v>
      </c>
      <c r="S79" s="8">
        <f t="shared" si="34"/>
        <v>0.8</v>
      </c>
      <c r="T79" s="8">
        <f t="shared" si="34"/>
        <v>0.5</v>
      </c>
      <c r="U79" s="8" t="e">
        <f t="shared" si="34"/>
        <v>#REF!</v>
      </c>
      <c r="W79" s="8" t="e">
        <f t="shared" ref="W79:W142" si="35">149.048255755414 + -54.8076469211868 * TANH(0.5 * ((-1.90311837493387) + -2.90092544214518 * O79 + 2.39505098582308 * P79 + -0.0283389134105036 * Q79 + 5.19308047170936 * R79 + -0.0705176187957977 * S79 + -3.27116421887395 * T79 + 0.487399857872412 * U79)) + 33.0866673975606 * TANH(0.5 * ((-10.9668713929341) + 2.35524027768271 * O79 + 3.73791895311835 * P79 + 0.0550541094921953 * Q79 + 5.9452766643223 * R79 + -0.0800115435216866 * S79 + -0.0158182141911049 * T79 + 0.347472887456459 * U79)) + 28.3453260854724 * TANH(0.5 * (4.25176964573387 + -0.66460275837987 * O79 + 1.29537751335798 * P79 + -0.130256031902394 * Q79 + 31.2667602760926 * R79 + -1.24048544610401 * S79 + 0.0937927006240642 * T79 + -0.0566650624068167 * U79)) + 6.79870987971588 * TANH(0.5 * (10.0518228768354 + 5.50509550241032 * O79 + -3.83803539356733 * P79 + -0.465217054676259 * Q79 + -26.6617416441195 * R79 + 1.69864364271823 * S79 + 1.31308464511239 * T79 + -0.408787412840148 * U79)) + 34.8668869080431 * TANH(0.5 * (8.22077312844118 + 5.58131964160515 * O79 + -5.45167953353492 * P79 + 0.131357302073037 * Q79 + -3.02895908030327 * R79 + 0.620182457511558 * S79 + 0.516840709792139 * T79 + -0.426084796098354 * U79)) + -38.9742336884865 * TANH(0.5 * ((-6.63509223591402) + -3.81651288586513 * O79 + 3.96461447865925 * P79 + -0.0427755407034191 * Q79 + 1.12271394672456 * R79 + 0.0774782141523358 * S79 + -1.00839111713208 * T79 + 0.432613997233709 * U79)) + 94.7572230191964 * TANH(0.5 * (2.61370613563095 + 2.08158608465853 * O79 + -5.30494797629013 * P79 + -0.0107060857549542 * Q79 + -3.17349866436297 * R79 + 0.259803966881259 * S79 + 0.165932316676154 * T79 + -0.103542416733828 * U79)) + 19.6842352112259 * TANH(0.5 * ((-11.3180358678866) + -6.05406376734185 * O79 + 6.26161664490292 * P79 + -0.0149996825471037 * Q79 + 12.6493036152436 * R79 + -1.26783941440917 * S79 + -1.22533297933495 * T79 + 0.454263469706135 * U79)) + 33.3825353084738 * TANH(0.5 * (3.02832658290986 + -4.98369928277894 * O79 + -5.38839891768436 * P79 + 2.00089047251944 * Q79 + 518.862002410857 * R79 + 5.25176474025537 * S79 + -17.6499237483562 * T79 + 0.479515709156452 * U79)) + 8.33789006875588 * TANH(0.5 * (5.21393347551219 + -2.63059327387901 * O79 + 4.88843846109308 * P79 + -0.746655568511994 * Q79 + 25.471194142492 * R79 + -5.03554280328379 * S79 + 0.903364963978358 * T79 + -0.050418064604326 * U79))</f>
        <v>#REF!</v>
      </c>
      <c r="Y79" t="e">
        <f t="shared" ref="Y79:Y142" si="36">W79/4.448</f>
        <v>#REF!</v>
      </c>
    </row>
    <row r="80" spans="6:25" x14ac:dyDescent="0.2">
      <c r="F80">
        <f t="shared" si="29"/>
        <v>385</v>
      </c>
      <c r="G80" t="e">
        <f>1.2*SQRT(2*F80/(airplane!#REF!*airplane!$B$13))-airplane!#REF!</f>
        <v>#REF!</v>
      </c>
      <c r="H80" t="e">
        <f t="shared" si="30"/>
        <v>#REF!</v>
      </c>
      <c r="K80">
        <f t="shared" si="31"/>
        <v>128.667</v>
      </c>
      <c r="L80" t="e">
        <f t="shared" si="32"/>
        <v>#REF!</v>
      </c>
      <c r="O80" s="8">
        <f t="shared" si="33"/>
        <v>8.0416875000000001</v>
      </c>
      <c r="P80" s="8" t="e">
        <f t="shared" si="34"/>
        <v>#REF!</v>
      </c>
      <c r="Q80" s="8">
        <f t="shared" si="34"/>
        <v>5.2</v>
      </c>
      <c r="R80" s="8">
        <f t="shared" si="34"/>
        <v>0.03</v>
      </c>
      <c r="S80" s="8">
        <f t="shared" si="34"/>
        <v>0.8</v>
      </c>
      <c r="T80" s="8">
        <f t="shared" si="34"/>
        <v>0.5</v>
      </c>
      <c r="U80" s="8" t="e">
        <f t="shared" si="34"/>
        <v>#REF!</v>
      </c>
      <c r="W80" s="8" t="e">
        <f t="shared" si="35"/>
        <v>#REF!</v>
      </c>
      <c r="Y80" t="e">
        <f t="shared" si="36"/>
        <v>#REF!</v>
      </c>
    </row>
    <row r="81" spans="6:25" x14ac:dyDescent="0.2">
      <c r="F81">
        <f t="shared" si="29"/>
        <v>390</v>
      </c>
      <c r="G81" t="e">
        <f>1.2*SQRT(2*F81/(airplane!#REF!*airplane!$B$13))-airplane!#REF!</f>
        <v>#REF!</v>
      </c>
      <c r="H81" t="e">
        <f t="shared" si="30"/>
        <v>#REF!</v>
      </c>
      <c r="K81">
        <f t="shared" si="31"/>
        <v>130.33799999999999</v>
      </c>
      <c r="L81" t="e">
        <f t="shared" si="32"/>
        <v>#REF!</v>
      </c>
      <c r="O81" s="8">
        <f t="shared" si="33"/>
        <v>8.1461249999999996</v>
      </c>
      <c r="P81" s="8" t="e">
        <f t="shared" si="34"/>
        <v>#REF!</v>
      </c>
      <c r="Q81" s="8">
        <f t="shared" si="34"/>
        <v>5.2</v>
      </c>
      <c r="R81" s="8">
        <f t="shared" si="34"/>
        <v>0.03</v>
      </c>
      <c r="S81" s="8">
        <f t="shared" si="34"/>
        <v>0.8</v>
      </c>
      <c r="T81" s="8">
        <f t="shared" si="34"/>
        <v>0.5</v>
      </c>
      <c r="U81" s="8" t="e">
        <f t="shared" si="34"/>
        <v>#REF!</v>
      </c>
      <c r="W81" s="8" t="e">
        <f t="shared" si="35"/>
        <v>#REF!</v>
      </c>
      <c r="Y81" t="e">
        <f t="shared" si="36"/>
        <v>#REF!</v>
      </c>
    </row>
    <row r="82" spans="6:25" x14ac:dyDescent="0.2">
      <c r="F82">
        <f t="shared" si="29"/>
        <v>395</v>
      </c>
      <c r="G82" t="e">
        <f>1.2*SQRT(2*F82/(airplane!#REF!*airplane!$B$13))-airplane!#REF!</f>
        <v>#REF!</v>
      </c>
      <c r="H82" t="e">
        <f t="shared" si="30"/>
        <v>#REF!</v>
      </c>
      <c r="K82">
        <f t="shared" si="31"/>
        <v>132.00899999999999</v>
      </c>
      <c r="L82" t="e">
        <f t="shared" si="32"/>
        <v>#REF!</v>
      </c>
      <c r="O82" s="8">
        <f t="shared" si="33"/>
        <v>8.2505624999999991</v>
      </c>
      <c r="P82" s="8" t="e">
        <f t="shared" si="34"/>
        <v>#REF!</v>
      </c>
      <c r="Q82" s="8">
        <f t="shared" si="34"/>
        <v>5.2</v>
      </c>
      <c r="R82" s="8">
        <f t="shared" si="34"/>
        <v>0.03</v>
      </c>
      <c r="S82" s="8">
        <f t="shared" si="34"/>
        <v>0.8</v>
      </c>
      <c r="T82" s="8">
        <f t="shared" si="34"/>
        <v>0.5</v>
      </c>
      <c r="U82" s="8" t="e">
        <f t="shared" si="34"/>
        <v>#REF!</v>
      </c>
      <c r="W82" s="8" t="e">
        <f t="shared" si="35"/>
        <v>#REF!</v>
      </c>
      <c r="Y82" t="e">
        <f t="shared" si="36"/>
        <v>#REF!</v>
      </c>
    </row>
    <row r="83" spans="6:25" x14ac:dyDescent="0.2">
      <c r="F83">
        <f t="shared" si="29"/>
        <v>400</v>
      </c>
      <c r="G83" t="e">
        <f>1.2*SQRT(2*F83/(airplane!#REF!*airplane!$B$13))-airplane!#REF!</f>
        <v>#REF!</v>
      </c>
      <c r="H83" t="e">
        <f t="shared" si="30"/>
        <v>#REF!</v>
      </c>
      <c r="K83">
        <f t="shared" si="31"/>
        <v>133.68</v>
      </c>
      <c r="L83" t="e">
        <f t="shared" si="32"/>
        <v>#REF!</v>
      </c>
      <c r="O83" s="8">
        <f t="shared" si="33"/>
        <v>8.3550000000000004</v>
      </c>
      <c r="P83" s="8" t="e">
        <f t="shared" si="34"/>
        <v>#REF!</v>
      </c>
      <c r="Q83" s="8">
        <f t="shared" si="34"/>
        <v>5.2</v>
      </c>
      <c r="R83" s="8">
        <f t="shared" si="34"/>
        <v>0.03</v>
      </c>
      <c r="S83" s="8">
        <f t="shared" si="34"/>
        <v>0.8</v>
      </c>
      <c r="T83" s="8">
        <f t="shared" si="34"/>
        <v>0.5</v>
      </c>
      <c r="U83" s="8" t="e">
        <f t="shared" si="34"/>
        <v>#REF!</v>
      </c>
      <c r="W83" s="8" t="e">
        <f t="shared" si="35"/>
        <v>#REF!</v>
      </c>
      <c r="Y83" t="e">
        <f t="shared" si="36"/>
        <v>#REF!</v>
      </c>
    </row>
    <row r="84" spans="6:25" x14ac:dyDescent="0.2">
      <c r="F84">
        <f t="shared" si="29"/>
        <v>405</v>
      </c>
      <c r="G84" t="e">
        <f>1.2*SQRT(2*F84/(airplane!#REF!*airplane!$B$13))-airplane!#REF!</f>
        <v>#REF!</v>
      </c>
      <c r="H84" t="e">
        <f t="shared" si="30"/>
        <v>#REF!</v>
      </c>
      <c r="K84">
        <f t="shared" si="31"/>
        <v>135.351</v>
      </c>
      <c r="L84" t="e">
        <f t="shared" si="32"/>
        <v>#REF!</v>
      </c>
      <c r="O84" s="8">
        <f t="shared" si="33"/>
        <v>8.4594374999999999</v>
      </c>
      <c r="P84" s="8" t="e">
        <f t="shared" si="34"/>
        <v>#REF!</v>
      </c>
      <c r="Q84" s="8">
        <f t="shared" si="34"/>
        <v>5.2</v>
      </c>
      <c r="R84" s="8">
        <f t="shared" si="34"/>
        <v>0.03</v>
      </c>
      <c r="S84" s="8">
        <f t="shared" si="34"/>
        <v>0.8</v>
      </c>
      <c r="T84" s="8">
        <f t="shared" si="34"/>
        <v>0.5</v>
      </c>
      <c r="U84" s="8" t="e">
        <f t="shared" si="34"/>
        <v>#REF!</v>
      </c>
      <c r="W84" s="8" t="e">
        <f t="shared" si="35"/>
        <v>#REF!</v>
      </c>
      <c r="Y84" t="e">
        <f t="shared" si="36"/>
        <v>#REF!</v>
      </c>
    </row>
    <row r="85" spans="6:25" x14ac:dyDescent="0.2">
      <c r="F85">
        <f t="shared" si="29"/>
        <v>410</v>
      </c>
      <c r="G85" t="e">
        <f>1.2*SQRT(2*F85/(airplane!#REF!*airplane!$B$13))-airplane!#REF!</f>
        <v>#REF!</v>
      </c>
      <c r="H85" t="e">
        <f t="shared" si="30"/>
        <v>#REF!</v>
      </c>
      <c r="K85">
        <f t="shared" si="31"/>
        <v>137.02199999999999</v>
      </c>
      <c r="L85" t="e">
        <f t="shared" si="32"/>
        <v>#REF!</v>
      </c>
      <c r="O85" s="8">
        <f t="shared" si="33"/>
        <v>8.5638749999999995</v>
      </c>
      <c r="P85" s="8" t="e">
        <f t="shared" si="34"/>
        <v>#REF!</v>
      </c>
      <c r="Q85" s="8">
        <f t="shared" si="34"/>
        <v>5.2</v>
      </c>
      <c r="R85" s="8">
        <f t="shared" si="34"/>
        <v>0.03</v>
      </c>
      <c r="S85" s="8">
        <f t="shared" si="34"/>
        <v>0.8</v>
      </c>
      <c r="T85" s="8">
        <f t="shared" si="34"/>
        <v>0.5</v>
      </c>
      <c r="U85" s="8" t="e">
        <f t="shared" si="34"/>
        <v>#REF!</v>
      </c>
      <c r="W85" s="8" t="e">
        <f t="shared" si="35"/>
        <v>#REF!</v>
      </c>
      <c r="Y85" t="e">
        <f t="shared" si="36"/>
        <v>#REF!</v>
      </c>
    </row>
    <row r="86" spans="6:25" x14ac:dyDescent="0.2">
      <c r="F86">
        <f t="shared" si="29"/>
        <v>415</v>
      </c>
      <c r="G86" t="e">
        <f>1.2*SQRT(2*F86/(airplane!#REF!*airplane!$B$13))-airplane!#REF!</f>
        <v>#REF!</v>
      </c>
      <c r="H86" t="e">
        <f t="shared" si="30"/>
        <v>#REF!</v>
      </c>
      <c r="K86">
        <f t="shared" si="31"/>
        <v>138.69300000000001</v>
      </c>
      <c r="L86" t="e">
        <f t="shared" si="32"/>
        <v>#REF!</v>
      </c>
      <c r="O86" s="8">
        <f t="shared" si="33"/>
        <v>8.6683125000000008</v>
      </c>
      <c r="P86" s="8" t="e">
        <f t="shared" si="34"/>
        <v>#REF!</v>
      </c>
      <c r="Q86" s="8">
        <f t="shared" si="34"/>
        <v>5.2</v>
      </c>
      <c r="R86" s="8">
        <f t="shared" si="34"/>
        <v>0.03</v>
      </c>
      <c r="S86" s="8">
        <f t="shared" si="34"/>
        <v>0.8</v>
      </c>
      <c r="T86" s="8">
        <f t="shared" si="34"/>
        <v>0.5</v>
      </c>
      <c r="U86" s="8" t="e">
        <f t="shared" si="34"/>
        <v>#REF!</v>
      </c>
      <c r="W86" s="8" t="e">
        <f t="shared" si="35"/>
        <v>#REF!</v>
      </c>
      <c r="Y86" t="e">
        <f t="shared" si="36"/>
        <v>#REF!</v>
      </c>
    </row>
    <row r="87" spans="6:25" x14ac:dyDescent="0.2">
      <c r="F87">
        <f t="shared" si="29"/>
        <v>420</v>
      </c>
      <c r="G87" t="e">
        <f>1.2*SQRT(2*F87/(airplane!#REF!*airplane!$B$13))-airplane!#REF!</f>
        <v>#REF!</v>
      </c>
      <c r="H87" t="e">
        <f t="shared" si="30"/>
        <v>#REF!</v>
      </c>
      <c r="K87">
        <f t="shared" si="31"/>
        <v>140.364</v>
      </c>
      <c r="L87" t="e">
        <f t="shared" si="32"/>
        <v>#REF!</v>
      </c>
      <c r="O87" s="8">
        <f t="shared" si="33"/>
        <v>8.7727500000000003</v>
      </c>
      <c r="P87" s="8" t="e">
        <f t="shared" si="34"/>
        <v>#REF!</v>
      </c>
      <c r="Q87" s="8">
        <f t="shared" si="34"/>
        <v>5.2</v>
      </c>
      <c r="R87" s="8">
        <f t="shared" si="34"/>
        <v>0.03</v>
      </c>
      <c r="S87" s="8">
        <f t="shared" si="34"/>
        <v>0.8</v>
      </c>
      <c r="T87" s="8">
        <f t="shared" si="34"/>
        <v>0.5</v>
      </c>
      <c r="U87" s="8" t="e">
        <f t="shared" si="34"/>
        <v>#REF!</v>
      </c>
      <c r="W87" s="8" t="e">
        <f t="shared" si="35"/>
        <v>#REF!</v>
      </c>
      <c r="Y87" t="e">
        <f t="shared" si="36"/>
        <v>#REF!</v>
      </c>
    </row>
    <row r="88" spans="6:25" x14ac:dyDescent="0.2">
      <c r="F88">
        <f t="shared" si="29"/>
        <v>425</v>
      </c>
      <c r="G88" t="e">
        <f>1.2*SQRT(2*F88/(airplane!#REF!*airplane!$B$13))-airplane!#REF!</f>
        <v>#REF!</v>
      </c>
      <c r="H88" t="e">
        <f t="shared" si="30"/>
        <v>#REF!</v>
      </c>
      <c r="K88">
        <f t="shared" si="31"/>
        <v>142.035</v>
      </c>
      <c r="L88" t="e">
        <f t="shared" si="32"/>
        <v>#REF!</v>
      </c>
      <c r="O88" s="8">
        <f t="shared" si="33"/>
        <v>8.8771874999999998</v>
      </c>
      <c r="P88" s="8" t="e">
        <f t="shared" si="34"/>
        <v>#REF!</v>
      </c>
      <c r="Q88" s="8">
        <f t="shared" si="34"/>
        <v>5.2</v>
      </c>
      <c r="R88" s="8">
        <f t="shared" si="34"/>
        <v>0.03</v>
      </c>
      <c r="S88" s="8">
        <f t="shared" si="34"/>
        <v>0.8</v>
      </c>
      <c r="T88" s="8">
        <f t="shared" si="34"/>
        <v>0.5</v>
      </c>
      <c r="U88" s="8" t="e">
        <f t="shared" si="34"/>
        <v>#REF!</v>
      </c>
      <c r="W88" s="8" t="e">
        <f t="shared" si="35"/>
        <v>#REF!</v>
      </c>
      <c r="Y88" t="e">
        <f t="shared" si="36"/>
        <v>#REF!</v>
      </c>
    </row>
    <row r="89" spans="6:25" x14ac:dyDescent="0.2">
      <c r="F89">
        <f t="shared" si="29"/>
        <v>430</v>
      </c>
      <c r="G89" t="e">
        <f>1.2*SQRT(2*F89/(airplane!#REF!*airplane!$B$13))-airplane!#REF!</f>
        <v>#REF!</v>
      </c>
      <c r="H89" t="e">
        <f t="shared" si="30"/>
        <v>#REF!</v>
      </c>
      <c r="K89">
        <f t="shared" si="31"/>
        <v>143.70599999999999</v>
      </c>
      <c r="L89" t="e">
        <f t="shared" si="32"/>
        <v>#REF!</v>
      </c>
      <c r="O89" s="8">
        <f t="shared" si="33"/>
        <v>8.9816249999999993</v>
      </c>
      <c r="P89" s="8" t="e">
        <f t="shared" si="34"/>
        <v>#REF!</v>
      </c>
      <c r="Q89" s="8">
        <f t="shared" si="34"/>
        <v>5.2</v>
      </c>
      <c r="R89" s="8">
        <f t="shared" si="34"/>
        <v>0.03</v>
      </c>
      <c r="S89" s="8">
        <f t="shared" si="34"/>
        <v>0.8</v>
      </c>
      <c r="T89" s="8">
        <f t="shared" si="34"/>
        <v>0.5</v>
      </c>
      <c r="U89" s="8" t="e">
        <f t="shared" si="34"/>
        <v>#REF!</v>
      </c>
      <c r="W89" s="8" t="e">
        <f t="shared" si="35"/>
        <v>#REF!</v>
      </c>
      <c r="Y89" t="e">
        <f t="shared" si="36"/>
        <v>#REF!</v>
      </c>
    </row>
    <row r="90" spans="6:25" x14ac:dyDescent="0.2">
      <c r="F90">
        <f t="shared" si="29"/>
        <v>435</v>
      </c>
      <c r="G90" t="e">
        <f>1.2*SQRT(2*F90/(airplane!#REF!*airplane!$B$13))-airplane!#REF!</f>
        <v>#REF!</v>
      </c>
      <c r="H90" t="e">
        <f t="shared" si="30"/>
        <v>#REF!</v>
      </c>
      <c r="K90">
        <f t="shared" si="31"/>
        <v>145.37700000000001</v>
      </c>
      <c r="L90" t="e">
        <f t="shared" si="32"/>
        <v>#REF!</v>
      </c>
      <c r="O90" s="8">
        <f t="shared" si="33"/>
        <v>9.0860625000000006</v>
      </c>
      <c r="P90" s="8" t="e">
        <f t="shared" si="34"/>
        <v>#REF!</v>
      </c>
      <c r="Q90" s="8">
        <f t="shared" si="34"/>
        <v>5.2</v>
      </c>
      <c r="R90" s="8">
        <f t="shared" si="34"/>
        <v>0.03</v>
      </c>
      <c r="S90" s="8">
        <f t="shared" si="34"/>
        <v>0.8</v>
      </c>
      <c r="T90" s="8">
        <f t="shared" si="34"/>
        <v>0.5</v>
      </c>
      <c r="U90" s="8" t="e">
        <f t="shared" si="34"/>
        <v>#REF!</v>
      </c>
      <c r="W90" s="8" t="e">
        <f t="shared" si="35"/>
        <v>#REF!</v>
      </c>
      <c r="Y90" t="e">
        <f t="shared" si="36"/>
        <v>#REF!</v>
      </c>
    </row>
    <row r="91" spans="6:25" x14ac:dyDescent="0.2">
      <c r="F91">
        <f t="shared" si="29"/>
        <v>440</v>
      </c>
      <c r="G91" t="e">
        <f>1.2*SQRT(2*F91/(airplane!#REF!*airplane!$B$13))-airplane!#REF!</f>
        <v>#REF!</v>
      </c>
      <c r="H91" t="e">
        <f t="shared" si="30"/>
        <v>#REF!</v>
      </c>
      <c r="K91">
        <f t="shared" si="31"/>
        <v>147.048</v>
      </c>
      <c r="L91" t="e">
        <f t="shared" si="32"/>
        <v>#REF!</v>
      </c>
      <c r="O91" s="8">
        <f t="shared" si="33"/>
        <v>9.1905000000000001</v>
      </c>
      <c r="P91" s="8" t="e">
        <f t="shared" si="34"/>
        <v>#REF!</v>
      </c>
      <c r="Q91" s="8">
        <f t="shared" si="34"/>
        <v>5.2</v>
      </c>
      <c r="R91" s="8">
        <f t="shared" si="34"/>
        <v>0.03</v>
      </c>
      <c r="S91" s="8">
        <f t="shared" si="34"/>
        <v>0.8</v>
      </c>
      <c r="T91" s="8">
        <f t="shared" si="34"/>
        <v>0.5</v>
      </c>
      <c r="U91" s="8" t="e">
        <f t="shared" si="34"/>
        <v>#REF!</v>
      </c>
      <c r="W91" s="8" t="e">
        <f t="shared" si="35"/>
        <v>#REF!</v>
      </c>
      <c r="Y91" t="e">
        <f t="shared" si="36"/>
        <v>#REF!</v>
      </c>
    </row>
    <row r="92" spans="6:25" x14ac:dyDescent="0.2">
      <c r="F92">
        <f t="shared" si="29"/>
        <v>445</v>
      </c>
      <c r="G92" t="e">
        <f>1.2*SQRT(2*F92/(airplane!#REF!*airplane!$B$13))-airplane!#REF!</f>
        <v>#REF!</v>
      </c>
      <c r="H92" t="e">
        <f t="shared" si="30"/>
        <v>#REF!</v>
      </c>
      <c r="K92">
        <f t="shared" si="31"/>
        <v>148.71899999999999</v>
      </c>
      <c r="L92" t="e">
        <f t="shared" si="32"/>
        <v>#REF!</v>
      </c>
      <c r="O92" s="8">
        <f t="shared" si="33"/>
        <v>9.2949374999999996</v>
      </c>
      <c r="P92" s="8" t="e">
        <f t="shared" si="34"/>
        <v>#REF!</v>
      </c>
      <c r="Q92" s="8">
        <f t="shared" si="34"/>
        <v>5.2</v>
      </c>
      <c r="R92" s="8">
        <f t="shared" si="34"/>
        <v>0.03</v>
      </c>
      <c r="S92" s="8">
        <f t="shared" si="34"/>
        <v>0.8</v>
      </c>
      <c r="T92" s="8">
        <f t="shared" si="34"/>
        <v>0.5</v>
      </c>
      <c r="U92" s="8" t="e">
        <f t="shared" si="34"/>
        <v>#REF!</v>
      </c>
      <c r="W92" s="8" t="e">
        <f t="shared" si="35"/>
        <v>#REF!</v>
      </c>
      <c r="Y92" t="e">
        <f t="shared" si="36"/>
        <v>#REF!</v>
      </c>
    </row>
    <row r="93" spans="6:25" x14ac:dyDescent="0.2">
      <c r="F93">
        <f t="shared" si="29"/>
        <v>450</v>
      </c>
      <c r="G93" t="e">
        <f>1.2*SQRT(2*F93/(airplane!#REF!*airplane!$B$13))-airplane!#REF!</f>
        <v>#REF!</v>
      </c>
      <c r="H93" t="e">
        <f t="shared" si="30"/>
        <v>#REF!</v>
      </c>
      <c r="K93">
        <f t="shared" si="31"/>
        <v>150.38999999999999</v>
      </c>
      <c r="L93" t="e">
        <f t="shared" si="32"/>
        <v>#REF!</v>
      </c>
      <c r="O93" s="8">
        <f t="shared" si="33"/>
        <v>9.3993749999999991</v>
      </c>
      <c r="P93" s="8" t="e">
        <f t="shared" si="34"/>
        <v>#REF!</v>
      </c>
      <c r="Q93" s="8">
        <f t="shared" si="34"/>
        <v>5.2</v>
      </c>
      <c r="R93" s="8">
        <f t="shared" si="34"/>
        <v>0.03</v>
      </c>
      <c r="S93" s="8">
        <f t="shared" si="34"/>
        <v>0.8</v>
      </c>
      <c r="T93" s="8">
        <f t="shared" si="34"/>
        <v>0.5</v>
      </c>
      <c r="U93" s="8" t="e">
        <f t="shared" si="34"/>
        <v>#REF!</v>
      </c>
      <c r="W93" s="8" t="e">
        <f t="shared" si="35"/>
        <v>#REF!</v>
      </c>
      <c r="Y93" t="e">
        <f t="shared" si="36"/>
        <v>#REF!</v>
      </c>
    </row>
    <row r="94" spans="6:25" x14ac:dyDescent="0.2">
      <c r="F94">
        <f t="shared" si="29"/>
        <v>455</v>
      </c>
      <c r="G94" t="e">
        <f>1.2*SQRT(2*F94/(airplane!#REF!*airplane!$B$13))-airplane!#REF!</f>
        <v>#REF!</v>
      </c>
      <c r="H94" t="e">
        <f t="shared" si="30"/>
        <v>#REF!</v>
      </c>
      <c r="K94">
        <f t="shared" si="31"/>
        <v>152.06100000000001</v>
      </c>
      <c r="L94" t="e">
        <f t="shared" si="32"/>
        <v>#REF!</v>
      </c>
      <c r="O94" s="8">
        <f t="shared" si="33"/>
        <v>9.5038125000000004</v>
      </c>
      <c r="P94" s="8" t="e">
        <f t="shared" si="34"/>
        <v>#REF!</v>
      </c>
      <c r="Q94" s="8">
        <f t="shared" si="34"/>
        <v>5.2</v>
      </c>
      <c r="R94" s="8">
        <f t="shared" si="34"/>
        <v>0.03</v>
      </c>
      <c r="S94" s="8">
        <f t="shared" si="34"/>
        <v>0.8</v>
      </c>
      <c r="T94" s="8">
        <f t="shared" si="34"/>
        <v>0.5</v>
      </c>
      <c r="U94" s="8" t="e">
        <f t="shared" si="34"/>
        <v>#REF!</v>
      </c>
      <c r="W94" s="8" t="e">
        <f t="shared" si="35"/>
        <v>#REF!</v>
      </c>
      <c r="Y94" t="e">
        <f t="shared" si="36"/>
        <v>#REF!</v>
      </c>
    </row>
    <row r="95" spans="6:25" x14ac:dyDescent="0.2">
      <c r="F95">
        <f t="shared" si="29"/>
        <v>460</v>
      </c>
      <c r="G95" t="e">
        <f>1.2*SQRT(2*F95/(airplane!#REF!*airplane!$B$13))-airplane!#REF!</f>
        <v>#REF!</v>
      </c>
      <c r="H95" t="e">
        <f t="shared" si="30"/>
        <v>#REF!</v>
      </c>
      <c r="K95">
        <f t="shared" si="31"/>
        <v>153.732</v>
      </c>
      <c r="L95" t="e">
        <f t="shared" si="32"/>
        <v>#REF!</v>
      </c>
      <c r="O95" s="8">
        <f t="shared" si="33"/>
        <v>9.60825</v>
      </c>
      <c r="P95" s="8" t="e">
        <f t="shared" ref="P95:U110" si="37">P94</f>
        <v>#REF!</v>
      </c>
      <c r="Q95" s="8">
        <f t="shared" si="37"/>
        <v>5.2</v>
      </c>
      <c r="R95" s="8">
        <f t="shared" si="37"/>
        <v>0.03</v>
      </c>
      <c r="S95" s="8">
        <f t="shared" si="37"/>
        <v>0.8</v>
      </c>
      <c r="T95" s="8">
        <f t="shared" si="37"/>
        <v>0.5</v>
      </c>
      <c r="U95" s="8" t="e">
        <f t="shared" si="37"/>
        <v>#REF!</v>
      </c>
      <c r="W95" s="8" t="e">
        <f t="shared" si="35"/>
        <v>#REF!</v>
      </c>
      <c r="Y95" t="e">
        <f t="shared" si="36"/>
        <v>#REF!</v>
      </c>
    </row>
    <row r="96" spans="6:25" x14ac:dyDescent="0.2">
      <c r="F96">
        <f t="shared" si="29"/>
        <v>465</v>
      </c>
      <c r="G96" t="e">
        <f>1.2*SQRT(2*F96/(airplane!#REF!*airplane!$B$13))-airplane!#REF!</f>
        <v>#REF!</v>
      </c>
      <c r="H96" t="e">
        <f t="shared" si="30"/>
        <v>#REF!</v>
      </c>
      <c r="K96">
        <f t="shared" si="31"/>
        <v>155.40299999999999</v>
      </c>
      <c r="L96" t="e">
        <f t="shared" si="32"/>
        <v>#REF!</v>
      </c>
      <c r="O96" s="8">
        <f t="shared" si="33"/>
        <v>9.7126874999999995</v>
      </c>
      <c r="P96" s="8" t="e">
        <f t="shared" si="37"/>
        <v>#REF!</v>
      </c>
      <c r="Q96" s="8">
        <f t="shared" si="37"/>
        <v>5.2</v>
      </c>
      <c r="R96" s="8">
        <f t="shared" si="37"/>
        <v>0.03</v>
      </c>
      <c r="S96" s="8">
        <f t="shared" si="37"/>
        <v>0.8</v>
      </c>
      <c r="T96" s="8">
        <f t="shared" si="37"/>
        <v>0.5</v>
      </c>
      <c r="U96" s="8" t="e">
        <f t="shared" si="37"/>
        <v>#REF!</v>
      </c>
      <c r="W96" s="8" t="e">
        <f t="shared" si="35"/>
        <v>#REF!</v>
      </c>
      <c r="Y96" t="e">
        <f t="shared" si="36"/>
        <v>#REF!</v>
      </c>
    </row>
    <row r="97" spans="6:25" x14ac:dyDescent="0.2">
      <c r="F97">
        <f t="shared" si="29"/>
        <v>470</v>
      </c>
      <c r="G97" t="e">
        <f>1.2*SQRT(2*F97/(airplane!#REF!*airplane!$B$13))-airplane!#REF!</f>
        <v>#REF!</v>
      </c>
      <c r="H97" t="e">
        <f t="shared" si="30"/>
        <v>#REF!</v>
      </c>
      <c r="K97">
        <f t="shared" si="31"/>
        <v>157.07400000000001</v>
      </c>
      <c r="L97" t="e">
        <f t="shared" si="32"/>
        <v>#REF!</v>
      </c>
      <c r="O97" s="8">
        <f t="shared" si="33"/>
        <v>9.8171250000000008</v>
      </c>
      <c r="P97" s="8" t="e">
        <f t="shared" si="37"/>
        <v>#REF!</v>
      </c>
      <c r="Q97" s="8">
        <f t="shared" si="37"/>
        <v>5.2</v>
      </c>
      <c r="R97" s="8">
        <f t="shared" si="37"/>
        <v>0.03</v>
      </c>
      <c r="S97" s="8">
        <f t="shared" si="37"/>
        <v>0.8</v>
      </c>
      <c r="T97" s="8">
        <f t="shared" si="37"/>
        <v>0.5</v>
      </c>
      <c r="U97" s="8" t="e">
        <f t="shared" si="37"/>
        <v>#REF!</v>
      </c>
      <c r="W97" s="8" t="e">
        <f t="shared" si="35"/>
        <v>#REF!</v>
      </c>
      <c r="Y97" t="e">
        <f t="shared" si="36"/>
        <v>#REF!</v>
      </c>
    </row>
    <row r="98" spans="6:25" x14ac:dyDescent="0.2">
      <c r="F98">
        <f t="shared" si="29"/>
        <v>475</v>
      </c>
      <c r="G98" t="e">
        <f>1.2*SQRT(2*F98/(airplane!#REF!*airplane!$B$13))-airplane!#REF!</f>
        <v>#REF!</v>
      </c>
      <c r="H98" t="e">
        <f t="shared" si="30"/>
        <v>#REF!</v>
      </c>
      <c r="K98">
        <f t="shared" si="31"/>
        <v>158.745</v>
      </c>
      <c r="L98" t="e">
        <f t="shared" si="32"/>
        <v>#REF!</v>
      </c>
      <c r="O98" s="8">
        <f t="shared" si="33"/>
        <v>9.9215625000000003</v>
      </c>
      <c r="P98" s="8" t="e">
        <f t="shared" si="37"/>
        <v>#REF!</v>
      </c>
      <c r="Q98" s="8">
        <f t="shared" si="37"/>
        <v>5.2</v>
      </c>
      <c r="R98" s="8">
        <f t="shared" si="37"/>
        <v>0.03</v>
      </c>
      <c r="S98" s="8">
        <f t="shared" si="37"/>
        <v>0.8</v>
      </c>
      <c r="T98" s="8">
        <f t="shared" si="37"/>
        <v>0.5</v>
      </c>
      <c r="U98" s="8" t="e">
        <f t="shared" si="37"/>
        <v>#REF!</v>
      </c>
      <c r="W98" s="8" t="e">
        <f t="shared" si="35"/>
        <v>#REF!</v>
      </c>
      <c r="Y98" t="e">
        <f t="shared" si="36"/>
        <v>#REF!</v>
      </c>
    </row>
    <row r="99" spans="6:25" x14ac:dyDescent="0.2">
      <c r="F99">
        <f t="shared" si="29"/>
        <v>480</v>
      </c>
      <c r="G99" t="e">
        <f>1.2*SQRT(2*F99/(airplane!#REF!*airplane!$B$13))-airplane!#REF!</f>
        <v>#REF!</v>
      </c>
      <c r="H99" t="e">
        <f t="shared" si="30"/>
        <v>#REF!</v>
      </c>
      <c r="K99">
        <f t="shared" si="31"/>
        <v>160.416</v>
      </c>
      <c r="L99" t="e">
        <f t="shared" si="32"/>
        <v>#REF!</v>
      </c>
      <c r="O99" s="8">
        <f t="shared" si="33"/>
        <v>10.026</v>
      </c>
      <c r="P99" s="8" t="e">
        <f t="shared" si="37"/>
        <v>#REF!</v>
      </c>
      <c r="Q99" s="8">
        <f t="shared" si="37"/>
        <v>5.2</v>
      </c>
      <c r="R99" s="8">
        <f t="shared" si="37"/>
        <v>0.03</v>
      </c>
      <c r="S99" s="8">
        <f t="shared" si="37"/>
        <v>0.8</v>
      </c>
      <c r="T99" s="8">
        <f t="shared" si="37"/>
        <v>0.5</v>
      </c>
      <c r="U99" s="8" t="e">
        <f t="shared" si="37"/>
        <v>#REF!</v>
      </c>
      <c r="W99" s="8" t="e">
        <f t="shared" si="35"/>
        <v>#REF!</v>
      </c>
      <c r="Y99" t="e">
        <f t="shared" si="36"/>
        <v>#REF!</v>
      </c>
    </row>
    <row r="100" spans="6:25" x14ac:dyDescent="0.2">
      <c r="F100">
        <f t="shared" si="29"/>
        <v>485</v>
      </c>
      <c r="G100" t="e">
        <f>1.2*SQRT(2*F100/(airplane!#REF!*airplane!$B$13))-airplane!#REF!</f>
        <v>#REF!</v>
      </c>
      <c r="H100" t="e">
        <f t="shared" si="30"/>
        <v>#REF!</v>
      </c>
      <c r="K100">
        <f t="shared" si="31"/>
        <v>162.08699999999999</v>
      </c>
      <c r="L100" t="e">
        <f t="shared" si="32"/>
        <v>#REF!</v>
      </c>
      <c r="O100" s="8">
        <f t="shared" si="33"/>
        <v>10.130437499999999</v>
      </c>
      <c r="P100" s="8" t="e">
        <f t="shared" si="37"/>
        <v>#REF!</v>
      </c>
      <c r="Q100" s="8">
        <f t="shared" si="37"/>
        <v>5.2</v>
      </c>
      <c r="R100" s="8">
        <f t="shared" si="37"/>
        <v>0.03</v>
      </c>
      <c r="S100" s="8">
        <f t="shared" si="37"/>
        <v>0.8</v>
      </c>
      <c r="T100" s="8">
        <f t="shared" si="37"/>
        <v>0.5</v>
      </c>
      <c r="U100" s="8" t="e">
        <f t="shared" si="37"/>
        <v>#REF!</v>
      </c>
      <c r="W100" s="8" t="e">
        <f t="shared" si="35"/>
        <v>#REF!</v>
      </c>
      <c r="Y100" t="e">
        <f t="shared" si="36"/>
        <v>#REF!</v>
      </c>
    </row>
    <row r="101" spans="6:25" x14ac:dyDescent="0.2">
      <c r="F101">
        <f t="shared" si="29"/>
        <v>490</v>
      </c>
      <c r="G101" t="e">
        <f>1.2*SQRT(2*F101/(airplane!#REF!*airplane!$B$13))-airplane!#REF!</f>
        <v>#REF!</v>
      </c>
      <c r="H101" t="e">
        <f t="shared" si="30"/>
        <v>#REF!</v>
      </c>
      <c r="K101">
        <f t="shared" si="31"/>
        <v>163.75800000000001</v>
      </c>
      <c r="L101" t="e">
        <f t="shared" si="32"/>
        <v>#REF!</v>
      </c>
      <c r="O101" s="8">
        <f t="shared" si="33"/>
        <v>10.234875000000001</v>
      </c>
      <c r="P101" s="8" t="e">
        <f t="shared" si="37"/>
        <v>#REF!</v>
      </c>
      <c r="Q101" s="8">
        <f t="shared" si="37"/>
        <v>5.2</v>
      </c>
      <c r="R101" s="8">
        <f t="shared" si="37"/>
        <v>0.03</v>
      </c>
      <c r="S101" s="8">
        <f t="shared" si="37"/>
        <v>0.8</v>
      </c>
      <c r="T101" s="8">
        <f t="shared" si="37"/>
        <v>0.5</v>
      </c>
      <c r="U101" s="8" t="e">
        <f t="shared" si="37"/>
        <v>#REF!</v>
      </c>
      <c r="W101" s="8" t="e">
        <f t="shared" si="35"/>
        <v>#REF!</v>
      </c>
      <c r="Y101" t="e">
        <f t="shared" si="36"/>
        <v>#REF!</v>
      </c>
    </row>
    <row r="102" spans="6:25" x14ac:dyDescent="0.2">
      <c r="F102">
        <f t="shared" si="29"/>
        <v>495</v>
      </c>
      <c r="G102" t="e">
        <f>1.2*SQRT(2*F102/(airplane!#REF!*airplane!$B$13))-airplane!#REF!</f>
        <v>#REF!</v>
      </c>
      <c r="H102" t="e">
        <f t="shared" si="30"/>
        <v>#REF!</v>
      </c>
      <c r="K102">
        <f t="shared" si="31"/>
        <v>165.429</v>
      </c>
      <c r="L102" t="e">
        <f t="shared" si="32"/>
        <v>#REF!</v>
      </c>
      <c r="O102" s="8">
        <f t="shared" si="33"/>
        <v>10.3393125</v>
      </c>
      <c r="P102" s="8" t="e">
        <f t="shared" si="37"/>
        <v>#REF!</v>
      </c>
      <c r="Q102" s="8">
        <f t="shared" si="37"/>
        <v>5.2</v>
      </c>
      <c r="R102" s="8">
        <f t="shared" si="37"/>
        <v>0.03</v>
      </c>
      <c r="S102" s="8">
        <f t="shared" si="37"/>
        <v>0.8</v>
      </c>
      <c r="T102" s="8">
        <f t="shared" si="37"/>
        <v>0.5</v>
      </c>
      <c r="U102" s="8" t="e">
        <f t="shared" si="37"/>
        <v>#REF!</v>
      </c>
      <c r="W102" s="8" t="e">
        <f t="shared" si="35"/>
        <v>#REF!</v>
      </c>
      <c r="Y102" t="e">
        <f t="shared" si="36"/>
        <v>#REF!</v>
      </c>
    </row>
    <row r="103" spans="6:25" x14ac:dyDescent="0.2">
      <c r="F103">
        <f t="shared" si="29"/>
        <v>500</v>
      </c>
      <c r="G103" t="e">
        <f>1.2*SQRT(2*F103/(airplane!#REF!*airplane!$B$13))-airplane!#REF!</f>
        <v>#REF!</v>
      </c>
      <c r="H103" t="e">
        <f t="shared" si="30"/>
        <v>#REF!</v>
      </c>
      <c r="K103">
        <f t="shared" si="31"/>
        <v>167.1</v>
      </c>
      <c r="L103" t="e">
        <f t="shared" si="32"/>
        <v>#REF!</v>
      </c>
      <c r="O103" s="8">
        <f t="shared" si="33"/>
        <v>10.44375</v>
      </c>
      <c r="P103" s="8" t="e">
        <f t="shared" si="37"/>
        <v>#REF!</v>
      </c>
      <c r="Q103" s="8">
        <f t="shared" si="37"/>
        <v>5.2</v>
      </c>
      <c r="R103" s="8">
        <f t="shared" si="37"/>
        <v>0.03</v>
      </c>
      <c r="S103" s="8">
        <f t="shared" si="37"/>
        <v>0.8</v>
      </c>
      <c r="T103" s="8">
        <f t="shared" si="37"/>
        <v>0.5</v>
      </c>
      <c r="U103" s="8" t="e">
        <f t="shared" si="37"/>
        <v>#REF!</v>
      </c>
      <c r="W103" s="8" t="e">
        <f t="shared" si="35"/>
        <v>#REF!</v>
      </c>
      <c r="Y103" t="e">
        <f t="shared" si="36"/>
        <v>#REF!</v>
      </c>
    </row>
    <row r="104" spans="6:25" x14ac:dyDescent="0.2">
      <c r="F104">
        <f t="shared" si="29"/>
        <v>505</v>
      </c>
      <c r="G104" t="e">
        <f>1.2*SQRT(2*F104/(airplane!#REF!*airplane!$B$13))-airplane!#REF!</f>
        <v>#REF!</v>
      </c>
      <c r="H104" t="e">
        <f t="shared" si="30"/>
        <v>#REF!</v>
      </c>
      <c r="K104">
        <f t="shared" si="31"/>
        <v>168.77099999999999</v>
      </c>
      <c r="L104" t="e">
        <f t="shared" si="32"/>
        <v>#REF!</v>
      </c>
      <c r="O104" s="8">
        <f t="shared" si="33"/>
        <v>10.548187499999999</v>
      </c>
      <c r="P104" s="8" t="e">
        <f t="shared" si="37"/>
        <v>#REF!</v>
      </c>
      <c r="Q104" s="8">
        <f t="shared" si="37"/>
        <v>5.2</v>
      </c>
      <c r="R104" s="8">
        <f t="shared" si="37"/>
        <v>0.03</v>
      </c>
      <c r="S104" s="8">
        <f t="shared" si="37"/>
        <v>0.8</v>
      </c>
      <c r="T104" s="8">
        <f t="shared" si="37"/>
        <v>0.5</v>
      </c>
      <c r="U104" s="8" t="e">
        <f t="shared" si="37"/>
        <v>#REF!</v>
      </c>
      <c r="W104" s="8" t="e">
        <f t="shared" si="35"/>
        <v>#REF!</v>
      </c>
      <c r="Y104" t="e">
        <f t="shared" si="36"/>
        <v>#REF!</v>
      </c>
    </row>
    <row r="105" spans="6:25" x14ac:dyDescent="0.2">
      <c r="F105">
        <f t="shared" si="29"/>
        <v>510</v>
      </c>
      <c r="G105" t="e">
        <f>1.2*SQRT(2*F105/(airplane!#REF!*airplane!$B$13))-airplane!#REF!</f>
        <v>#REF!</v>
      </c>
      <c r="H105" t="e">
        <f t="shared" si="30"/>
        <v>#REF!</v>
      </c>
      <c r="K105">
        <f t="shared" si="31"/>
        <v>170.44200000000001</v>
      </c>
      <c r="L105" t="e">
        <f t="shared" si="32"/>
        <v>#REF!</v>
      </c>
      <c r="O105" s="8">
        <f t="shared" si="33"/>
        <v>10.652625</v>
      </c>
      <c r="P105" s="8" t="e">
        <f t="shared" si="37"/>
        <v>#REF!</v>
      </c>
      <c r="Q105" s="8">
        <f t="shared" si="37"/>
        <v>5.2</v>
      </c>
      <c r="R105" s="8">
        <f t="shared" si="37"/>
        <v>0.03</v>
      </c>
      <c r="S105" s="8">
        <f t="shared" si="37"/>
        <v>0.8</v>
      </c>
      <c r="T105" s="8">
        <f t="shared" si="37"/>
        <v>0.5</v>
      </c>
      <c r="U105" s="8" t="e">
        <f t="shared" si="37"/>
        <v>#REF!</v>
      </c>
      <c r="W105" s="8" t="e">
        <f t="shared" si="35"/>
        <v>#REF!</v>
      </c>
      <c r="Y105" t="e">
        <f t="shared" si="36"/>
        <v>#REF!</v>
      </c>
    </row>
    <row r="106" spans="6:25" x14ac:dyDescent="0.2">
      <c r="F106">
        <f t="shared" si="29"/>
        <v>515</v>
      </c>
      <c r="G106" t="e">
        <f>1.2*SQRT(2*F106/(airplane!#REF!*airplane!$B$13))-airplane!#REF!</f>
        <v>#REF!</v>
      </c>
      <c r="H106" t="e">
        <f t="shared" si="30"/>
        <v>#REF!</v>
      </c>
      <c r="K106">
        <f t="shared" si="31"/>
        <v>172.113</v>
      </c>
      <c r="L106" t="e">
        <f t="shared" si="32"/>
        <v>#REF!</v>
      </c>
      <c r="O106" s="8">
        <f t="shared" si="33"/>
        <v>10.7570625</v>
      </c>
      <c r="P106" s="8" t="e">
        <f t="shared" si="37"/>
        <v>#REF!</v>
      </c>
      <c r="Q106" s="8">
        <f t="shared" si="37"/>
        <v>5.2</v>
      </c>
      <c r="R106" s="8">
        <f t="shared" si="37"/>
        <v>0.03</v>
      </c>
      <c r="S106" s="8">
        <f t="shared" si="37"/>
        <v>0.8</v>
      </c>
      <c r="T106" s="8">
        <f t="shared" si="37"/>
        <v>0.5</v>
      </c>
      <c r="U106" s="8" t="e">
        <f t="shared" si="37"/>
        <v>#REF!</v>
      </c>
      <c r="W106" s="8" t="e">
        <f t="shared" si="35"/>
        <v>#REF!</v>
      </c>
      <c r="Y106" t="e">
        <f t="shared" si="36"/>
        <v>#REF!</v>
      </c>
    </row>
    <row r="107" spans="6:25" x14ac:dyDescent="0.2">
      <c r="F107">
        <f t="shared" si="29"/>
        <v>520</v>
      </c>
      <c r="G107" t="e">
        <f>1.2*SQRT(2*F107/(airplane!#REF!*airplane!$B$13))-airplane!#REF!</f>
        <v>#REF!</v>
      </c>
      <c r="H107" t="e">
        <f t="shared" si="30"/>
        <v>#REF!</v>
      </c>
      <c r="K107">
        <f t="shared" si="31"/>
        <v>173.78399999999999</v>
      </c>
      <c r="L107" t="e">
        <f t="shared" si="32"/>
        <v>#REF!</v>
      </c>
      <c r="O107" s="8">
        <f t="shared" si="33"/>
        <v>10.861499999999999</v>
      </c>
      <c r="P107" s="8" t="e">
        <f t="shared" si="37"/>
        <v>#REF!</v>
      </c>
      <c r="Q107" s="8">
        <f t="shared" si="37"/>
        <v>5.2</v>
      </c>
      <c r="R107" s="8">
        <f t="shared" si="37"/>
        <v>0.03</v>
      </c>
      <c r="S107" s="8">
        <f t="shared" si="37"/>
        <v>0.8</v>
      </c>
      <c r="T107" s="8">
        <f t="shared" si="37"/>
        <v>0.5</v>
      </c>
      <c r="U107" s="8" t="e">
        <f t="shared" si="37"/>
        <v>#REF!</v>
      </c>
      <c r="W107" s="8" t="e">
        <f t="shared" si="35"/>
        <v>#REF!</v>
      </c>
      <c r="Y107" t="e">
        <f t="shared" si="36"/>
        <v>#REF!</v>
      </c>
    </row>
    <row r="108" spans="6:25" x14ac:dyDescent="0.2">
      <c r="F108">
        <f t="shared" si="29"/>
        <v>525</v>
      </c>
      <c r="G108" t="e">
        <f>1.2*SQRT(2*F108/(airplane!#REF!*airplane!$B$13))-airplane!#REF!</f>
        <v>#REF!</v>
      </c>
      <c r="H108" t="e">
        <f t="shared" si="30"/>
        <v>#REF!</v>
      </c>
      <c r="K108">
        <f t="shared" si="31"/>
        <v>175.45500000000001</v>
      </c>
      <c r="L108" t="e">
        <f t="shared" si="32"/>
        <v>#REF!</v>
      </c>
      <c r="O108" s="8">
        <f t="shared" si="33"/>
        <v>10.965937500000001</v>
      </c>
      <c r="P108" s="8" t="e">
        <f t="shared" si="37"/>
        <v>#REF!</v>
      </c>
      <c r="Q108" s="8">
        <f t="shared" si="37"/>
        <v>5.2</v>
      </c>
      <c r="R108" s="8">
        <f t="shared" si="37"/>
        <v>0.03</v>
      </c>
      <c r="S108" s="8">
        <f t="shared" si="37"/>
        <v>0.8</v>
      </c>
      <c r="T108" s="8">
        <f t="shared" si="37"/>
        <v>0.5</v>
      </c>
      <c r="U108" s="8" t="e">
        <f t="shared" si="37"/>
        <v>#REF!</v>
      </c>
      <c r="W108" s="8" t="e">
        <f t="shared" si="35"/>
        <v>#REF!</v>
      </c>
      <c r="Y108" t="e">
        <f t="shared" si="36"/>
        <v>#REF!</v>
      </c>
    </row>
    <row r="109" spans="6:25" x14ac:dyDescent="0.2">
      <c r="F109">
        <f t="shared" si="29"/>
        <v>530</v>
      </c>
      <c r="G109" t="e">
        <f>1.2*SQRT(2*F109/(airplane!#REF!*airplane!$B$13))-airplane!#REF!</f>
        <v>#REF!</v>
      </c>
      <c r="H109" t="e">
        <f t="shared" si="30"/>
        <v>#REF!</v>
      </c>
      <c r="K109">
        <f t="shared" si="31"/>
        <v>177.126</v>
      </c>
      <c r="L109" t="e">
        <f t="shared" si="32"/>
        <v>#REF!</v>
      </c>
      <c r="O109" s="8">
        <f t="shared" si="33"/>
        <v>11.070375</v>
      </c>
      <c r="P109" s="8" t="e">
        <f t="shared" si="37"/>
        <v>#REF!</v>
      </c>
      <c r="Q109" s="8">
        <f t="shared" si="37"/>
        <v>5.2</v>
      </c>
      <c r="R109" s="8">
        <f t="shared" si="37"/>
        <v>0.03</v>
      </c>
      <c r="S109" s="8">
        <f t="shared" si="37"/>
        <v>0.8</v>
      </c>
      <c r="T109" s="8">
        <f t="shared" si="37"/>
        <v>0.5</v>
      </c>
      <c r="U109" s="8" t="e">
        <f t="shared" si="37"/>
        <v>#REF!</v>
      </c>
      <c r="W109" s="8" t="e">
        <f t="shared" si="35"/>
        <v>#REF!</v>
      </c>
      <c r="Y109" t="e">
        <f t="shared" si="36"/>
        <v>#REF!</v>
      </c>
    </row>
    <row r="110" spans="6:25" x14ac:dyDescent="0.2">
      <c r="F110">
        <f t="shared" si="29"/>
        <v>535</v>
      </c>
      <c r="G110" t="e">
        <f>1.2*SQRT(2*F110/(airplane!#REF!*airplane!$B$13))-airplane!#REF!</f>
        <v>#REF!</v>
      </c>
      <c r="H110" t="e">
        <f t="shared" si="30"/>
        <v>#REF!</v>
      </c>
      <c r="K110">
        <f t="shared" si="31"/>
        <v>178.797</v>
      </c>
      <c r="L110" t="e">
        <f t="shared" si="32"/>
        <v>#REF!</v>
      </c>
      <c r="O110" s="8">
        <f t="shared" si="33"/>
        <v>11.1748125</v>
      </c>
      <c r="P110" s="8" t="e">
        <f t="shared" si="37"/>
        <v>#REF!</v>
      </c>
      <c r="Q110" s="8">
        <f t="shared" si="37"/>
        <v>5.2</v>
      </c>
      <c r="R110" s="8">
        <f t="shared" si="37"/>
        <v>0.03</v>
      </c>
      <c r="S110" s="8">
        <f t="shared" si="37"/>
        <v>0.8</v>
      </c>
      <c r="T110" s="8">
        <f t="shared" si="37"/>
        <v>0.5</v>
      </c>
      <c r="U110" s="8" t="e">
        <f t="shared" si="37"/>
        <v>#REF!</v>
      </c>
      <c r="W110" s="8" t="e">
        <f t="shared" si="35"/>
        <v>#REF!</v>
      </c>
      <c r="Y110" t="e">
        <f t="shared" si="36"/>
        <v>#REF!</v>
      </c>
    </row>
    <row r="111" spans="6:25" x14ac:dyDescent="0.2">
      <c r="F111">
        <f t="shared" si="29"/>
        <v>540</v>
      </c>
      <c r="G111" t="e">
        <f>1.2*SQRT(2*F111/(airplane!#REF!*airplane!$B$13))-airplane!#REF!</f>
        <v>#REF!</v>
      </c>
      <c r="H111" t="e">
        <f t="shared" si="30"/>
        <v>#REF!</v>
      </c>
      <c r="K111">
        <f t="shared" si="31"/>
        <v>180.46799999999999</v>
      </c>
      <c r="L111" t="e">
        <f t="shared" si="32"/>
        <v>#REF!</v>
      </c>
      <c r="O111" s="8">
        <f t="shared" si="33"/>
        <v>11.279249999999999</v>
      </c>
      <c r="P111" s="8" t="e">
        <f t="shared" ref="P111:U126" si="38">P110</f>
        <v>#REF!</v>
      </c>
      <c r="Q111" s="8">
        <f t="shared" si="38"/>
        <v>5.2</v>
      </c>
      <c r="R111" s="8">
        <f t="shared" si="38"/>
        <v>0.03</v>
      </c>
      <c r="S111" s="8">
        <f t="shared" si="38"/>
        <v>0.8</v>
      </c>
      <c r="T111" s="8">
        <f t="shared" si="38"/>
        <v>0.5</v>
      </c>
      <c r="U111" s="8" t="e">
        <f t="shared" si="38"/>
        <v>#REF!</v>
      </c>
      <c r="W111" s="8" t="e">
        <f t="shared" si="35"/>
        <v>#REF!</v>
      </c>
      <c r="Y111" t="e">
        <f t="shared" si="36"/>
        <v>#REF!</v>
      </c>
    </row>
    <row r="112" spans="6:25" x14ac:dyDescent="0.2">
      <c r="F112">
        <f t="shared" si="29"/>
        <v>545</v>
      </c>
      <c r="G112" t="e">
        <f>1.2*SQRT(2*F112/(airplane!#REF!*airplane!$B$13))-airplane!#REF!</f>
        <v>#REF!</v>
      </c>
      <c r="H112" t="e">
        <f t="shared" si="30"/>
        <v>#REF!</v>
      </c>
      <c r="K112">
        <f t="shared" si="31"/>
        <v>182.13900000000001</v>
      </c>
      <c r="L112" t="e">
        <f t="shared" si="32"/>
        <v>#REF!</v>
      </c>
      <c r="O112" s="8">
        <f t="shared" si="33"/>
        <v>11.383687500000001</v>
      </c>
      <c r="P112" s="8" t="e">
        <f t="shared" si="38"/>
        <v>#REF!</v>
      </c>
      <c r="Q112" s="8">
        <f t="shared" si="38"/>
        <v>5.2</v>
      </c>
      <c r="R112" s="8">
        <f t="shared" si="38"/>
        <v>0.03</v>
      </c>
      <c r="S112" s="8">
        <f t="shared" si="38"/>
        <v>0.8</v>
      </c>
      <c r="T112" s="8">
        <f t="shared" si="38"/>
        <v>0.5</v>
      </c>
      <c r="U112" s="8" t="e">
        <f t="shared" si="38"/>
        <v>#REF!</v>
      </c>
      <c r="W112" s="8" t="e">
        <f t="shared" si="35"/>
        <v>#REF!</v>
      </c>
      <c r="Y112" t="e">
        <f t="shared" si="36"/>
        <v>#REF!</v>
      </c>
    </row>
    <row r="113" spans="6:25" x14ac:dyDescent="0.2">
      <c r="F113">
        <f t="shared" si="29"/>
        <v>550</v>
      </c>
      <c r="G113" t="e">
        <f>1.2*SQRT(2*F113/(airplane!#REF!*airplane!$B$13))-airplane!#REF!</f>
        <v>#REF!</v>
      </c>
      <c r="H113" t="e">
        <f t="shared" si="30"/>
        <v>#REF!</v>
      </c>
      <c r="K113">
        <f t="shared" si="31"/>
        <v>183.81</v>
      </c>
      <c r="L113" t="e">
        <f t="shared" si="32"/>
        <v>#REF!</v>
      </c>
      <c r="O113" s="8">
        <f t="shared" si="33"/>
        <v>11.488125</v>
      </c>
      <c r="P113" s="8" t="e">
        <f t="shared" si="38"/>
        <v>#REF!</v>
      </c>
      <c r="Q113" s="8">
        <f t="shared" si="38"/>
        <v>5.2</v>
      </c>
      <c r="R113" s="8">
        <f t="shared" si="38"/>
        <v>0.03</v>
      </c>
      <c r="S113" s="8">
        <f t="shared" si="38"/>
        <v>0.8</v>
      </c>
      <c r="T113" s="8">
        <f t="shared" si="38"/>
        <v>0.5</v>
      </c>
      <c r="U113" s="8" t="e">
        <f t="shared" si="38"/>
        <v>#REF!</v>
      </c>
      <c r="W113" s="8" t="e">
        <f t="shared" si="35"/>
        <v>#REF!</v>
      </c>
      <c r="Y113" t="e">
        <f t="shared" si="36"/>
        <v>#REF!</v>
      </c>
    </row>
    <row r="114" spans="6:25" x14ac:dyDescent="0.2">
      <c r="F114">
        <f t="shared" si="29"/>
        <v>555</v>
      </c>
      <c r="G114" t="e">
        <f>1.2*SQRT(2*F114/(airplane!#REF!*airplane!$B$13))-airplane!#REF!</f>
        <v>#REF!</v>
      </c>
      <c r="H114" t="e">
        <f t="shared" si="30"/>
        <v>#REF!</v>
      </c>
      <c r="K114">
        <f t="shared" si="31"/>
        <v>185.48099999999999</v>
      </c>
      <c r="L114" t="e">
        <f t="shared" si="32"/>
        <v>#REF!</v>
      </c>
      <c r="O114" s="8">
        <f t="shared" si="33"/>
        <v>11.5925625</v>
      </c>
      <c r="P114" s="8" t="e">
        <f t="shared" si="38"/>
        <v>#REF!</v>
      </c>
      <c r="Q114" s="8">
        <f t="shared" si="38"/>
        <v>5.2</v>
      </c>
      <c r="R114" s="8">
        <f t="shared" si="38"/>
        <v>0.03</v>
      </c>
      <c r="S114" s="8">
        <f t="shared" si="38"/>
        <v>0.8</v>
      </c>
      <c r="T114" s="8">
        <f t="shared" si="38"/>
        <v>0.5</v>
      </c>
      <c r="U114" s="8" t="e">
        <f t="shared" si="38"/>
        <v>#REF!</v>
      </c>
      <c r="W114" s="8" t="e">
        <f t="shared" si="35"/>
        <v>#REF!</v>
      </c>
      <c r="Y114" t="e">
        <f t="shared" si="36"/>
        <v>#REF!</v>
      </c>
    </row>
    <row r="115" spans="6:25" x14ac:dyDescent="0.2">
      <c r="F115">
        <f t="shared" si="29"/>
        <v>560</v>
      </c>
      <c r="G115" t="e">
        <f>1.2*SQRT(2*F115/(airplane!#REF!*airplane!$B$13))-airplane!#REF!</f>
        <v>#REF!</v>
      </c>
      <c r="H115" t="e">
        <f t="shared" si="30"/>
        <v>#REF!</v>
      </c>
      <c r="K115">
        <f t="shared" si="31"/>
        <v>187.15199999999999</v>
      </c>
      <c r="L115" t="e">
        <f t="shared" si="32"/>
        <v>#REF!</v>
      </c>
      <c r="O115" s="8">
        <f t="shared" si="33"/>
        <v>11.696999999999999</v>
      </c>
      <c r="P115" s="8" t="e">
        <f t="shared" si="38"/>
        <v>#REF!</v>
      </c>
      <c r="Q115" s="8">
        <f t="shared" si="38"/>
        <v>5.2</v>
      </c>
      <c r="R115" s="8">
        <f t="shared" si="38"/>
        <v>0.03</v>
      </c>
      <c r="S115" s="8">
        <f t="shared" si="38"/>
        <v>0.8</v>
      </c>
      <c r="T115" s="8">
        <f t="shared" si="38"/>
        <v>0.5</v>
      </c>
      <c r="U115" s="8" t="e">
        <f t="shared" si="38"/>
        <v>#REF!</v>
      </c>
      <c r="W115" s="8" t="e">
        <f t="shared" si="35"/>
        <v>#REF!</v>
      </c>
      <c r="Y115" t="e">
        <f t="shared" si="36"/>
        <v>#REF!</v>
      </c>
    </row>
    <row r="116" spans="6:25" x14ac:dyDescent="0.2">
      <c r="F116">
        <f t="shared" si="29"/>
        <v>565</v>
      </c>
      <c r="G116" t="e">
        <f>1.2*SQRT(2*F116/(airplane!#REF!*airplane!$B$13))-airplane!#REF!</f>
        <v>#REF!</v>
      </c>
      <c r="H116" t="e">
        <f t="shared" si="30"/>
        <v>#REF!</v>
      </c>
      <c r="K116">
        <f t="shared" si="31"/>
        <v>188.82300000000001</v>
      </c>
      <c r="L116" t="e">
        <f t="shared" si="32"/>
        <v>#REF!</v>
      </c>
      <c r="O116" s="8">
        <f t="shared" si="33"/>
        <v>11.8014375</v>
      </c>
      <c r="P116" s="8" t="e">
        <f t="shared" si="38"/>
        <v>#REF!</v>
      </c>
      <c r="Q116" s="8">
        <f t="shared" si="38"/>
        <v>5.2</v>
      </c>
      <c r="R116" s="8">
        <f t="shared" si="38"/>
        <v>0.03</v>
      </c>
      <c r="S116" s="8">
        <f t="shared" si="38"/>
        <v>0.8</v>
      </c>
      <c r="T116" s="8">
        <f t="shared" si="38"/>
        <v>0.5</v>
      </c>
      <c r="U116" s="8" t="e">
        <f t="shared" si="38"/>
        <v>#REF!</v>
      </c>
      <c r="W116" s="8" t="e">
        <f t="shared" si="35"/>
        <v>#REF!</v>
      </c>
      <c r="Y116" t="e">
        <f t="shared" si="36"/>
        <v>#REF!</v>
      </c>
    </row>
    <row r="117" spans="6:25" x14ac:dyDescent="0.2">
      <c r="F117">
        <f t="shared" si="29"/>
        <v>570</v>
      </c>
      <c r="G117" t="e">
        <f>1.2*SQRT(2*F117/(airplane!#REF!*airplane!$B$13))-airplane!#REF!</f>
        <v>#REF!</v>
      </c>
      <c r="H117" t="e">
        <f t="shared" si="30"/>
        <v>#REF!</v>
      </c>
      <c r="K117">
        <f t="shared" si="31"/>
        <v>190.494</v>
      </c>
      <c r="L117" t="e">
        <f t="shared" si="32"/>
        <v>#REF!</v>
      </c>
      <c r="O117" s="8">
        <f t="shared" si="33"/>
        <v>11.905875</v>
      </c>
      <c r="P117" s="8" t="e">
        <f t="shared" si="38"/>
        <v>#REF!</v>
      </c>
      <c r="Q117" s="8">
        <f t="shared" si="38"/>
        <v>5.2</v>
      </c>
      <c r="R117" s="8">
        <f t="shared" si="38"/>
        <v>0.03</v>
      </c>
      <c r="S117" s="8">
        <f t="shared" si="38"/>
        <v>0.8</v>
      </c>
      <c r="T117" s="8">
        <f t="shared" si="38"/>
        <v>0.5</v>
      </c>
      <c r="U117" s="8" t="e">
        <f t="shared" si="38"/>
        <v>#REF!</v>
      </c>
      <c r="W117" s="8" t="e">
        <f t="shared" si="35"/>
        <v>#REF!</v>
      </c>
      <c r="Y117" t="e">
        <f t="shared" si="36"/>
        <v>#REF!</v>
      </c>
    </row>
    <row r="118" spans="6:25" x14ac:dyDescent="0.2">
      <c r="F118">
        <f t="shared" si="29"/>
        <v>575</v>
      </c>
      <c r="G118" t="e">
        <f>1.2*SQRT(2*F118/(airplane!#REF!*airplane!$B$13))-airplane!#REF!</f>
        <v>#REF!</v>
      </c>
      <c r="H118" t="e">
        <f t="shared" si="30"/>
        <v>#REF!</v>
      </c>
      <c r="K118">
        <f t="shared" si="31"/>
        <v>192.16499999999999</v>
      </c>
      <c r="L118" t="e">
        <f t="shared" si="32"/>
        <v>#REF!</v>
      </c>
      <c r="O118" s="8">
        <f t="shared" si="33"/>
        <v>12.0103125</v>
      </c>
      <c r="P118" s="8" t="e">
        <f t="shared" si="38"/>
        <v>#REF!</v>
      </c>
      <c r="Q118" s="8">
        <f t="shared" si="38"/>
        <v>5.2</v>
      </c>
      <c r="R118" s="8">
        <f t="shared" si="38"/>
        <v>0.03</v>
      </c>
      <c r="S118" s="8">
        <f t="shared" si="38"/>
        <v>0.8</v>
      </c>
      <c r="T118" s="8">
        <f t="shared" si="38"/>
        <v>0.5</v>
      </c>
      <c r="U118" s="8" t="e">
        <f t="shared" si="38"/>
        <v>#REF!</v>
      </c>
      <c r="W118" s="8" t="e">
        <f t="shared" si="35"/>
        <v>#REF!</v>
      </c>
      <c r="Y118" t="e">
        <f t="shared" si="36"/>
        <v>#REF!</v>
      </c>
    </row>
    <row r="119" spans="6:25" x14ac:dyDescent="0.2">
      <c r="F119">
        <f t="shared" si="29"/>
        <v>580</v>
      </c>
      <c r="G119" t="e">
        <f>1.2*SQRT(2*F119/(airplane!#REF!*airplane!$B$13))-airplane!#REF!</f>
        <v>#REF!</v>
      </c>
      <c r="H119" t="e">
        <f t="shared" si="30"/>
        <v>#REF!</v>
      </c>
      <c r="K119">
        <f t="shared" si="31"/>
        <v>193.83599999999998</v>
      </c>
      <c r="L119" t="e">
        <f t="shared" si="32"/>
        <v>#REF!</v>
      </c>
      <c r="O119" s="8">
        <f t="shared" si="33"/>
        <v>12.114749999999999</v>
      </c>
      <c r="P119" s="8" t="e">
        <f t="shared" si="38"/>
        <v>#REF!</v>
      </c>
      <c r="Q119" s="8">
        <f t="shared" si="38"/>
        <v>5.2</v>
      </c>
      <c r="R119" s="8">
        <f t="shared" si="38"/>
        <v>0.03</v>
      </c>
      <c r="S119" s="8">
        <f t="shared" si="38"/>
        <v>0.8</v>
      </c>
      <c r="T119" s="8">
        <f t="shared" si="38"/>
        <v>0.5</v>
      </c>
      <c r="U119" s="8" t="e">
        <f t="shared" si="38"/>
        <v>#REF!</v>
      </c>
      <c r="W119" s="8" t="e">
        <f t="shared" si="35"/>
        <v>#REF!</v>
      </c>
      <c r="Y119" t="e">
        <f t="shared" si="36"/>
        <v>#REF!</v>
      </c>
    </row>
    <row r="120" spans="6:25" x14ac:dyDescent="0.2">
      <c r="F120">
        <f t="shared" si="29"/>
        <v>585</v>
      </c>
      <c r="G120" t="e">
        <f>1.2*SQRT(2*F120/(airplane!#REF!*airplane!$B$13))-airplane!#REF!</f>
        <v>#REF!</v>
      </c>
      <c r="H120" t="e">
        <f t="shared" si="30"/>
        <v>#REF!</v>
      </c>
      <c r="K120">
        <f t="shared" si="31"/>
        <v>195.50700000000001</v>
      </c>
      <c r="L120" t="e">
        <f t="shared" si="32"/>
        <v>#REF!</v>
      </c>
      <c r="O120" s="8">
        <f t="shared" si="33"/>
        <v>12.2191875</v>
      </c>
      <c r="P120" s="8" t="e">
        <f t="shared" si="38"/>
        <v>#REF!</v>
      </c>
      <c r="Q120" s="8">
        <f t="shared" si="38"/>
        <v>5.2</v>
      </c>
      <c r="R120" s="8">
        <f t="shared" si="38"/>
        <v>0.03</v>
      </c>
      <c r="S120" s="8">
        <f t="shared" si="38"/>
        <v>0.8</v>
      </c>
      <c r="T120" s="8">
        <f t="shared" si="38"/>
        <v>0.5</v>
      </c>
      <c r="U120" s="8" t="e">
        <f t="shared" si="38"/>
        <v>#REF!</v>
      </c>
      <c r="W120" s="8" t="e">
        <f t="shared" si="35"/>
        <v>#REF!</v>
      </c>
      <c r="Y120" t="e">
        <f t="shared" si="36"/>
        <v>#REF!</v>
      </c>
    </row>
    <row r="121" spans="6:25" x14ac:dyDescent="0.2">
      <c r="F121">
        <f t="shared" si="29"/>
        <v>590</v>
      </c>
      <c r="G121" t="e">
        <f>1.2*SQRT(2*F121/(airplane!#REF!*airplane!$B$13))-airplane!#REF!</f>
        <v>#REF!</v>
      </c>
      <c r="H121" t="e">
        <f t="shared" si="30"/>
        <v>#REF!</v>
      </c>
      <c r="K121">
        <f t="shared" si="31"/>
        <v>197.178</v>
      </c>
      <c r="L121" t="e">
        <f t="shared" si="32"/>
        <v>#REF!</v>
      </c>
      <c r="O121" s="8">
        <f t="shared" si="33"/>
        <v>12.323625</v>
      </c>
      <c r="P121" s="8" t="e">
        <f t="shared" si="38"/>
        <v>#REF!</v>
      </c>
      <c r="Q121" s="8">
        <f t="shared" si="38"/>
        <v>5.2</v>
      </c>
      <c r="R121" s="8">
        <f t="shared" si="38"/>
        <v>0.03</v>
      </c>
      <c r="S121" s="8">
        <f t="shared" si="38"/>
        <v>0.8</v>
      </c>
      <c r="T121" s="8">
        <f t="shared" si="38"/>
        <v>0.5</v>
      </c>
      <c r="U121" s="8" t="e">
        <f t="shared" si="38"/>
        <v>#REF!</v>
      </c>
      <c r="W121" s="8" t="e">
        <f t="shared" si="35"/>
        <v>#REF!</v>
      </c>
      <c r="Y121" t="e">
        <f t="shared" si="36"/>
        <v>#REF!</v>
      </c>
    </row>
    <row r="122" spans="6:25" x14ac:dyDescent="0.2">
      <c r="F122">
        <f t="shared" si="29"/>
        <v>595</v>
      </c>
      <c r="G122" t="e">
        <f>1.2*SQRT(2*F122/(airplane!#REF!*airplane!$B$13))-airplane!#REF!</f>
        <v>#REF!</v>
      </c>
      <c r="H122" t="e">
        <f t="shared" si="30"/>
        <v>#REF!</v>
      </c>
      <c r="K122">
        <f t="shared" si="31"/>
        <v>198.84899999999999</v>
      </c>
      <c r="L122" t="e">
        <f t="shared" si="32"/>
        <v>#REF!</v>
      </c>
      <c r="O122" s="8">
        <f t="shared" si="33"/>
        <v>12.428062499999999</v>
      </c>
      <c r="P122" s="8" t="e">
        <f t="shared" si="38"/>
        <v>#REF!</v>
      </c>
      <c r="Q122" s="8">
        <f t="shared" si="38"/>
        <v>5.2</v>
      </c>
      <c r="R122" s="8">
        <f t="shared" si="38"/>
        <v>0.03</v>
      </c>
      <c r="S122" s="8">
        <f t="shared" si="38"/>
        <v>0.8</v>
      </c>
      <c r="T122" s="8">
        <f t="shared" si="38"/>
        <v>0.5</v>
      </c>
      <c r="U122" s="8" t="e">
        <f t="shared" si="38"/>
        <v>#REF!</v>
      </c>
      <c r="W122" s="8" t="e">
        <f t="shared" si="35"/>
        <v>#REF!</v>
      </c>
      <c r="Y122" t="e">
        <f t="shared" si="36"/>
        <v>#REF!</v>
      </c>
    </row>
    <row r="123" spans="6:25" x14ac:dyDescent="0.2">
      <c r="F123">
        <f t="shared" si="29"/>
        <v>600</v>
      </c>
      <c r="G123" t="e">
        <f>1.2*SQRT(2*F123/(airplane!#REF!*airplane!$B$13))-airplane!#REF!</f>
        <v>#REF!</v>
      </c>
      <c r="H123" t="e">
        <f t="shared" si="30"/>
        <v>#REF!</v>
      </c>
      <c r="K123">
        <f t="shared" si="31"/>
        <v>200.52</v>
      </c>
      <c r="L123" t="e">
        <f t="shared" si="32"/>
        <v>#REF!</v>
      </c>
      <c r="O123" s="8">
        <f t="shared" si="33"/>
        <v>12.532500000000001</v>
      </c>
      <c r="P123" s="8" t="e">
        <f t="shared" si="38"/>
        <v>#REF!</v>
      </c>
      <c r="Q123" s="8">
        <f t="shared" si="38"/>
        <v>5.2</v>
      </c>
      <c r="R123" s="8">
        <f t="shared" si="38"/>
        <v>0.03</v>
      </c>
      <c r="S123" s="8">
        <f t="shared" si="38"/>
        <v>0.8</v>
      </c>
      <c r="T123" s="8">
        <f t="shared" si="38"/>
        <v>0.5</v>
      </c>
      <c r="U123" s="8" t="e">
        <f t="shared" si="38"/>
        <v>#REF!</v>
      </c>
      <c r="W123" s="8" t="e">
        <f t="shared" si="35"/>
        <v>#REF!</v>
      </c>
      <c r="Y123" t="e">
        <f t="shared" si="36"/>
        <v>#REF!</v>
      </c>
    </row>
    <row r="124" spans="6:25" x14ac:dyDescent="0.2">
      <c r="F124">
        <f t="shared" si="29"/>
        <v>605</v>
      </c>
      <c r="G124" t="e">
        <f>1.2*SQRT(2*F124/(airplane!#REF!*airplane!$B$13))-airplane!#REF!</f>
        <v>#REF!</v>
      </c>
      <c r="H124" t="e">
        <f t="shared" si="30"/>
        <v>#REF!</v>
      </c>
      <c r="K124">
        <f t="shared" si="31"/>
        <v>202.191</v>
      </c>
      <c r="L124" t="e">
        <f t="shared" si="32"/>
        <v>#REF!</v>
      </c>
      <c r="O124" s="8">
        <f t="shared" si="33"/>
        <v>12.6369375</v>
      </c>
      <c r="P124" s="8" t="e">
        <f t="shared" si="38"/>
        <v>#REF!</v>
      </c>
      <c r="Q124" s="8">
        <f t="shared" si="38"/>
        <v>5.2</v>
      </c>
      <c r="R124" s="8">
        <f t="shared" si="38"/>
        <v>0.03</v>
      </c>
      <c r="S124" s="8">
        <f t="shared" si="38"/>
        <v>0.8</v>
      </c>
      <c r="T124" s="8">
        <f t="shared" si="38"/>
        <v>0.5</v>
      </c>
      <c r="U124" s="8" t="e">
        <f t="shared" si="38"/>
        <v>#REF!</v>
      </c>
      <c r="W124" s="8" t="e">
        <f t="shared" si="35"/>
        <v>#REF!</v>
      </c>
      <c r="Y124" t="e">
        <f t="shared" si="36"/>
        <v>#REF!</v>
      </c>
    </row>
    <row r="125" spans="6:25" x14ac:dyDescent="0.2">
      <c r="F125">
        <f t="shared" si="29"/>
        <v>610</v>
      </c>
      <c r="G125" t="e">
        <f>1.2*SQRT(2*F125/(airplane!#REF!*airplane!$B$13))-airplane!#REF!</f>
        <v>#REF!</v>
      </c>
      <c r="H125" t="e">
        <f t="shared" si="30"/>
        <v>#REF!</v>
      </c>
      <c r="K125">
        <f t="shared" si="31"/>
        <v>203.86199999999999</v>
      </c>
      <c r="L125" t="e">
        <f t="shared" si="32"/>
        <v>#REF!</v>
      </c>
      <c r="O125" s="8">
        <f t="shared" si="33"/>
        <v>12.741375</v>
      </c>
      <c r="P125" s="8" t="e">
        <f t="shared" si="38"/>
        <v>#REF!</v>
      </c>
      <c r="Q125" s="8">
        <f t="shared" si="38"/>
        <v>5.2</v>
      </c>
      <c r="R125" s="8">
        <f t="shared" si="38"/>
        <v>0.03</v>
      </c>
      <c r="S125" s="8">
        <f t="shared" si="38"/>
        <v>0.8</v>
      </c>
      <c r="T125" s="8">
        <f t="shared" si="38"/>
        <v>0.5</v>
      </c>
      <c r="U125" s="8" t="e">
        <f t="shared" si="38"/>
        <v>#REF!</v>
      </c>
      <c r="W125" s="8" t="e">
        <f t="shared" si="35"/>
        <v>#REF!</v>
      </c>
      <c r="Y125" t="e">
        <f t="shared" si="36"/>
        <v>#REF!</v>
      </c>
    </row>
    <row r="126" spans="6:25" x14ac:dyDescent="0.2">
      <c r="F126">
        <f t="shared" si="29"/>
        <v>615</v>
      </c>
      <c r="G126" t="e">
        <f>1.2*SQRT(2*F126/(airplane!#REF!*airplane!$B$13))-airplane!#REF!</f>
        <v>#REF!</v>
      </c>
      <c r="H126" t="e">
        <f t="shared" si="30"/>
        <v>#REF!</v>
      </c>
      <c r="K126">
        <f t="shared" si="31"/>
        <v>205.53299999999999</v>
      </c>
      <c r="L126" t="e">
        <f t="shared" si="32"/>
        <v>#REF!</v>
      </c>
      <c r="O126" s="8">
        <f t="shared" si="33"/>
        <v>12.845812499999999</v>
      </c>
      <c r="P126" s="8" t="e">
        <f t="shared" si="38"/>
        <v>#REF!</v>
      </c>
      <c r="Q126" s="8">
        <f t="shared" si="38"/>
        <v>5.2</v>
      </c>
      <c r="R126" s="8">
        <f t="shared" si="38"/>
        <v>0.03</v>
      </c>
      <c r="S126" s="8">
        <f t="shared" si="38"/>
        <v>0.8</v>
      </c>
      <c r="T126" s="8">
        <f t="shared" si="38"/>
        <v>0.5</v>
      </c>
      <c r="U126" s="8" t="e">
        <f t="shared" si="38"/>
        <v>#REF!</v>
      </c>
      <c r="W126" s="8" t="e">
        <f t="shared" si="35"/>
        <v>#REF!</v>
      </c>
      <c r="Y126" t="e">
        <f t="shared" si="36"/>
        <v>#REF!</v>
      </c>
    </row>
    <row r="127" spans="6:25" x14ac:dyDescent="0.2">
      <c r="F127">
        <f t="shared" si="29"/>
        <v>620</v>
      </c>
      <c r="G127" t="e">
        <f>1.2*SQRT(2*F127/(airplane!#REF!*airplane!$B$13))-airplane!#REF!</f>
        <v>#REF!</v>
      </c>
      <c r="H127" t="e">
        <f t="shared" si="30"/>
        <v>#REF!</v>
      </c>
      <c r="K127">
        <f t="shared" si="31"/>
        <v>207.20400000000001</v>
      </c>
      <c r="L127" t="e">
        <f t="shared" si="32"/>
        <v>#REF!</v>
      </c>
      <c r="O127" s="8">
        <f t="shared" si="33"/>
        <v>12.95025</v>
      </c>
      <c r="P127" s="8" t="e">
        <f t="shared" ref="P127:U142" si="39">P126</f>
        <v>#REF!</v>
      </c>
      <c r="Q127" s="8">
        <f t="shared" si="39"/>
        <v>5.2</v>
      </c>
      <c r="R127" s="8">
        <f t="shared" si="39"/>
        <v>0.03</v>
      </c>
      <c r="S127" s="8">
        <f t="shared" si="39"/>
        <v>0.8</v>
      </c>
      <c r="T127" s="8">
        <f t="shared" si="39"/>
        <v>0.5</v>
      </c>
      <c r="U127" s="8" t="e">
        <f t="shared" si="39"/>
        <v>#REF!</v>
      </c>
      <c r="W127" s="8" t="e">
        <f t="shared" si="35"/>
        <v>#REF!</v>
      </c>
      <c r="Y127" t="e">
        <f t="shared" si="36"/>
        <v>#REF!</v>
      </c>
    </row>
    <row r="128" spans="6:25" x14ac:dyDescent="0.2">
      <c r="F128">
        <f t="shared" si="29"/>
        <v>625</v>
      </c>
      <c r="G128" t="e">
        <f>1.2*SQRT(2*F128/(airplane!#REF!*airplane!$B$13))-airplane!#REF!</f>
        <v>#REF!</v>
      </c>
      <c r="H128" t="e">
        <f t="shared" si="30"/>
        <v>#REF!</v>
      </c>
      <c r="K128">
        <f t="shared" si="31"/>
        <v>208.875</v>
      </c>
      <c r="L128" t="e">
        <f t="shared" si="32"/>
        <v>#REF!</v>
      </c>
      <c r="O128" s="8">
        <f t="shared" si="33"/>
        <v>13.0546875</v>
      </c>
      <c r="P128" s="8" t="e">
        <f t="shared" si="39"/>
        <v>#REF!</v>
      </c>
      <c r="Q128" s="8">
        <f t="shared" si="39"/>
        <v>5.2</v>
      </c>
      <c r="R128" s="8">
        <f t="shared" si="39"/>
        <v>0.03</v>
      </c>
      <c r="S128" s="8">
        <f t="shared" si="39"/>
        <v>0.8</v>
      </c>
      <c r="T128" s="8">
        <f t="shared" si="39"/>
        <v>0.5</v>
      </c>
      <c r="U128" s="8" t="e">
        <f t="shared" si="39"/>
        <v>#REF!</v>
      </c>
      <c r="W128" s="8" t="e">
        <f t="shared" si="35"/>
        <v>#REF!</v>
      </c>
      <c r="Y128" t="e">
        <f t="shared" si="36"/>
        <v>#REF!</v>
      </c>
    </row>
    <row r="129" spans="6:25" x14ac:dyDescent="0.2">
      <c r="F129">
        <f t="shared" si="29"/>
        <v>630</v>
      </c>
      <c r="G129" t="e">
        <f>1.2*SQRT(2*F129/(airplane!#REF!*airplane!$B$13))-airplane!#REF!</f>
        <v>#REF!</v>
      </c>
      <c r="H129" t="e">
        <f t="shared" si="30"/>
        <v>#REF!</v>
      </c>
      <c r="K129">
        <f t="shared" si="31"/>
        <v>210.54599999999999</v>
      </c>
      <c r="L129" t="e">
        <f t="shared" si="32"/>
        <v>#REF!</v>
      </c>
      <c r="O129" s="8">
        <f t="shared" si="33"/>
        <v>13.159125</v>
      </c>
      <c r="P129" s="8" t="e">
        <f t="shared" si="39"/>
        <v>#REF!</v>
      </c>
      <c r="Q129" s="8">
        <f t="shared" si="39"/>
        <v>5.2</v>
      </c>
      <c r="R129" s="8">
        <f t="shared" si="39"/>
        <v>0.03</v>
      </c>
      <c r="S129" s="8">
        <f t="shared" si="39"/>
        <v>0.8</v>
      </c>
      <c r="T129" s="8">
        <f t="shared" si="39"/>
        <v>0.5</v>
      </c>
      <c r="U129" s="8" t="e">
        <f t="shared" si="39"/>
        <v>#REF!</v>
      </c>
      <c r="W129" s="8" t="e">
        <f t="shared" si="35"/>
        <v>#REF!</v>
      </c>
      <c r="Y129" t="e">
        <f t="shared" si="36"/>
        <v>#REF!</v>
      </c>
    </row>
    <row r="130" spans="6:25" x14ac:dyDescent="0.2">
      <c r="F130">
        <f t="shared" si="29"/>
        <v>635</v>
      </c>
      <c r="G130" t="e">
        <f>1.2*SQRT(2*F130/(airplane!#REF!*airplane!$B$13))-airplane!#REF!</f>
        <v>#REF!</v>
      </c>
      <c r="H130" t="e">
        <f t="shared" si="30"/>
        <v>#REF!</v>
      </c>
      <c r="K130">
        <f t="shared" si="31"/>
        <v>212.21699999999998</v>
      </c>
      <c r="L130" t="e">
        <f t="shared" si="32"/>
        <v>#REF!</v>
      </c>
      <c r="O130" s="8">
        <f t="shared" si="33"/>
        <v>13.263562499999999</v>
      </c>
      <c r="P130" s="8" t="e">
        <f t="shared" si="39"/>
        <v>#REF!</v>
      </c>
      <c r="Q130" s="8">
        <f t="shared" si="39"/>
        <v>5.2</v>
      </c>
      <c r="R130" s="8">
        <f t="shared" si="39"/>
        <v>0.03</v>
      </c>
      <c r="S130" s="8">
        <f t="shared" si="39"/>
        <v>0.8</v>
      </c>
      <c r="T130" s="8">
        <f t="shared" si="39"/>
        <v>0.5</v>
      </c>
      <c r="U130" s="8" t="e">
        <f t="shared" si="39"/>
        <v>#REF!</v>
      </c>
      <c r="W130" s="8" t="e">
        <f t="shared" si="35"/>
        <v>#REF!</v>
      </c>
      <c r="Y130" t="e">
        <f t="shared" si="36"/>
        <v>#REF!</v>
      </c>
    </row>
    <row r="131" spans="6:25" x14ac:dyDescent="0.2">
      <c r="F131">
        <f t="shared" si="29"/>
        <v>640</v>
      </c>
      <c r="G131" t="e">
        <f>1.2*SQRT(2*F131/(airplane!#REF!*airplane!$B$13))-airplane!#REF!</f>
        <v>#REF!</v>
      </c>
      <c r="H131" t="e">
        <f t="shared" si="30"/>
        <v>#REF!</v>
      </c>
      <c r="K131">
        <f t="shared" si="31"/>
        <v>213.88800000000001</v>
      </c>
      <c r="L131" t="e">
        <f t="shared" si="32"/>
        <v>#REF!</v>
      </c>
      <c r="O131" s="8">
        <f t="shared" si="33"/>
        <v>13.368</v>
      </c>
      <c r="P131" s="8" t="e">
        <f t="shared" si="39"/>
        <v>#REF!</v>
      </c>
      <c r="Q131" s="8">
        <f t="shared" si="39"/>
        <v>5.2</v>
      </c>
      <c r="R131" s="8">
        <f t="shared" si="39"/>
        <v>0.03</v>
      </c>
      <c r="S131" s="8">
        <f t="shared" si="39"/>
        <v>0.8</v>
      </c>
      <c r="T131" s="8">
        <f t="shared" si="39"/>
        <v>0.5</v>
      </c>
      <c r="U131" s="8" t="e">
        <f t="shared" si="39"/>
        <v>#REF!</v>
      </c>
      <c r="W131" s="8" t="e">
        <f t="shared" si="35"/>
        <v>#REF!</v>
      </c>
      <c r="Y131" t="e">
        <f t="shared" si="36"/>
        <v>#REF!</v>
      </c>
    </row>
    <row r="132" spans="6:25" x14ac:dyDescent="0.2">
      <c r="F132">
        <f t="shared" si="29"/>
        <v>645</v>
      </c>
      <c r="G132" t="e">
        <f>1.2*SQRT(2*F132/(airplane!#REF!*airplane!$B$13))-airplane!#REF!</f>
        <v>#REF!</v>
      </c>
      <c r="H132" t="e">
        <f t="shared" si="30"/>
        <v>#REF!</v>
      </c>
      <c r="K132">
        <f t="shared" si="31"/>
        <v>215.559</v>
      </c>
      <c r="L132" t="e">
        <f t="shared" si="32"/>
        <v>#REF!</v>
      </c>
      <c r="O132" s="8">
        <f t="shared" si="33"/>
        <v>13.4724375</v>
      </c>
      <c r="P132" s="8" t="e">
        <f t="shared" si="39"/>
        <v>#REF!</v>
      </c>
      <c r="Q132" s="8">
        <f t="shared" si="39"/>
        <v>5.2</v>
      </c>
      <c r="R132" s="8">
        <f t="shared" si="39"/>
        <v>0.03</v>
      </c>
      <c r="S132" s="8">
        <f t="shared" si="39"/>
        <v>0.8</v>
      </c>
      <c r="T132" s="8">
        <f t="shared" si="39"/>
        <v>0.5</v>
      </c>
      <c r="U132" s="8" t="e">
        <f t="shared" si="39"/>
        <v>#REF!</v>
      </c>
      <c r="W132" s="8" t="e">
        <f t="shared" si="35"/>
        <v>#REF!</v>
      </c>
      <c r="Y132" t="e">
        <f t="shared" si="36"/>
        <v>#REF!</v>
      </c>
    </row>
    <row r="133" spans="6:25" x14ac:dyDescent="0.2">
      <c r="F133">
        <f t="shared" ref="F133:F196" si="40">F132+5</f>
        <v>650</v>
      </c>
      <c r="G133" t="e">
        <f>1.2*SQRT(2*F133/(airplane!#REF!*airplane!$B$13))-airplane!#REF!</f>
        <v>#REF!</v>
      </c>
      <c r="H133" t="e">
        <f t="shared" si="30"/>
        <v>#REF!</v>
      </c>
      <c r="K133">
        <f t="shared" si="31"/>
        <v>217.23</v>
      </c>
      <c r="L133" t="e">
        <f t="shared" si="32"/>
        <v>#REF!</v>
      </c>
      <c r="O133" s="8">
        <f t="shared" si="33"/>
        <v>13.576874999999999</v>
      </c>
      <c r="P133" s="8" t="e">
        <f t="shared" si="39"/>
        <v>#REF!</v>
      </c>
      <c r="Q133" s="8">
        <f t="shared" si="39"/>
        <v>5.2</v>
      </c>
      <c r="R133" s="8">
        <f t="shared" si="39"/>
        <v>0.03</v>
      </c>
      <c r="S133" s="8">
        <f t="shared" si="39"/>
        <v>0.8</v>
      </c>
      <c r="T133" s="8">
        <f t="shared" si="39"/>
        <v>0.5</v>
      </c>
      <c r="U133" s="8" t="e">
        <f t="shared" si="39"/>
        <v>#REF!</v>
      </c>
      <c r="W133" s="8" t="e">
        <f t="shared" si="35"/>
        <v>#REF!</v>
      </c>
      <c r="Y133" t="e">
        <f t="shared" si="36"/>
        <v>#REF!</v>
      </c>
    </row>
    <row r="134" spans="6:25" x14ac:dyDescent="0.2">
      <c r="F134">
        <f t="shared" si="40"/>
        <v>655</v>
      </c>
      <c r="G134" t="e">
        <f>1.2*SQRT(2*F134/(airplane!#REF!*airplane!$B$13))-airplane!#REF!</f>
        <v>#REF!</v>
      </c>
      <c r="H134" t="e">
        <f t="shared" si="30"/>
        <v>#REF!</v>
      </c>
      <c r="K134">
        <f t="shared" si="31"/>
        <v>218.90100000000001</v>
      </c>
      <c r="L134" t="e">
        <f t="shared" si="32"/>
        <v>#REF!</v>
      </c>
      <c r="O134" s="8">
        <f t="shared" si="33"/>
        <v>13.681312500000001</v>
      </c>
      <c r="P134" s="8" t="e">
        <f t="shared" si="39"/>
        <v>#REF!</v>
      </c>
      <c r="Q134" s="8">
        <f t="shared" si="39"/>
        <v>5.2</v>
      </c>
      <c r="R134" s="8">
        <f t="shared" si="39"/>
        <v>0.03</v>
      </c>
      <c r="S134" s="8">
        <f t="shared" si="39"/>
        <v>0.8</v>
      </c>
      <c r="T134" s="8">
        <f t="shared" si="39"/>
        <v>0.5</v>
      </c>
      <c r="U134" s="8" t="e">
        <f t="shared" si="39"/>
        <v>#REF!</v>
      </c>
      <c r="W134" s="8" t="e">
        <f t="shared" si="35"/>
        <v>#REF!</v>
      </c>
      <c r="Y134" t="e">
        <f t="shared" si="36"/>
        <v>#REF!</v>
      </c>
    </row>
    <row r="135" spans="6:25" x14ac:dyDescent="0.2">
      <c r="F135">
        <f t="shared" si="40"/>
        <v>660</v>
      </c>
      <c r="G135" t="e">
        <f>1.2*SQRT(2*F135/(airplane!#REF!*airplane!$B$13))-airplane!#REF!</f>
        <v>#REF!</v>
      </c>
      <c r="H135" t="e">
        <f t="shared" si="30"/>
        <v>#REF!</v>
      </c>
      <c r="K135">
        <f t="shared" si="31"/>
        <v>220.572</v>
      </c>
      <c r="L135" t="e">
        <f t="shared" si="32"/>
        <v>#REF!</v>
      </c>
      <c r="O135" s="8">
        <f t="shared" si="33"/>
        <v>13.78575</v>
      </c>
      <c r="P135" s="8" t="e">
        <f t="shared" si="39"/>
        <v>#REF!</v>
      </c>
      <c r="Q135" s="8">
        <f t="shared" si="39"/>
        <v>5.2</v>
      </c>
      <c r="R135" s="8">
        <f t="shared" si="39"/>
        <v>0.03</v>
      </c>
      <c r="S135" s="8">
        <f t="shared" si="39"/>
        <v>0.8</v>
      </c>
      <c r="T135" s="8">
        <f t="shared" si="39"/>
        <v>0.5</v>
      </c>
      <c r="U135" s="8" t="e">
        <f t="shared" si="39"/>
        <v>#REF!</v>
      </c>
      <c r="W135" s="8" t="e">
        <f t="shared" si="35"/>
        <v>#REF!</v>
      </c>
      <c r="Y135" t="e">
        <f t="shared" si="36"/>
        <v>#REF!</v>
      </c>
    </row>
    <row r="136" spans="6:25" x14ac:dyDescent="0.2">
      <c r="F136">
        <f t="shared" si="40"/>
        <v>665</v>
      </c>
      <c r="G136" t="e">
        <f>1.2*SQRT(2*F136/(airplane!#REF!*airplane!$B$13))-airplane!#REF!</f>
        <v>#REF!</v>
      </c>
      <c r="H136" t="e">
        <f t="shared" si="30"/>
        <v>#REF!</v>
      </c>
      <c r="K136">
        <f t="shared" si="31"/>
        <v>222.24299999999999</v>
      </c>
      <c r="L136" t="e">
        <f t="shared" si="32"/>
        <v>#REF!</v>
      </c>
      <c r="O136" s="8">
        <f t="shared" si="33"/>
        <v>13.8901875</v>
      </c>
      <c r="P136" s="8" t="e">
        <f t="shared" si="39"/>
        <v>#REF!</v>
      </c>
      <c r="Q136" s="8">
        <f t="shared" si="39"/>
        <v>5.2</v>
      </c>
      <c r="R136" s="8">
        <f t="shared" si="39"/>
        <v>0.03</v>
      </c>
      <c r="S136" s="8">
        <f t="shared" si="39"/>
        <v>0.8</v>
      </c>
      <c r="T136" s="8">
        <f t="shared" si="39"/>
        <v>0.5</v>
      </c>
      <c r="U136" s="8" t="e">
        <f t="shared" si="39"/>
        <v>#REF!</v>
      </c>
      <c r="W136" s="8" t="e">
        <f t="shared" si="35"/>
        <v>#REF!</v>
      </c>
      <c r="Y136" t="e">
        <f t="shared" si="36"/>
        <v>#REF!</v>
      </c>
    </row>
    <row r="137" spans="6:25" x14ac:dyDescent="0.2">
      <c r="F137">
        <f t="shared" si="40"/>
        <v>670</v>
      </c>
      <c r="G137" t="e">
        <f>1.2*SQRT(2*F137/(airplane!#REF!*airplane!$B$13))-airplane!#REF!</f>
        <v>#REF!</v>
      </c>
      <c r="H137" t="e">
        <f t="shared" si="30"/>
        <v>#REF!</v>
      </c>
      <c r="K137">
        <f t="shared" si="31"/>
        <v>223.91399999999999</v>
      </c>
      <c r="L137" t="e">
        <f t="shared" si="32"/>
        <v>#REF!</v>
      </c>
      <c r="O137" s="8">
        <f t="shared" si="33"/>
        <v>13.994624999999999</v>
      </c>
      <c r="P137" s="8" t="e">
        <f t="shared" si="39"/>
        <v>#REF!</v>
      </c>
      <c r="Q137" s="8">
        <f t="shared" si="39"/>
        <v>5.2</v>
      </c>
      <c r="R137" s="8">
        <f t="shared" si="39"/>
        <v>0.03</v>
      </c>
      <c r="S137" s="8">
        <f t="shared" si="39"/>
        <v>0.8</v>
      </c>
      <c r="T137" s="8">
        <f t="shared" si="39"/>
        <v>0.5</v>
      </c>
      <c r="U137" s="8" t="e">
        <f t="shared" si="39"/>
        <v>#REF!</v>
      </c>
      <c r="W137" s="8" t="e">
        <f t="shared" si="35"/>
        <v>#REF!</v>
      </c>
      <c r="Y137" t="e">
        <f t="shared" si="36"/>
        <v>#REF!</v>
      </c>
    </row>
    <row r="138" spans="6:25" x14ac:dyDescent="0.2">
      <c r="F138">
        <f t="shared" si="40"/>
        <v>675</v>
      </c>
      <c r="G138" t="e">
        <f>1.2*SQRT(2*F138/(airplane!#REF!*airplane!$B$13))-airplane!#REF!</f>
        <v>#REF!</v>
      </c>
      <c r="H138" t="e">
        <f t="shared" si="30"/>
        <v>#REF!</v>
      </c>
      <c r="K138">
        <f t="shared" si="31"/>
        <v>225.58500000000001</v>
      </c>
      <c r="L138" t="e">
        <f t="shared" si="32"/>
        <v>#REF!</v>
      </c>
      <c r="O138" s="8">
        <f t="shared" si="33"/>
        <v>14.0990625</v>
      </c>
      <c r="P138" s="8" t="e">
        <f t="shared" si="39"/>
        <v>#REF!</v>
      </c>
      <c r="Q138" s="8">
        <f t="shared" si="39"/>
        <v>5.2</v>
      </c>
      <c r="R138" s="8">
        <f t="shared" si="39"/>
        <v>0.03</v>
      </c>
      <c r="S138" s="8">
        <f t="shared" si="39"/>
        <v>0.8</v>
      </c>
      <c r="T138" s="8">
        <f t="shared" si="39"/>
        <v>0.5</v>
      </c>
      <c r="U138" s="8" t="e">
        <f t="shared" si="39"/>
        <v>#REF!</v>
      </c>
      <c r="W138" s="8" t="e">
        <f t="shared" si="35"/>
        <v>#REF!</v>
      </c>
      <c r="Y138" t="e">
        <f t="shared" si="36"/>
        <v>#REF!</v>
      </c>
    </row>
    <row r="139" spans="6:25" x14ac:dyDescent="0.2">
      <c r="F139">
        <f t="shared" si="40"/>
        <v>680</v>
      </c>
      <c r="G139" t="e">
        <f>1.2*SQRT(2*F139/(airplane!#REF!*airplane!$B$13))-airplane!#REF!</f>
        <v>#REF!</v>
      </c>
      <c r="H139" t="e">
        <f t="shared" si="30"/>
        <v>#REF!</v>
      </c>
      <c r="K139">
        <f t="shared" si="31"/>
        <v>227.256</v>
      </c>
      <c r="L139" t="e">
        <f t="shared" si="32"/>
        <v>#REF!</v>
      </c>
      <c r="O139" s="8">
        <f t="shared" si="33"/>
        <v>14.2035</v>
      </c>
      <c r="P139" s="8" t="e">
        <f t="shared" si="39"/>
        <v>#REF!</v>
      </c>
      <c r="Q139" s="8">
        <f t="shared" si="39"/>
        <v>5.2</v>
      </c>
      <c r="R139" s="8">
        <f t="shared" si="39"/>
        <v>0.03</v>
      </c>
      <c r="S139" s="8">
        <f t="shared" si="39"/>
        <v>0.8</v>
      </c>
      <c r="T139" s="8">
        <f t="shared" si="39"/>
        <v>0.5</v>
      </c>
      <c r="U139" s="8" t="e">
        <f t="shared" si="39"/>
        <v>#REF!</v>
      </c>
      <c r="W139" s="8" t="e">
        <f t="shared" si="35"/>
        <v>#REF!</v>
      </c>
      <c r="Y139" t="e">
        <f t="shared" si="36"/>
        <v>#REF!</v>
      </c>
    </row>
    <row r="140" spans="6:25" x14ac:dyDescent="0.2">
      <c r="F140">
        <f t="shared" si="40"/>
        <v>685</v>
      </c>
      <c r="G140" t="e">
        <f>1.2*SQRT(2*F140/(airplane!#REF!*airplane!$B$13))-airplane!#REF!</f>
        <v>#REF!</v>
      </c>
      <c r="H140" t="e">
        <f t="shared" si="30"/>
        <v>#REF!</v>
      </c>
      <c r="K140">
        <f t="shared" si="31"/>
        <v>228.92699999999999</v>
      </c>
      <c r="L140" t="e">
        <f t="shared" si="32"/>
        <v>#REF!</v>
      </c>
      <c r="O140" s="8">
        <f t="shared" si="33"/>
        <v>14.3079375</v>
      </c>
      <c r="P140" s="8" t="e">
        <f t="shared" si="39"/>
        <v>#REF!</v>
      </c>
      <c r="Q140" s="8">
        <f t="shared" si="39"/>
        <v>5.2</v>
      </c>
      <c r="R140" s="8">
        <f t="shared" si="39"/>
        <v>0.03</v>
      </c>
      <c r="S140" s="8">
        <f t="shared" si="39"/>
        <v>0.8</v>
      </c>
      <c r="T140" s="8">
        <f t="shared" si="39"/>
        <v>0.5</v>
      </c>
      <c r="U140" s="8" t="e">
        <f t="shared" si="39"/>
        <v>#REF!</v>
      </c>
      <c r="W140" s="8" t="e">
        <f t="shared" si="35"/>
        <v>#REF!</v>
      </c>
      <c r="Y140" t="e">
        <f t="shared" si="36"/>
        <v>#REF!</v>
      </c>
    </row>
    <row r="141" spans="6:25" x14ac:dyDescent="0.2">
      <c r="F141">
        <f t="shared" si="40"/>
        <v>690</v>
      </c>
      <c r="G141" t="e">
        <f>1.2*SQRT(2*F141/(airplane!#REF!*airplane!$B$13))-airplane!#REF!</f>
        <v>#REF!</v>
      </c>
      <c r="H141" t="e">
        <f t="shared" si="30"/>
        <v>#REF!</v>
      </c>
      <c r="K141">
        <f t="shared" si="31"/>
        <v>230.59799999999998</v>
      </c>
      <c r="L141" t="e">
        <f t="shared" si="32"/>
        <v>#REF!</v>
      </c>
      <c r="O141" s="8">
        <f t="shared" si="33"/>
        <v>14.412374999999999</v>
      </c>
      <c r="P141" s="8" t="e">
        <f t="shared" si="39"/>
        <v>#REF!</v>
      </c>
      <c r="Q141" s="8">
        <f t="shared" si="39"/>
        <v>5.2</v>
      </c>
      <c r="R141" s="8">
        <f t="shared" si="39"/>
        <v>0.03</v>
      </c>
      <c r="S141" s="8">
        <f t="shared" si="39"/>
        <v>0.8</v>
      </c>
      <c r="T141" s="8">
        <f t="shared" si="39"/>
        <v>0.5</v>
      </c>
      <c r="U141" s="8" t="e">
        <f t="shared" si="39"/>
        <v>#REF!</v>
      </c>
      <c r="W141" s="8" t="e">
        <f t="shared" si="35"/>
        <v>#REF!</v>
      </c>
      <c r="Y141" t="e">
        <f t="shared" si="36"/>
        <v>#REF!</v>
      </c>
    </row>
    <row r="142" spans="6:25" x14ac:dyDescent="0.2">
      <c r="F142">
        <f t="shared" si="40"/>
        <v>695</v>
      </c>
      <c r="G142" t="e">
        <f>1.2*SQRT(2*F142/(airplane!#REF!*airplane!$B$13))-airplane!#REF!</f>
        <v>#REF!</v>
      </c>
      <c r="H142" t="e">
        <f t="shared" si="30"/>
        <v>#REF!</v>
      </c>
      <c r="K142">
        <f t="shared" si="31"/>
        <v>232.26900000000001</v>
      </c>
      <c r="L142" t="e">
        <f t="shared" si="32"/>
        <v>#REF!</v>
      </c>
      <c r="O142" s="8">
        <f t="shared" si="33"/>
        <v>14.5168125</v>
      </c>
      <c r="P142" s="8" t="e">
        <f t="shared" si="39"/>
        <v>#REF!</v>
      </c>
      <c r="Q142" s="8">
        <f t="shared" si="39"/>
        <v>5.2</v>
      </c>
      <c r="R142" s="8">
        <f t="shared" si="39"/>
        <v>0.03</v>
      </c>
      <c r="S142" s="8">
        <f t="shared" si="39"/>
        <v>0.8</v>
      </c>
      <c r="T142" s="8">
        <f t="shared" si="39"/>
        <v>0.5</v>
      </c>
      <c r="U142" s="8" t="e">
        <f t="shared" si="39"/>
        <v>#REF!</v>
      </c>
      <c r="W142" s="8" t="e">
        <f t="shared" si="35"/>
        <v>#REF!</v>
      </c>
      <c r="Y142" t="e">
        <f t="shared" si="36"/>
        <v>#REF!</v>
      </c>
    </row>
    <row r="143" spans="6:25" x14ac:dyDescent="0.2">
      <c r="F143">
        <f t="shared" si="40"/>
        <v>700</v>
      </c>
      <c r="G143" t="e">
        <f>1.2*SQRT(2*F143/(airplane!#REF!*airplane!$B$13))-airplane!#REF!</f>
        <v>#REF!</v>
      </c>
      <c r="H143" t="e">
        <f t="shared" ref="H143:H206" si="41">Y143</f>
        <v>#REF!</v>
      </c>
      <c r="K143">
        <f t="shared" ref="K143:K206" si="42">F143*0.3342</f>
        <v>233.94</v>
      </c>
      <c r="L143" t="e">
        <f t="shared" ref="L143:L206" si="43">H143*4.448</f>
        <v>#REF!</v>
      </c>
      <c r="O143" s="8">
        <f t="shared" ref="O143:O206" si="44">K143/16</f>
        <v>14.62125</v>
      </c>
      <c r="P143" s="8" t="e">
        <f t="shared" ref="P143:U158" si="45">P142</f>
        <v>#REF!</v>
      </c>
      <c r="Q143" s="8">
        <f t="shared" si="45"/>
        <v>5.2</v>
      </c>
      <c r="R143" s="8">
        <f t="shared" si="45"/>
        <v>0.03</v>
      </c>
      <c r="S143" s="8">
        <f t="shared" si="45"/>
        <v>0.8</v>
      </c>
      <c r="T143" s="8">
        <f t="shared" si="45"/>
        <v>0.5</v>
      </c>
      <c r="U143" s="8" t="e">
        <f t="shared" si="45"/>
        <v>#REF!</v>
      </c>
      <c r="W143" s="8" t="e">
        <f t="shared" ref="W143:W206" si="46">149.048255755414 + -54.8076469211868 * TANH(0.5 * ((-1.90311837493387) + -2.90092544214518 * O143 + 2.39505098582308 * P143 + -0.0283389134105036 * Q143 + 5.19308047170936 * R143 + -0.0705176187957977 * S143 + -3.27116421887395 * T143 + 0.487399857872412 * U143)) + 33.0866673975606 * TANH(0.5 * ((-10.9668713929341) + 2.35524027768271 * O143 + 3.73791895311835 * P143 + 0.0550541094921953 * Q143 + 5.9452766643223 * R143 + -0.0800115435216866 * S143 + -0.0158182141911049 * T143 + 0.347472887456459 * U143)) + 28.3453260854724 * TANH(0.5 * (4.25176964573387 + -0.66460275837987 * O143 + 1.29537751335798 * P143 + -0.130256031902394 * Q143 + 31.2667602760926 * R143 + -1.24048544610401 * S143 + 0.0937927006240642 * T143 + -0.0566650624068167 * U143)) + 6.79870987971588 * TANH(0.5 * (10.0518228768354 + 5.50509550241032 * O143 + -3.83803539356733 * P143 + -0.465217054676259 * Q143 + -26.6617416441195 * R143 + 1.69864364271823 * S143 + 1.31308464511239 * T143 + -0.408787412840148 * U143)) + 34.8668869080431 * TANH(0.5 * (8.22077312844118 + 5.58131964160515 * O143 + -5.45167953353492 * P143 + 0.131357302073037 * Q143 + -3.02895908030327 * R143 + 0.620182457511558 * S143 + 0.516840709792139 * T143 + -0.426084796098354 * U143)) + -38.9742336884865 * TANH(0.5 * ((-6.63509223591402) + -3.81651288586513 * O143 + 3.96461447865925 * P143 + -0.0427755407034191 * Q143 + 1.12271394672456 * R143 + 0.0774782141523358 * S143 + -1.00839111713208 * T143 + 0.432613997233709 * U143)) + 94.7572230191964 * TANH(0.5 * (2.61370613563095 + 2.08158608465853 * O143 + -5.30494797629013 * P143 + -0.0107060857549542 * Q143 + -3.17349866436297 * R143 + 0.259803966881259 * S143 + 0.165932316676154 * T143 + -0.103542416733828 * U143)) + 19.6842352112259 * TANH(0.5 * ((-11.3180358678866) + -6.05406376734185 * O143 + 6.26161664490292 * P143 + -0.0149996825471037 * Q143 + 12.6493036152436 * R143 + -1.26783941440917 * S143 + -1.22533297933495 * T143 + 0.454263469706135 * U143)) + 33.3825353084738 * TANH(0.5 * (3.02832658290986 + -4.98369928277894 * O143 + -5.38839891768436 * P143 + 2.00089047251944 * Q143 + 518.862002410857 * R143 + 5.25176474025537 * S143 + -17.6499237483562 * T143 + 0.479515709156452 * U143)) + 8.33789006875588 * TANH(0.5 * (5.21393347551219 + -2.63059327387901 * O143 + 4.88843846109308 * P143 + -0.746655568511994 * Q143 + 25.471194142492 * R143 + -5.03554280328379 * S143 + 0.903364963978358 * T143 + -0.050418064604326 * U143))</f>
        <v>#REF!</v>
      </c>
      <c r="Y143" t="e">
        <f t="shared" ref="Y143:Y206" si="47">W143/4.448</f>
        <v>#REF!</v>
      </c>
    </row>
    <row r="144" spans="6:25" x14ac:dyDescent="0.2">
      <c r="F144">
        <f t="shared" si="40"/>
        <v>705</v>
      </c>
      <c r="G144" t="e">
        <f>1.2*SQRT(2*F144/(airplane!#REF!*airplane!$B$13))-airplane!#REF!</f>
        <v>#REF!</v>
      </c>
      <c r="H144" t="e">
        <f t="shared" si="41"/>
        <v>#REF!</v>
      </c>
      <c r="K144">
        <f t="shared" si="42"/>
        <v>235.61099999999999</v>
      </c>
      <c r="L144" t="e">
        <f t="shared" si="43"/>
        <v>#REF!</v>
      </c>
      <c r="O144" s="8">
        <f t="shared" si="44"/>
        <v>14.725687499999999</v>
      </c>
      <c r="P144" s="8" t="e">
        <f t="shared" si="45"/>
        <v>#REF!</v>
      </c>
      <c r="Q144" s="8">
        <f t="shared" si="45"/>
        <v>5.2</v>
      </c>
      <c r="R144" s="8">
        <f t="shared" si="45"/>
        <v>0.03</v>
      </c>
      <c r="S144" s="8">
        <f t="shared" si="45"/>
        <v>0.8</v>
      </c>
      <c r="T144" s="8">
        <f t="shared" si="45"/>
        <v>0.5</v>
      </c>
      <c r="U144" s="8" t="e">
        <f t="shared" si="45"/>
        <v>#REF!</v>
      </c>
      <c r="W144" s="8" t="e">
        <f t="shared" si="46"/>
        <v>#REF!</v>
      </c>
      <c r="Y144" t="e">
        <f t="shared" si="47"/>
        <v>#REF!</v>
      </c>
    </row>
    <row r="145" spans="6:25" x14ac:dyDescent="0.2">
      <c r="F145">
        <f t="shared" si="40"/>
        <v>710</v>
      </c>
      <c r="G145" t="e">
        <f>1.2*SQRT(2*F145/(airplane!#REF!*airplane!$B$13))-airplane!#REF!</f>
        <v>#REF!</v>
      </c>
      <c r="H145" t="e">
        <f t="shared" si="41"/>
        <v>#REF!</v>
      </c>
      <c r="K145">
        <f t="shared" si="42"/>
        <v>237.28200000000001</v>
      </c>
      <c r="L145" t="e">
        <f t="shared" si="43"/>
        <v>#REF!</v>
      </c>
      <c r="O145" s="8">
        <f t="shared" si="44"/>
        <v>14.830125000000001</v>
      </c>
      <c r="P145" s="8" t="e">
        <f t="shared" si="45"/>
        <v>#REF!</v>
      </c>
      <c r="Q145" s="8">
        <f t="shared" si="45"/>
        <v>5.2</v>
      </c>
      <c r="R145" s="8">
        <f t="shared" si="45"/>
        <v>0.03</v>
      </c>
      <c r="S145" s="8">
        <f t="shared" si="45"/>
        <v>0.8</v>
      </c>
      <c r="T145" s="8">
        <f t="shared" si="45"/>
        <v>0.5</v>
      </c>
      <c r="U145" s="8" t="e">
        <f t="shared" si="45"/>
        <v>#REF!</v>
      </c>
      <c r="W145" s="8" t="e">
        <f t="shared" si="46"/>
        <v>#REF!</v>
      </c>
      <c r="Y145" t="e">
        <f t="shared" si="47"/>
        <v>#REF!</v>
      </c>
    </row>
    <row r="146" spans="6:25" x14ac:dyDescent="0.2">
      <c r="F146">
        <f t="shared" si="40"/>
        <v>715</v>
      </c>
      <c r="G146" t="e">
        <f>1.2*SQRT(2*F146/(airplane!#REF!*airplane!$B$13))-airplane!#REF!</f>
        <v>#REF!</v>
      </c>
      <c r="H146" t="e">
        <f t="shared" si="41"/>
        <v>#REF!</v>
      </c>
      <c r="K146">
        <f t="shared" si="42"/>
        <v>238.953</v>
      </c>
      <c r="L146" t="e">
        <f t="shared" si="43"/>
        <v>#REF!</v>
      </c>
      <c r="O146" s="8">
        <f t="shared" si="44"/>
        <v>14.9345625</v>
      </c>
      <c r="P146" s="8" t="e">
        <f t="shared" si="45"/>
        <v>#REF!</v>
      </c>
      <c r="Q146" s="8">
        <f t="shared" si="45"/>
        <v>5.2</v>
      </c>
      <c r="R146" s="8">
        <f t="shared" si="45"/>
        <v>0.03</v>
      </c>
      <c r="S146" s="8">
        <f t="shared" si="45"/>
        <v>0.8</v>
      </c>
      <c r="T146" s="8">
        <f t="shared" si="45"/>
        <v>0.5</v>
      </c>
      <c r="U146" s="8" t="e">
        <f t="shared" si="45"/>
        <v>#REF!</v>
      </c>
      <c r="W146" s="8" t="e">
        <f t="shared" si="46"/>
        <v>#REF!</v>
      </c>
      <c r="Y146" t="e">
        <f t="shared" si="47"/>
        <v>#REF!</v>
      </c>
    </row>
    <row r="147" spans="6:25" x14ac:dyDescent="0.2">
      <c r="F147">
        <f t="shared" si="40"/>
        <v>720</v>
      </c>
      <c r="G147" t="e">
        <f>1.2*SQRT(2*F147/(airplane!#REF!*airplane!$B$13))-airplane!#REF!</f>
        <v>#REF!</v>
      </c>
      <c r="H147" t="e">
        <f t="shared" si="41"/>
        <v>#REF!</v>
      </c>
      <c r="K147">
        <f t="shared" si="42"/>
        <v>240.624</v>
      </c>
      <c r="L147" t="e">
        <f t="shared" si="43"/>
        <v>#REF!</v>
      </c>
      <c r="O147" s="8">
        <f t="shared" si="44"/>
        <v>15.039</v>
      </c>
      <c r="P147" s="8" t="e">
        <f t="shared" si="45"/>
        <v>#REF!</v>
      </c>
      <c r="Q147" s="8">
        <f t="shared" si="45"/>
        <v>5.2</v>
      </c>
      <c r="R147" s="8">
        <f t="shared" si="45"/>
        <v>0.03</v>
      </c>
      <c r="S147" s="8">
        <f t="shared" si="45"/>
        <v>0.8</v>
      </c>
      <c r="T147" s="8">
        <f t="shared" si="45"/>
        <v>0.5</v>
      </c>
      <c r="U147" s="8" t="e">
        <f t="shared" si="45"/>
        <v>#REF!</v>
      </c>
      <c r="W147" s="8" t="e">
        <f t="shared" si="46"/>
        <v>#REF!</v>
      </c>
      <c r="Y147" t="e">
        <f t="shared" si="47"/>
        <v>#REF!</v>
      </c>
    </row>
    <row r="148" spans="6:25" x14ac:dyDescent="0.2">
      <c r="F148">
        <f t="shared" si="40"/>
        <v>725</v>
      </c>
      <c r="G148" t="e">
        <f>1.2*SQRT(2*F148/(airplane!#REF!*airplane!$B$13))-airplane!#REF!</f>
        <v>#REF!</v>
      </c>
      <c r="H148" t="e">
        <f t="shared" si="41"/>
        <v>#REF!</v>
      </c>
      <c r="K148">
        <f t="shared" si="42"/>
        <v>242.29499999999999</v>
      </c>
      <c r="L148" t="e">
        <f t="shared" si="43"/>
        <v>#REF!</v>
      </c>
      <c r="O148" s="8">
        <f t="shared" si="44"/>
        <v>15.143437499999999</v>
      </c>
      <c r="P148" s="8" t="e">
        <f t="shared" si="45"/>
        <v>#REF!</v>
      </c>
      <c r="Q148" s="8">
        <f t="shared" si="45"/>
        <v>5.2</v>
      </c>
      <c r="R148" s="8">
        <f t="shared" si="45"/>
        <v>0.03</v>
      </c>
      <c r="S148" s="8">
        <f t="shared" si="45"/>
        <v>0.8</v>
      </c>
      <c r="T148" s="8">
        <f t="shared" si="45"/>
        <v>0.5</v>
      </c>
      <c r="U148" s="8" t="e">
        <f t="shared" si="45"/>
        <v>#REF!</v>
      </c>
      <c r="W148" s="8" t="e">
        <f t="shared" si="46"/>
        <v>#REF!</v>
      </c>
      <c r="Y148" t="e">
        <f t="shared" si="47"/>
        <v>#REF!</v>
      </c>
    </row>
    <row r="149" spans="6:25" x14ac:dyDescent="0.2">
      <c r="F149">
        <f t="shared" si="40"/>
        <v>730</v>
      </c>
      <c r="G149" t="e">
        <f>1.2*SQRT(2*F149/(airplane!#REF!*airplane!$B$13))-airplane!#REF!</f>
        <v>#REF!</v>
      </c>
      <c r="H149" t="e">
        <f t="shared" si="41"/>
        <v>#REF!</v>
      </c>
      <c r="K149">
        <f t="shared" si="42"/>
        <v>243.96600000000001</v>
      </c>
      <c r="L149" t="e">
        <f t="shared" si="43"/>
        <v>#REF!</v>
      </c>
      <c r="O149" s="8">
        <f t="shared" si="44"/>
        <v>15.247875000000001</v>
      </c>
      <c r="P149" s="8" t="e">
        <f t="shared" si="45"/>
        <v>#REF!</v>
      </c>
      <c r="Q149" s="8">
        <f t="shared" si="45"/>
        <v>5.2</v>
      </c>
      <c r="R149" s="8">
        <f t="shared" si="45"/>
        <v>0.03</v>
      </c>
      <c r="S149" s="8">
        <f t="shared" si="45"/>
        <v>0.8</v>
      </c>
      <c r="T149" s="8">
        <f t="shared" si="45"/>
        <v>0.5</v>
      </c>
      <c r="U149" s="8" t="e">
        <f t="shared" si="45"/>
        <v>#REF!</v>
      </c>
      <c r="W149" s="8" t="e">
        <f t="shared" si="46"/>
        <v>#REF!</v>
      </c>
      <c r="Y149" t="e">
        <f t="shared" si="47"/>
        <v>#REF!</v>
      </c>
    </row>
    <row r="150" spans="6:25" x14ac:dyDescent="0.2">
      <c r="F150">
        <f t="shared" si="40"/>
        <v>735</v>
      </c>
      <c r="G150" t="e">
        <f>1.2*SQRT(2*F150/(airplane!#REF!*airplane!$B$13))-airplane!#REF!</f>
        <v>#REF!</v>
      </c>
      <c r="H150" t="e">
        <f t="shared" si="41"/>
        <v>#REF!</v>
      </c>
      <c r="K150">
        <f t="shared" si="42"/>
        <v>245.637</v>
      </c>
      <c r="L150" t="e">
        <f t="shared" si="43"/>
        <v>#REF!</v>
      </c>
      <c r="O150" s="8">
        <f t="shared" si="44"/>
        <v>15.3523125</v>
      </c>
      <c r="P150" s="8" t="e">
        <f t="shared" si="45"/>
        <v>#REF!</v>
      </c>
      <c r="Q150" s="8">
        <f t="shared" si="45"/>
        <v>5.2</v>
      </c>
      <c r="R150" s="8">
        <f t="shared" si="45"/>
        <v>0.03</v>
      </c>
      <c r="S150" s="8">
        <f t="shared" si="45"/>
        <v>0.8</v>
      </c>
      <c r="T150" s="8">
        <f t="shared" si="45"/>
        <v>0.5</v>
      </c>
      <c r="U150" s="8" t="e">
        <f t="shared" si="45"/>
        <v>#REF!</v>
      </c>
      <c r="W150" s="8" t="e">
        <f t="shared" si="46"/>
        <v>#REF!</v>
      </c>
      <c r="Y150" t="e">
        <f t="shared" si="47"/>
        <v>#REF!</v>
      </c>
    </row>
    <row r="151" spans="6:25" x14ac:dyDescent="0.2">
      <c r="F151">
        <f t="shared" si="40"/>
        <v>740</v>
      </c>
      <c r="G151" t="e">
        <f>1.2*SQRT(2*F151/(airplane!#REF!*airplane!$B$13))-airplane!#REF!</f>
        <v>#REF!</v>
      </c>
      <c r="H151" t="e">
        <f t="shared" si="41"/>
        <v>#REF!</v>
      </c>
      <c r="K151">
        <f t="shared" si="42"/>
        <v>247.30799999999999</v>
      </c>
      <c r="L151" t="e">
        <f t="shared" si="43"/>
        <v>#REF!</v>
      </c>
      <c r="O151" s="8">
        <f t="shared" si="44"/>
        <v>15.45675</v>
      </c>
      <c r="P151" s="8" t="e">
        <f t="shared" si="45"/>
        <v>#REF!</v>
      </c>
      <c r="Q151" s="8">
        <f t="shared" si="45"/>
        <v>5.2</v>
      </c>
      <c r="R151" s="8">
        <f t="shared" si="45"/>
        <v>0.03</v>
      </c>
      <c r="S151" s="8">
        <f t="shared" si="45"/>
        <v>0.8</v>
      </c>
      <c r="T151" s="8">
        <f t="shared" si="45"/>
        <v>0.5</v>
      </c>
      <c r="U151" s="8" t="e">
        <f t="shared" si="45"/>
        <v>#REF!</v>
      </c>
      <c r="W151" s="8" t="e">
        <f t="shared" si="46"/>
        <v>#REF!</v>
      </c>
      <c r="Y151" t="e">
        <f t="shared" si="47"/>
        <v>#REF!</v>
      </c>
    </row>
    <row r="152" spans="6:25" x14ac:dyDescent="0.2">
      <c r="F152">
        <f t="shared" si="40"/>
        <v>745</v>
      </c>
      <c r="G152" t="e">
        <f>1.2*SQRT(2*F152/(airplane!#REF!*airplane!$B$13))-airplane!#REF!</f>
        <v>#REF!</v>
      </c>
      <c r="H152" t="e">
        <f t="shared" si="41"/>
        <v>#REF!</v>
      </c>
      <c r="K152">
        <f t="shared" si="42"/>
        <v>248.97899999999998</v>
      </c>
      <c r="L152" t="e">
        <f t="shared" si="43"/>
        <v>#REF!</v>
      </c>
      <c r="O152" s="8">
        <f t="shared" si="44"/>
        <v>15.561187499999999</v>
      </c>
      <c r="P152" s="8" t="e">
        <f t="shared" si="45"/>
        <v>#REF!</v>
      </c>
      <c r="Q152" s="8">
        <f t="shared" si="45"/>
        <v>5.2</v>
      </c>
      <c r="R152" s="8">
        <f t="shared" si="45"/>
        <v>0.03</v>
      </c>
      <c r="S152" s="8">
        <f t="shared" si="45"/>
        <v>0.8</v>
      </c>
      <c r="T152" s="8">
        <f t="shared" si="45"/>
        <v>0.5</v>
      </c>
      <c r="U152" s="8" t="e">
        <f t="shared" si="45"/>
        <v>#REF!</v>
      </c>
      <c r="W152" s="8" t="e">
        <f t="shared" si="46"/>
        <v>#REF!</v>
      </c>
      <c r="Y152" t="e">
        <f t="shared" si="47"/>
        <v>#REF!</v>
      </c>
    </row>
    <row r="153" spans="6:25" x14ac:dyDescent="0.2">
      <c r="F153">
        <f t="shared" si="40"/>
        <v>750</v>
      </c>
      <c r="G153" t="e">
        <f>1.2*SQRT(2*F153/(airplane!#REF!*airplane!$B$13))-airplane!#REF!</f>
        <v>#REF!</v>
      </c>
      <c r="H153" t="e">
        <f t="shared" si="41"/>
        <v>#REF!</v>
      </c>
      <c r="K153">
        <f t="shared" si="42"/>
        <v>250.65</v>
      </c>
      <c r="L153" t="e">
        <f t="shared" si="43"/>
        <v>#REF!</v>
      </c>
      <c r="O153" s="8">
        <f t="shared" si="44"/>
        <v>15.665625</v>
      </c>
      <c r="P153" s="8" t="e">
        <f t="shared" si="45"/>
        <v>#REF!</v>
      </c>
      <c r="Q153" s="8">
        <f t="shared" si="45"/>
        <v>5.2</v>
      </c>
      <c r="R153" s="8">
        <f t="shared" si="45"/>
        <v>0.03</v>
      </c>
      <c r="S153" s="8">
        <f t="shared" si="45"/>
        <v>0.8</v>
      </c>
      <c r="T153" s="8">
        <f t="shared" si="45"/>
        <v>0.5</v>
      </c>
      <c r="U153" s="8" t="e">
        <f t="shared" si="45"/>
        <v>#REF!</v>
      </c>
      <c r="W153" s="8" t="e">
        <f t="shared" si="46"/>
        <v>#REF!</v>
      </c>
      <c r="Y153" t="e">
        <f t="shared" si="47"/>
        <v>#REF!</v>
      </c>
    </row>
    <row r="154" spans="6:25" x14ac:dyDescent="0.2">
      <c r="F154">
        <f t="shared" si="40"/>
        <v>755</v>
      </c>
      <c r="G154" t="e">
        <f>1.2*SQRT(2*F154/(airplane!#REF!*airplane!$B$13))-airplane!#REF!</f>
        <v>#REF!</v>
      </c>
      <c r="H154" t="e">
        <f t="shared" si="41"/>
        <v>#REF!</v>
      </c>
      <c r="K154">
        <f t="shared" si="42"/>
        <v>252.321</v>
      </c>
      <c r="L154" t="e">
        <f t="shared" si="43"/>
        <v>#REF!</v>
      </c>
      <c r="O154" s="8">
        <f t="shared" si="44"/>
        <v>15.7700625</v>
      </c>
      <c r="P154" s="8" t="e">
        <f t="shared" si="45"/>
        <v>#REF!</v>
      </c>
      <c r="Q154" s="8">
        <f t="shared" si="45"/>
        <v>5.2</v>
      </c>
      <c r="R154" s="8">
        <f t="shared" si="45"/>
        <v>0.03</v>
      </c>
      <c r="S154" s="8">
        <f t="shared" si="45"/>
        <v>0.8</v>
      </c>
      <c r="T154" s="8">
        <f t="shared" si="45"/>
        <v>0.5</v>
      </c>
      <c r="U154" s="8" t="e">
        <f t="shared" si="45"/>
        <v>#REF!</v>
      </c>
      <c r="W154" s="8" t="e">
        <f t="shared" si="46"/>
        <v>#REF!</v>
      </c>
      <c r="Y154" t="e">
        <f t="shared" si="47"/>
        <v>#REF!</v>
      </c>
    </row>
    <row r="155" spans="6:25" x14ac:dyDescent="0.2">
      <c r="F155">
        <f t="shared" si="40"/>
        <v>760</v>
      </c>
      <c r="G155" t="e">
        <f>1.2*SQRT(2*F155/(airplane!#REF!*airplane!$B$13))-airplane!#REF!</f>
        <v>#REF!</v>
      </c>
      <c r="H155" t="e">
        <f t="shared" si="41"/>
        <v>#REF!</v>
      </c>
      <c r="K155">
        <f t="shared" si="42"/>
        <v>253.99199999999999</v>
      </c>
      <c r="L155" t="e">
        <f t="shared" si="43"/>
        <v>#REF!</v>
      </c>
      <c r="O155" s="8">
        <f t="shared" si="44"/>
        <v>15.874499999999999</v>
      </c>
      <c r="P155" s="8" t="e">
        <f t="shared" si="45"/>
        <v>#REF!</v>
      </c>
      <c r="Q155" s="8">
        <f t="shared" si="45"/>
        <v>5.2</v>
      </c>
      <c r="R155" s="8">
        <f t="shared" si="45"/>
        <v>0.03</v>
      </c>
      <c r="S155" s="8">
        <f t="shared" si="45"/>
        <v>0.8</v>
      </c>
      <c r="T155" s="8">
        <f t="shared" si="45"/>
        <v>0.5</v>
      </c>
      <c r="U155" s="8" t="e">
        <f t="shared" si="45"/>
        <v>#REF!</v>
      </c>
      <c r="W155" s="8" t="e">
        <f t="shared" si="46"/>
        <v>#REF!</v>
      </c>
      <c r="Y155" t="e">
        <f t="shared" si="47"/>
        <v>#REF!</v>
      </c>
    </row>
    <row r="156" spans="6:25" x14ac:dyDescent="0.2">
      <c r="F156">
        <f t="shared" si="40"/>
        <v>765</v>
      </c>
      <c r="G156" t="e">
        <f>1.2*SQRT(2*F156/(airplane!#REF!*airplane!$B$13))-airplane!#REF!</f>
        <v>#REF!</v>
      </c>
      <c r="H156" t="e">
        <f t="shared" si="41"/>
        <v>#REF!</v>
      </c>
      <c r="K156">
        <f t="shared" si="42"/>
        <v>255.66300000000001</v>
      </c>
      <c r="L156" t="e">
        <f t="shared" si="43"/>
        <v>#REF!</v>
      </c>
      <c r="O156" s="8">
        <f t="shared" si="44"/>
        <v>15.978937500000001</v>
      </c>
      <c r="P156" s="8" t="e">
        <f t="shared" si="45"/>
        <v>#REF!</v>
      </c>
      <c r="Q156" s="8">
        <f t="shared" si="45"/>
        <v>5.2</v>
      </c>
      <c r="R156" s="8">
        <f t="shared" si="45"/>
        <v>0.03</v>
      </c>
      <c r="S156" s="8">
        <f t="shared" si="45"/>
        <v>0.8</v>
      </c>
      <c r="T156" s="8">
        <f t="shared" si="45"/>
        <v>0.5</v>
      </c>
      <c r="U156" s="8" t="e">
        <f t="shared" si="45"/>
        <v>#REF!</v>
      </c>
      <c r="W156" s="8" t="e">
        <f t="shared" si="46"/>
        <v>#REF!</v>
      </c>
      <c r="Y156" t="e">
        <f t="shared" si="47"/>
        <v>#REF!</v>
      </c>
    </row>
    <row r="157" spans="6:25" x14ac:dyDescent="0.2">
      <c r="F157">
        <f t="shared" si="40"/>
        <v>770</v>
      </c>
      <c r="G157" t="e">
        <f>1.2*SQRT(2*F157/(airplane!#REF!*airplane!$B$13))-airplane!#REF!</f>
        <v>#REF!</v>
      </c>
      <c r="H157" t="e">
        <f t="shared" si="41"/>
        <v>#REF!</v>
      </c>
      <c r="K157">
        <f t="shared" si="42"/>
        <v>257.334</v>
      </c>
      <c r="L157" t="e">
        <f t="shared" si="43"/>
        <v>#REF!</v>
      </c>
      <c r="O157" s="8">
        <f t="shared" si="44"/>
        <v>16.083375</v>
      </c>
      <c r="P157" s="8" t="e">
        <f t="shared" si="45"/>
        <v>#REF!</v>
      </c>
      <c r="Q157" s="8">
        <f t="shared" si="45"/>
        <v>5.2</v>
      </c>
      <c r="R157" s="8">
        <f t="shared" si="45"/>
        <v>0.03</v>
      </c>
      <c r="S157" s="8">
        <f t="shared" si="45"/>
        <v>0.8</v>
      </c>
      <c r="T157" s="8">
        <f t="shared" si="45"/>
        <v>0.5</v>
      </c>
      <c r="U157" s="8" t="e">
        <f t="shared" si="45"/>
        <v>#REF!</v>
      </c>
      <c r="W157" s="8" t="e">
        <f t="shared" si="46"/>
        <v>#REF!</v>
      </c>
      <c r="Y157" t="e">
        <f t="shared" si="47"/>
        <v>#REF!</v>
      </c>
    </row>
    <row r="158" spans="6:25" x14ac:dyDescent="0.2">
      <c r="F158">
        <f t="shared" si="40"/>
        <v>775</v>
      </c>
      <c r="G158" t="e">
        <f>1.2*SQRT(2*F158/(airplane!#REF!*airplane!$B$13))-airplane!#REF!</f>
        <v>#REF!</v>
      </c>
      <c r="H158" t="e">
        <f t="shared" si="41"/>
        <v>#REF!</v>
      </c>
      <c r="K158">
        <f t="shared" si="42"/>
        <v>259.005</v>
      </c>
      <c r="L158" t="e">
        <f t="shared" si="43"/>
        <v>#REF!</v>
      </c>
      <c r="O158" s="8">
        <f t="shared" si="44"/>
        <v>16.1878125</v>
      </c>
      <c r="P158" s="8" t="e">
        <f t="shared" si="45"/>
        <v>#REF!</v>
      </c>
      <c r="Q158" s="8">
        <f t="shared" si="45"/>
        <v>5.2</v>
      </c>
      <c r="R158" s="8">
        <f t="shared" si="45"/>
        <v>0.03</v>
      </c>
      <c r="S158" s="8">
        <f t="shared" si="45"/>
        <v>0.8</v>
      </c>
      <c r="T158" s="8">
        <f t="shared" si="45"/>
        <v>0.5</v>
      </c>
      <c r="U158" s="8" t="e">
        <f t="shared" si="45"/>
        <v>#REF!</v>
      </c>
      <c r="W158" s="8" t="e">
        <f t="shared" si="46"/>
        <v>#REF!</v>
      </c>
      <c r="Y158" t="e">
        <f t="shared" si="47"/>
        <v>#REF!</v>
      </c>
    </row>
    <row r="159" spans="6:25" x14ac:dyDescent="0.2">
      <c r="F159">
        <f t="shared" si="40"/>
        <v>780</v>
      </c>
      <c r="G159" t="e">
        <f>1.2*SQRT(2*F159/(airplane!#REF!*airplane!$B$13))-airplane!#REF!</f>
        <v>#REF!</v>
      </c>
      <c r="H159" t="e">
        <f t="shared" si="41"/>
        <v>#REF!</v>
      </c>
      <c r="K159">
        <f t="shared" si="42"/>
        <v>260.67599999999999</v>
      </c>
      <c r="L159" t="e">
        <f t="shared" si="43"/>
        <v>#REF!</v>
      </c>
      <c r="O159" s="8">
        <f t="shared" si="44"/>
        <v>16.292249999999999</v>
      </c>
      <c r="P159" s="8" t="e">
        <f t="shared" ref="P159:U174" si="48">P158</f>
        <v>#REF!</v>
      </c>
      <c r="Q159" s="8">
        <f t="shared" si="48"/>
        <v>5.2</v>
      </c>
      <c r="R159" s="8">
        <f t="shared" si="48"/>
        <v>0.03</v>
      </c>
      <c r="S159" s="8">
        <f t="shared" si="48"/>
        <v>0.8</v>
      </c>
      <c r="T159" s="8">
        <f t="shared" si="48"/>
        <v>0.5</v>
      </c>
      <c r="U159" s="8" t="e">
        <f t="shared" si="48"/>
        <v>#REF!</v>
      </c>
      <c r="W159" s="8" t="e">
        <f t="shared" si="46"/>
        <v>#REF!</v>
      </c>
      <c r="Y159" t="e">
        <f t="shared" si="47"/>
        <v>#REF!</v>
      </c>
    </row>
    <row r="160" spans="6:25" x14ac:dyDescent="0.2">
      <c r="F160">
        <f t="shared" si="40"/>
        <v>785</v>
      </c>
      <c r="G160" t="e">
        <f>1.2*SQRT(2*F160/(airplane!#REF!*airplane!$B$13))-airplane!#REF!</f>
        <v>#REF!</v>
      </c>
      <c r="H160" t="e">
        <f t="shared" si="41"/>
        <v>#REF!</v>
      </c>
      <c r="K160">
        <f t="shared" si="42"/>
        <v>262.34699999999998</v>
      </c>
      <c r="L160" t="e">
        <f t="shared" si="43"/>
        <v>#REF!</v>
      </c>
      <c r="O160" s="8">
        <f t="shared" si="44"/>
        <v>16.396687499999999</v>
      </c>
      <c r="P160" s="8" t="e">
        <f t="shared" si="48"/>
        <v>#REF!</v>
      </c>
      <c r="Q160" s="8">
        <f t="shared" si="48"/>
        <v>5.2</v>
      </c>
      <c r="R160" s="8">
        <f t="shared" si="48"/>
        <v>0.03</v>
      </c>
      <c r="S160" s="8">
        <f t="shared" si="48"/>
        <v>0.8</v>
      </c>
      <c r="T160" s="8">
        <f t="shared" si="48"/>
        <v>0.5</v>
      </c>
      <c r="U160" s="8" t="e">
        <f t="shared" si="48"/>
        <v>#REF!</v>
      </c>
      <c r="W160" s="8" t="e">
        <f t="shared" si="46"/>
        <v>#REF!</v>
      </c>
      <c r="Y160" t="e">
        <f t="shared" si="47"/>
        <v>#REF!</v>
      </c>
    </row>
    <row r="161" spans="6:25" x14ac:dyDescent="0.2">
      <c r="F161">
        <f t="shared" si="40"/>
        <v>790</v>
      </c>
      <c r="G161" t="e">
        <f>1.2*SQRT(2*F161/(airplane!#REF!*airplane!$B$13))-airplane!#REF!</f>
        <v>#REF!</v>
      </c>
      <c r="H161" t="e">
        <f t="shared" si="41"/>
        <v>#REF!</v>
      </c>
      <c r="K161">
        <f t="shared" si="42"/>
        <v>264.01799999999997</v>
      </c>
      <c r="L161" t="e">
        <f t="shared" si="43"/>
        <v>#REF!</v>
      </c>
      <c r="O161" s="8">
        <f t="shared" si="44"/>
        <v>16.501124999999998</v>
      </c>
      <c r="P161" s="8" t="e">
        <f t="shared" si="48"/>
        <v>#REF!</v>
      </c>
      <c r="Q161" s="8">
        <f t="shared" si="48"/>
        <v>5.2</v>
      </c>
      <c r="R161" s="8">
        <f t="shared" si="48"/>
        <v>0.03</v>
      </c>
      <c r="S161" s="8">
        <f t="shared" si="48"/>
        <v>0.8</v>
      </c>
      <c r="T161" s="8">
        <f t="shared" si="48"/>
        <v>0.5</v>
      </c>
      <c r="U161" s="8" t="e">
        <f t="shared" si="48"/>
        <v>#REF!</v>
      </c>
      <c r="W161" s="8" t="e">
        <f t="shared" si="46"/>
        <v>#REF!</v>
      </c>
      <c r="Y161" t="e">
        <f t="shared" si="47"/>
        <v>#REF!</v>
      </c>
    </row>
    <row r="162" spans="6:25" x14ac:dyDescent="0.2">
      <c r="F162">
        <f t="shared" si="40"/>
        <v>795</v>
      </c>
      <c r="G162" t="e">
        <f>1.2*SQRT(2*F162/(airplane!#REF!*airplane!$B$13))-airplane!#REF!</f>
        <v>#REF!</v>
      </c>
      <c r="H162" t="e">
        <f t="shared" si="41"/>
        <v>#REF!</v>
      </c>
      <c r="K162">
        <f t="shared" si="42"/>
        <v>265.68900000000002</v>
      </c>
      <c r="L162" t="e">
        <f t="shared" si="43"/>
        <v>#REF!</v>
      </c>
      <c r="O162" s="8">
        <f t="shared" si="44"/>
        <v>16.605562500000001</v>
      </c>
      <c r="P162" s="8" t="e">
        <f t="shared" si="48"/>
        <v>#REF!</v>
      </c>
      <c r="Q162" s="8">
        <f t="shared" si="48"/>
        <v>5.2</v>
      </c>
      <c r="R162" s="8">
        <f t="shared" si="48"/>
        <v>0.03</v>
      </c>
      <c r="S162" s="8">
        <f t="shared" si="48"/>
        <v>0.8</v>
      </c>
      <c r="T162" s="8">
        <f t="shared" si="48"/>
        <v>0.5</v>
      </c>
      <c r="U162" s="8" t="e">
        <f t="shared" si="48"/>
        <v>#REF!</v>
      </c>
      <c r="W162" s="8" t="e">
        <f t="shared" si="46"/>
        <v>#REF!</v>
      </c>
      <c r="Y162" t="e">
        <f t="shared" si="47"/>
        <v>#REF!</v>
      </c>
    </row>
    <row r="163" spans="6:25" x14ac:dyDescent="0.2">
      <c r="F163">
        <f t="shared" si="40"/>
        <v>800</v>
      </c>
      <c r="G163" t="e">
        <f>1.2*SQRT(2*F163/(airplane!#REF!*airplane!$B$13))-airplane!#REF!</f>
        <v>#REF!</v>
      </c>
      <c r="H163" t="e">
        <f t="shared" si="41"/>
        <v>#REF!</v>
      </c>
      <c r="K163">
        <f t="shared" si="42"/>
        <v>267.36</v>
      </c>
      <c r="L163" t="e">
        <f t="shared" si="43"/>
        <v>#REF!</v>
      </c>
      <c r="O163" s="8">
        <f t="shared" si="44"/>
        <v>16.71</v>
      </c>
      <c r="P163" s="8" t="e">
        <f t="shared" si="48"/>
        <v>#REF!</v>
      </c>
      <c r="Q163" s="8">
        <f t="shared" si="48"/>
        <v>5.2</v>
      </c>
      <c r="R163" s="8">
        <f t="shared" si="48"/>
        <v>0.03</v>
      </c>
      <c r="S163" s="8">
        <f t="shared" si="48"/>
        <v>0.8</v>
      </c>
      <c r="T163" s="8">
        <f t="shared" si="48"/>
        <v>0.5</v>
      </c>
      <c r="U163" s="8" t="e">
        <f t="shared" si="48"/>
        <v>#REF!</v>
      </c>
      <c r="W163" s="8" t="e">
        <f t="shared" si="46"/>
        <v>#REF!</v>
      </c>
      <c r="Y163" t="e">
        <f t="shared" si="47"/>
        <v>#REF!</v>
      </c>
    </row>
    <row r="164" spans="6:25" x14ac:dyDescent="0.2">
      <c r="F164">
        <f t="shared" si="40"/>
        <v>805</v>
      </c>
      <c r="G164" t="e">
        <f>1.2*SQRT(2*F164/(airplane!#REF!*airplane!$B$13))-airplane!#REF!</f>
        <v>#REF!</v>
      </c>
      <c r="H164" t="e">
        <f t="shared" si="41"/>
        <v>#REF!</v>
      </c>
      <c r="K164">
        <f t="shared" si="42"/>
        <v>269.03100000000001</v>
      </c>
      <c r="L164" t="e">
        <f t="shared" si="43"/>
        <v>#REF!</v>
      </c>
      <c r="O164" s="8">
        <f t="shared" si="44"/>
        <v>16.8144375</v>
      </c>
      <c r="P164" s="8" t="e">
        <f t="shared" si="48"/>
        <v>#REF!</v>
      </c>
      <c r="Q164" s="8">
        <f t="shared" si="48"/>
        <v>5.2</v>
      </c>
      <c r="R164" s="8">
        <f t="shared" si="48"/>
        <v>0.03</v>
      </c>
      <c r="S164" s="8">
        <f t="shared" si="48"/>
        <v>0.8</v>
      </c>
      <c r="T164" s="8">
        <f t="shared" si="48"/>
        <v>0.5</v>
      </c>
      <c r="U164" s="8" t="e">
        <f t="shared" si="48"/>
        <v>#REF!</v>
      </c>
      <c r="W164" s="8" t="e">
        <f t="shared" si="46"/>
        <v>#REF!</v>
      </c>
      <c r="Y164" t="e">
        <f t="shared" si="47"/>
        <v>#REF!</v>
      </c>
    </row>
    <row r="165" spans="6:25" x14ac:dyDescent="0.2">
      <c r="F165">
        <f t="shared" si="40"/>
        <v>810</v>
      </c>
      <c r="G165" t="e">
        <f>1.2*SQRT(2*F165/(airplane!#REF!*airplane!$B$13))-airplane!#REF!</f>
        <v>#REF!</v>
      </c>
      <c r="H165" t="e">
        <f t="shared" si="41"/>
        <v>#REF!</v>
      </c>
      <c r="K165">
        <f t="shared" si="42"/>
        <v>270.702</v>
      </c>
      <c r="L165" t="e">
        <f t="shared" si="43"/>
        <v>#REF!</v>
      </c>
      <c r="O165" s="8">
        <f t="shared" si="44"/>
        <v>16.918875</v>
      </c>
      <c r="P165" s="8" t="e">
        <f t="shared" si="48"/>
        <v>#REF!</v>
      </c>
      <c r="Q165" s="8">
        <f t="shared" si="48"/>
        <v>5.2</v>
      </c>
      <c r="R165" s="8">
        <f t="shared" si="48"/>
        <v>0.03</v>
      </c>
      <c r="S165" s="8">
        <f t="shared" si="48"/>
        <v>0.8</v>
      </c>
      <c r="T165" s="8">
        <f t="shared" si="48"/>
        <v>0.5</v>
      </c>
      <c r="U165" s="8" t="e">
        <f t="shared" si="48"/>
        <v>#REF!</v>
      </c>
      <c r="W165" s="8" t="e">
        <f t="shared" si="46"/>
        <v>#REF!</v>
      </c>
      <c r="Y165" t="e">
        <f t="shared" si="47"/>
        <v>#REF!</v>
      </c>
    </row>
    <row r="166" spans="6:25" x14ac:dyDescent="0.2">
      <c r="F166">
        <f t="shared" si="40"/>
        <v>815</v>
      </c>
      <c r="G166" t="e">
        <f>1.2*SQRT(2*F166/(airplane!#REF!*airplane!$B$13))-airplane!#REF!</f>
        <v>#REF!</v>
      </c>
      <c r="H166" t="e">
        <f t="shared" si="41"/>
        <v>#REF!</v>
      </c>
      <c r="K166">
        <f t="shared" si="42"/>
        <v>272.37299999999999</v>
      </c>
      <c r="L166" t="e">
        <f t="shared" si="43"/>
        <v>#REF!</v>
      </c>
      <c r="O166" s="8">
        <f t="shared" si="44"/>
        <v>17.023312499999999</v>
      </c>
      <c r="P166" s="8" t="e">
        <f t="shared" si="48"/>
        <v>#REF!</v>
      </c>
      <c r="Q166" s="8">
        <f t="shared" si="48"/>
        <v>5.2</v>
      </c>
      <c r="R166" s="8">
        <f t="shared" si="48"/>
        <v>0.03</v>
      </c>
      <c r="S166" s="8">
        <f t="shared" si="48"/>
        <v>0.8</v>
      </c>
      <c r="T166" s="8">
        <f t="shared" si="48"/>
        <v>0.5</v>
      </c>
      <c r="U166" s="8" t="e">
        <f t="shared" si="48"/>
        <v>#REF!</v>
      </c>
      <c r="W166" s="8" t="e">
        <f t="shared" si="46"/>
        <v>#REF!</v>
      </c>
      <c r="Y166" t="e">
        <f t="shared" si="47"/>
        <v>#REF!</v>
      </c>
    </row>
    <row r="167" spans="6:25" x14ac:dyDescent="0.2">
      <c r="F167">
        <f t="shared" si="40"/>
        <v>820</v>
      </c>
      <c r="G167" t="e">
        <f>1.2*SQRT(2*F167/(airplane!#REF!*airplane!$B$13))-airplane!#REF!</f>
        <v>#REF!</v>
      </c>
      <c r="H167" t="e">
        <f t="shared" si="41"/>
        <v>#REF!</v>
      </c>
      <c r="K167">
        <f t="shared" si="42"/>
        <v>274.04399999999998</v>
      </c>
      <c r="L167" t="e">
        <f t="shared" si="43"/>
        <v>#REF!</v>
      </c>
      <c r="O167" s="8">
        <f t="shared" si="44"/>
        <v>17.127749999999999</v>
      </c>
      <c r="P167" s="8" t="e">
        <f t="shared" si="48"/>
        <v>#REF!</v>
      </c>
      <c r="Q167" s="8">
        <f t="shared" si="48"/>
        <v>5.2</v>
      </c>
      <c r="R167" s="8">
        <f t="shared" si="48"/>
        <v>0.03</v>
      </c>
      <c r="S167" s="8">
        <f t="shared" si="48"/>
        <v>0.8</v>
      </c>
      <c r="T167" s="8">
        <f t="shared" si="48"/>
        <v>0.5</v>
      </c>
      <c r="U167" s="8" t="e">
        <f t="shared" si="48"/>
        <v>#REF!</v>
      </c>
      <c r="W167" s="8" t="e">
        <f t="shared" si="46"/>
        <v>#REF!</v>
      </c>
      <c r="Y167" t="e">
        <f t="shared" si="47"/>
        <v>#REF!</v>
      </c>
    </row>
    <row r="168" spans="6:25" x14ac:dyDescent="0.2">
      <c r="F168">
        <f t="shared" si="40"/>
        <v>825</v>
      </c>
      <c r="G168" t="e">
        <f>1.2*SQRT(2*F168/(airplane!#REF!*airplane!$B$13))-airplane!#REF!</f>
        <v>#REF!</v>
      </c>
      <c r="H168" t="e">
        <f t="shared" si="41"/>
        <v>#REF!</v>
      </c>
      <c r="K168">
        <f t="shared" si="42"/>
        <v>275.71499999999997</v>
      </c>
      <c r="L168" t="e">
        <f t="shared" si="43"/>
        <v>#REF!</v>
      </c>
      <c r="O168" s="8">
        <f t="shared" si="44"/>
        <v>17.232187499999998</v>
      </c>
      <c r="P168" s="8" t="e">
        <f t="shared" si="48"/>
        <v>#REF!</v>
      </c>
      <c r="Q168" s="8">
        <f t="shared" si="48"/>
        <v>5.2</v>
      </c>
      <c r="R168" s="8">
        <f t="shared" si="48"/>
        <v>0.03</v>
      </c>
      <c r="S168" s="8">
        <f t="shared" si="48"/>
        <v>0.8</v>
      </c>
      <c r="T168" s="8">
        <f t="shared" si="48"/>
        <v>0.5</v>
      </c>
      <c r="U168" s="8" t="e">
        <f t="shared" si="48"/>
        <v>#REF!</v>
      </c>
      <c r="W168" s="8" t="e">
        <f t="shared" si="46"/>
        <v>#REF!</v>
      </c>
      <c r="Y168" t="e">
        <f t="shared" si="47"/>
        <v>#REF!</v>
      </c>
    </row>
    <row r="169" spans="6:25" x14ac:dyDescent="0.2">
      <c r="F169">
        <f t="shared" si="40"/>
        <v>830</v>
      </c>
      <c r="G169" t="e">
        <f>1.2*SQRT(2*F169/(airplane!#REF!*airplane!$B$13))-airplane!#REF!</f>
        <v>#REF!</v>
      </c>
      <c r="H169" t="e">
        <f t="shared" si="41"/>
        <v>#REF!</v>
      </c>
      <c r="K169">
        <f t="shared" si="42"/>
        <v>277.38600000000002</v>
      </c>
      <c r="L169" t="e">
        <f t="shared" si="43"/>
        <v>#REF!</v>
      </c>
      <c r="O169" s="8">
        <f t="shared" si="44"/>
        <v>17.336625000000002</v>
      </c>
      <c r="P169" s="8" t="e">
        <f t="shared" si="48"/>
        <v>#REF!</v>
      </c>
      <c r="Q169" s="8">
        <f t="shared" si="48"/>
        <v>5.2</v>
      </c>
      <c r="R169" s="8">
        <f t="shared" si="48"/>
        <v>0.03</v>
      </c>
      <c r="S169" s="8">
        <f t="shared" si="48"/>
        <v>0.8</v>
      </c>
      <c r="T169" s="8">
        <f t="shared" si="48"/>
        <v>0.5</v>
      </c>
      <c r="U169" s="8" t="e">
        <f t="shared" si="48"/>
        <v>#REF!</v>
      </c>
      <c r="W169" s="8" t="e">
        <f t="shared" si="46"/>
        <v>#REF!</v>
      </c>
      <c r="Y169" t="e">
        <f t="shared" si="47"/>
        <v>#REF!</v>
      </c>
    </row>
    <row r="170" spans="6:25" x14ac:dyDescent="0.2">
      <c r="F170">
        <f t="shared" si="40"/>
        <v>835</v>
      </c>
      <c r="G170" t="e">
        <f>1.2*SQRT(2*F170/(airplane!#REF!*airplane!$B$13))-airplane!#REF!</f>
        <v>#REF!</v>
      </c>
      <c r="H170" t="e">
        <f t="shared" si="41"/>
        <v>#REF!</v>
      </c>
      <c r="K170">
        <f t="shared" si="42"/>
        <v>279.05700000000002</v>
      </c>
      <c r="L170" t="e">
        <f t="shared" si="43"/>
        <v>#REF!</v>
      </c>
      <c r="O170" s="8">
        <f t="shared" si="44"/>
        <v>17.441062500000001</v>
      </c>
      <c r="P170" s="8" t="e">
        <f t="shared" si="48"/>
        <v>#REF!</v>
      </c>
      <c r="Q170" s="8">
        <f t="shared" si="48"/>
        <v>5.2</v>
      </c>
      <c r="R170" s="8">
        <f t="shared" si="48"/>
        <v>0.03</v>
      </c>
      <c r="S170" s="8">
        <f t="shared" si="48"/>
        <v>0.8</v>
      </c>
      <c r="T170" s="8">
        <f t="shared" si="48"/>
        <v>0.5</v>
      </c>
      <c r="U170" s="8" t="e">
        <f t="shared" si="48"/>
        <v>#REF!</v>
      </c>
      <c r="W170" s="8" t="e">
        <f t="shared" si="46"/>
        <v>#REF!</v>
      </c>
      <c r="Y170" t="e">
        <f t="shared" si="47"/>
        <v>#REF!</v>
      </c>
    </row>
    <row r="171" spans="6:25" x14ac:dyDescent="0.2">
      <c r="F171">
        <f t="shared" si="40"/>
        <v>840</v>
      </c>
      <c r="G171" t="e">
        <f>1.2*SQRT(2*F171/(airplane!#REF!*airplane!$B$13))-airplane!#REF!</f>
        <v>#REF!</v>
      </c>
      <c r="H171" t="e">
        <f t="shared" si="41"/>
        <v>#REF!</v>
      </c>
      <c r="K171">
        <f t="shared" si="42"/>
        <v>280.72800000000001</v>
      </c>
      <c r="L171" t="e">
        <f t="shared" si="43"/>
        <v>#REF!</v>
      </c>
      <c r="O171" s="8">
        <f t="shared" si="44"/>
        <v>17.545500000000001</v>
      </c>
      <c r="P171" s="8" t="e">
        <f t="shared" si="48"/>
        <v>#REF!</v>
      </c>
      <c r="Q171" s="8">
        <f t="shared" si="48"/>
        <v>5.2</v>
      </c>
      <c r="R171" s="8">
        <f t="shared" si="48"/>
        <v>0.03</v>
      </c>
      <c r="S171" s="8">
        <f t="shared" si="48"/>
        <v>0.8</v>
      </c>
      <c r="T171" s="8">
        <f t="shared" si="48"/>
        <v>0.5</v>
      </c>
      <c r="U171" s="8" t="e">
        <f t="shared" si="48"/>
        <v>#REF!</v>
      </c>
      <c r="W171" s="8" t="e">
        <f t="shared" si="46"/>
        <v>#REF!</v>
      </c>
      <c r="Y171" t="e">
        <f t="shared" si="47"/>
        <v>#REF!</v>
      </c>
    </row>
    <row r="172" spans="6:25" x14ac:dyDescent="0.2">
      <c r="F172">
        <f t="shared" si="40"/>
        <v>845</v>
      </c>
      <c r="G172" t="e">
        <f>1.2*SQRT(2*F172/(airplane!#REF!*airplane!$B$13))-airplane!#REF!</f>
        <v>#REF!</v>
      </c>
      <c r="H172" t="e">
        <f t="shared" si="41"/>
        <v>#REF!</v>
      </c>
      <c r="K172">
        <f t="shared" si="42"/>
        <v>282.399</v>
      </c>
      <c r="L172" t="e">
        <f t="shared" si="43"/>
        <v>#REF!</v>
      </c>
      <c r="O172" s="8">
        <f t="shared" si="44"/>
        <v>17.6499375</v>
      </c>
      <c r="P172" s="8" t="e">
        <f t="shared" si="48"/>
        <v>#REF!</v>
      </c>
      <c r="Q172" s="8">
        <f t="shared" si="48"/>
        <v>5.2</v>
      </c>
      <c r="R172" s="8">
        <f t="shared" si="48"/>
        <v>0.03</v>
      </c>
      <c r="S172" s="8">
        <f t="shared" si="48"/>
        <v>0.8</v>
      </c>
      <c r="T172" s="8">
        <f t="shared" si="48"/>
        <v>0.5</v>
      </c>
      <c r="U172" s="8" t="e">
        <f t="shared" si="48"/>
        <v>#REF!</v>
      </c>
      <c r="W172" s="8" t="e">
        <f t="shared" si="46"/>
        <v>#REF!</v>
      </c>
      <c r="Y172" t="e">
        <f t="shared" si="47"/>
        <v>#REF!</v>
      </c>
    </row>
    <row r="173" spans="6:25" x14ac:dyDescent="0.2">
      <c r="F173">
        <f t="shared" si="40"/>
        <v>850</v>
      </c>
      <c r="G173" t="e">
        <f>1.2*SQRT(2*F173/(airplane!#REF!*airplane!$B$13))-airplane!#REF!</f>
        <v>#REF!</v>
      </c>
      <c r="H173" t="e">
        <f t="shared" si="41"/>
        <v>#REF!</v>
      </c>
      <c r="K173">
        <f t="shared" si="42"/>
        <v>284.07</v>
      </c>
      <c r="L173" t="e">
        <f t="shared" si="43"/>
        <v>#REF!</v>
      </c>
      <c r="O173" s="8">
        <f t="shared" si="44"/>
        <v>17.754375</v>
      </c>
      <c r="P173" s="8" t="e">
        <f t="shared" si="48"/>
        <v>#REF!</v>
      </c>
      <c r="Q173" s="8">
        <f t="shared" si="48"/>
        <v>5.2</v>
      </c>
      <c r="R173" s="8">
        <f t="shared" si="48"/>
        <v>0.03</v>
      </c>
      <c r="S173" s="8">
        <f t="shared" si="48"/>
        <v>0.8</v>
      </c>
      <c r="T173" s="8">
        <f t="shared" si="48"/>
        <v>0.5</v>
      </c>
      <c r="U173" s="8" t="e">
        <f t="shared" si="48"/>
        <v>#REF!</v>
      </c>
      <c r="W173" s="8" t="e">
        <f t="shared" si="46"/>
        <v>#REF!</v>
      </c>
      <c r="Y173" t="e">
        <f t="shared" si="47"/>
        <v>#REF!</v>
      </c>
    </row>
    <row r="174" spans="6:25" x14ac:dyDescent="0.2">
      <c r="F174">
        <f t="shared" si="40"/>
        <v>855</v>
      </c>
      <c r="G174" t="e">
        <f>1.2*SQRT(2*F174/(airplane!#REF!*airplane!$B$13))-airplane!#REF!</f>
        <v>#REF!</v>
      </c>
      <c r="H174" t="e">
        <f t="shared" si="41"/>
        <v>#REF!</v>
      </c>
      <c r="K174">
        <f t="shared" si="42"/>
        <v>285.74099999999999</v>
      </c>
      <c r="L174" t="e">
        <f t="shared" si="43"/>
        <v>#REF!</v>
      </c>
      <c r="O174" s="8">
        <f t="shared" si="44"/>
        <v>17.858812499999999</v>
      </c>
      <c r="P174" s="8" t="e">
        <f t="shared" si="48"/>
        <v>#REF!</v>
      </c>
      <c r="Q174" s="8">
        <f t="shared" si="48"/>
        <v>5.2</v>
      </c>
      <c r="R174" s="8">
        <f t="shared" si="48"/>
        <v>0.03</v>
      </c>
      <c r="S174" s="8">
        <f t="shared" si="48"/>
        <v>0.8</v>
      </c>
      <c r="T174" s="8">
        <f t="shared" si="48"/>
        <v>0.5</v>
      </c>
      <c r="U174" s="8" t="e">
        <f t="shared" si="48"/>
        <v>#REF!</v>
      </c>
      <c r="W174" s="8" t="e">
        <f t="shared" si="46"/>
        <v>#REF!</v>
      </c>
      <c r="Y174" t="e">
        <f t="shared" si="47"/>
        <v>#REF!</v>
      </c>
    </row>
    <row r="175" spans="6:25" x14ac:dyDescent="0.2">
      <c r="F175">
        <f t="shared" si="40"/>
        <v>860</v>
      </c>
      <c r="G175" t="e">
        <f>1.2*SQRT(2*F175/(airplane!#REF!*airplane!$B$13))-airplane!#REF!</f>
        <v>#REF!</v>
      </c>
      <c r="H175" t="e">
        <f t="shared" si="41"/>
        <v>#REF!</v>
      </c>
      <c r="K175">
        <f t="shared" si="42"/>
        <v>287.41199999999998</v>
      </c>
      <c r="L175" t="e">
        <f t="shared" si="43"/>
        <v>#REF!</v>
      </c>
      <c r="O175" s="8">
        <f t="shared" si="44"/>
        <v>17.963249999999999</v>
      </c>
      <c r="P175" s="8" t="e">
        <f t="shared" ref="P175:U190" si="49">P174</f>
        <v>#REF!</v>
      </c>
      <c r="Q175" s="8">
        <f t="shared" si="49"/>
        <v>5.2</v>
      </c>
      <c r="R175" s="8">
        <f t="shared" si="49"/>
        <v>0.03</v>
      </c>
      <c r="S175" s="8">
        <f t="shared" si="49"/>
        <v>0.8</v>
      </c>
      <c r="T175" s="8">
        <f t="shared" si="49"/>
        <v>0.5</v>
      </c>
      <c r="U175" s="8" t="e">
        <f t="shared" si="49"/>
        <v>#REF!</v>
      </c>
      <c r="W175" s="8" t="e">
        <f t="shared" si="46"/>
        <v>#REF!</v>
      </c>
      <c r="Y175" t="e">
        <f t="shared" si="47"/>
        <v>#REF!</v>
      </c>
    </row>
    <row r="176" spans="6:25" x14ac:dyDescent="0.2">
      <c r="F176">
        <f t="shared" si="40"/>
        <v>865</v>
      </c>
      <c r="G176" t="e">
        <f>1.2*SQRT(2*F176/(airplane!#REF!*airplane!$B$13))-airplane!#REF!</f>
        <v>#REF!</v>
      </c>
      <c r="H176" t="e">
        <f t="shared" si="41"/>
        <v>#REF!</v>
      </c>
      <c r="K176">
        <f t="shared" si="42"/>
        <v>289.08299999999997</v>
      </c>
      <c r="L176" t="e">
        <f t="shared" si="43"/>
        <v>#REF!</v>
      </c>
      <c r="O176" s="8">
        <f t="shared" si="44"/>
        <v>18.067687499999998</v>
      </c>
      <c r="P176" s="8" t="e">
        <f t="shared" si="49"/>
        <v>#REF!</v>
      </c>
      <c r="Q176" s="8">
        <f t="shared" si="49"/>
        <v>5.2</v>
      </c>
      <c r="R176" s="8">
        <f t="shared" si="49"/>
        <v>0.03</v>
      </c>
      <c r="S176" s="8">
        <f t="shared" si="49"/>
        <v>0.8</v>
      </c>
      <c r="T176" s="8">
        <f t="shared" si="49"/>
        <v>0.5</v>
      </c>
      <c r="U176" s="8" t="e">
        <f t="shared" si="49"/>
        <v>#REF!</v>
      </c>
      <c r="W176" s="8" t="e">
        <f t="shared" si="46"/>
        <v>#REF!</v>
      </c>
      <c r="Y176" t="e">
        <f t="shared" si="47"/>
        <v>#REF!</v>
      </c>
    </row>
    <row r="177" spans="6:25" x14ac:dyDescent="0.2">
      <c r="F177">
        <f t="shared" si="40"/>
        <v>870</v>
      </c>
      <c r="G177" t="e">
        <f>1.2*SQRT(2*F177/(airplane!#REF!*airplane!$B$13))-airplane!#REF!</f>
        <v>#REF!</v>
      </c>
      <c r="H177" t="e">
        <f t="shared" si="41"/>
        <v>#REF!</v>
      </c>
      <c r="K177">
        <f t="shared" si="42"/>
        <v>290.75400000000002</v>
      </c>
      <c r="L177" t="e">
        <f t="shared" si="43"/>
        <v>#REF!</v>
      </c>
      <c r="O177" s="8">
        <f t="shared" si="44"/>
        <v>18.172125000000001</v>
      </c>
      <c r="P177" s="8" t="e">
        <f t="shared" si="49"/>
        <v>#REF!</v>
      </c>
      <c r="Q177" s="8">
        <f t="shared" si="49"/>
        <v>5.2</v>
      </c>
      <c r="R177" s="8">
        <f t="shared" si="49"/>
        <v>0.03</v>
      </c>
      <c r="S177" s="8">
        <f t="shared" si="49"/>
        <v>0.8</v>
      </c>
      <c r="T177" s="8">
        <f t="shared" si="49"/>
        <v>0.5</v>
      </c>
      <c r="U177" s="8" t="e">
        <f t="shared" si="49"/>
        <v>#REF!</v>
      </c>
      <c r="W177" s="8" t="e">
        <f t="shared" si="46"/>
        <v>#REF!</v>
      </c>
      <c r="Y177" t="e">
        <f t="shared" si="47"/>
        <v>#REF!</v>
      </c>
    </row>
    <row r="178" spans="6:25" x14ac:dyDescent="0.2">
      <c r="F178">
        <f t="shared" si="40"/>
        <v>875</v>
      </c>
      <c r="G178" t="e">
        <f>1.2*SQRT(2*F178/(airplane!#REF!*airplane!$B$13))-airplane!#REF!</f>
        <v>#REF!</v>
      </c>
      <c r="H178" t="e">
        <f t="shared" si="41"/>
        <v>#REF!</v>
      </c>
      <c r="K178">
        <f t="shared" si="42"/>
        <v>292.42500000000001</v>
      </c>
      <c r="L178" t="e">
        <f t="shared" si="43"/>
        <v>#REF!</v>
      </c>
      <c r="O178" s="8">
        <f t="shared" si="44"/>
        <v>18.276562500000001</v>
      </c>
      <c r="P178" s="8" t="e">
        <f t="shared" si="49"/>
        <v>#REF!</v>
      </c>
      <c r="Q178" s="8">
        <f t="shared" si="49"/>
        <v>5.2</v>
      </c>
      <c r="R178" s="8">
        <f t="shared" si="49"/>
        <v>0.03</v>
      </c>
      <c r="S178" s="8">
        <f t="shared" si="49"/>
        <v>0.8</v>
      </c>
      <c r="T178" s="8">
        <f t="shared" si="49"/>
        <v>0.5</v>
      </c>
      <c r="U178" s="8" t="e">
        <f t="shared" si="49"/>
        <v>#REF!</v>
      </c>
      <c r="W178" s="8" t="e">
        <f t="shared" si="46"/>
        <v>#REF!</v>
      </c>
      <c r="Y178" t="e">
        <f t="shared" si="47"/>
        <v>#REF!</v>
      </c>
    </row>
    <row r="179" spans="6:25" x14ac:dyDescent="0.2">
      <c r="F179">
        <f t="shared" si="40"/>
        <v>880</v>
      </c>
      <c r="G179" t="e">
        <f>1.2*SQRT(2*F179/(airplane!#REF!*airplane!$B$13))-airplane!#REF!</f>
        <v>#REF!</v>
      </c>
      <c r="H179" t="e">
        <f t="shared" si="41"/>
        <v>#REF!</v>
      </c>
      <c r="K179">
        <f t="shared" si="42"/>
        <v>294.096</v>
      </c>
      <c r="L179" t="e">
        <f t="shared" si="43"/>
        <v>#REF!</v>
      </c>
      <c r="O179" s="8">
        <f t="shared" si="44"/>
        <v>18.381</v>
      </c>
      <c r="P179" s="8" t="e">
        <f t="shared" si="49"/>
        <v>#REF!</v>
      </c>
      <c r="Q179" s="8">
        <f t="shared" si="49"/>
        <v>5.2</v>
      </c>
      <c r="R179" s="8">
        <f t="shared" si="49"/>
        <v>0.03</v>
      </c>
      <c r="S179" s="8">
        <f t="shared" si="49"/>
        <v>0.8</v>
      </c>
      <c r="T179" s="8">
        <f t="shared" si="49"/>
        <v>0.5</v>
      </c>
      <c r="U179" s="8" t="e">
        <f t="shared" si="49"/>
        <v>#REF!</v>
      </c>
      <c r="W179" s="8" t="e">
        <f t="shared" si="46"/>
        <v>#REF!</v>
      </c>
      <c r="Y179" t="e">
        <f t="shared" si="47"/>
        <v>#REF!</v>
      </c>
    </row>
    <row r="180" spans="6:25" x14ac:dyDescent="0.2">
      <c r="F180">
        <f t="shared" si="40"/>
        <v>885</v>
      </c>
      <c r="G180" t="e">
        <f>1.2*SQRT(2*F180/(airplane!#REF!*airplane!$B$13))-airplane!#REF!</f>
        <v>#REF!</v>
      </c>
      <c r="H180" t="e">
        <f t="shared" si="41"/>
        <v>#REF!</v>
      </c>
      <c r="K180">
        <f t="shared" si="42"/>
        <v>295.767</v>
      </c>
      <c r="L180" t="e">
        <f t="shared" si="43"/>
        <v>#REF!</v>
      </c>
      <c r="O180" s="8">
        <f t="shared" si="44"/>
        <v>18.4854375</v>
      </c>
      <c r="P180" s="8" t="e">
        <f t="shared" si="49"/>
        <v>#REF!</v>
      </c>
      <c r="Q180" s="8">
        <f t="shared" si="49"/>
        <v>5.2</v>
      </c>
      <c r="R180" s="8">
        <f t="shared" si="49"/>
        <v>0.03</v>
      </c>
      <c r="S180" s="8">
        <f t="shared" si="49"/>
        <v>0.8</v>
      </c>
      <c r="T180" s="8">
        <f t="shared" si="49"/>
        <v>0.5</v>
      </c>
      <c r="U180" s="8" t="e">
        <f t="shared" si="49"/>
        <v>#REF!</v>
      </c>
      <c r="W180" s="8" t="e">
        <f t="shared" si="46"/>
        <v>#REF!</v>
      </c>
      <c r="Y180" t="e">
        <f t="shared" si="47"/>
        <v>#REF!</v>
      </c>
    </row>
    <row r="181" spans="6:25" x14ac:dyDescent="0.2">
      <c r="F181">
        <f t="shared" si="40"/>
        <v>890</v>
      </c>
      <c r="G181" t="e">
        <f>1.2*SQRT(2*F181/(airplane!#REF!*airplane!$B$13))-airplane!#REF!</f>
        <v>#REF!</v>
      </c>
      <c r="H181" t="e">
        <f t="shared" si="41"/>
        <v>#REF!</v>
      </c>
      <c r="K181">
        <f t="shared" si="42"/>
        <v>297.43799999999999</v>
      </c>
      <c r="L181" t="e">
        <f t="shared" si="43"/>
        <v>#REF!</v>
      </c>
      <c r="O181" s="8">
        <f t="shared" si="44"/>
        <v>18.589874999999999</v>
      </c>
      <c r="P181" s="8" t="e">
        <f t="shared" si="49"/>
        <v>#REF!</v>
      </c>
      <c r="Q181" s="8">
        <f t="shared" si="49"/>
        <v>5.2</v>
      </c>
      <c r="R181" s="8">
        <f t="shared" si="49"/>
        <v>0.03</v>
      </c>
      <c r="S181" s="8">
        <f t="shared" si="49"/>
        <v>0.8</v>
      </c>
      <c r="T181" s="8">
        <f t="shared" si="49"/>
        <v>0.5</v>
      </c>
      <c r="U181" s="8" t="e">
        <f t="shared" si="49"/>
        <v>#REF!</v>
      </c>
      <c r="W181" s="8" t="e">
        <f t="shared" si="46"/>
        <v>#REF!</v>
      </c>
      <c r="Y181" t="e">
        <f t="shared" si="47"/>
        <v>#REF!</v>
      </c>
    </row>
    <row r="182" spans="6:25" x14ac:dyDescent="0.2">
      <c r="F182">
        <f t="shared" si="40"/>
        <v>895</v>
      </c>
      <c r="G182" t="e">
        <f>1.2*SQRT(2*F182/(airplane!#REF!*airplane!$B$13))-airplane!#REF!</f>
        <v>#REF!</v>
      </c>
      <c r="H182" t="e">
        <f t="shared" si="41"/>
        <v>#REF!</v>
      </c>
      <c r="K182">
        <f t="shared" si="42"/>
        <v>299.10899999999998</v>
      </c>
      <c r="L182" t="e">
        <f t="shared" si="43"/>
        <v>#REF!</v>
      </c>
      <c r="O182" s="8">
        <f t="shared" si="44"/>
        <v>18.694312499999999</v>
      </c>
      <c r="P182" s="8" t="e">
        <f t="shared" si="49"/>
        <v>#REF!</v>
      </c>
      <c r="Q182" s="8">
        <f t="shared" si="49"/>
        <v>5.2</v>
      </c>
      <c r="R182" s="8">
        <f t="shared" si="49"/>
        <v>0.03</v>
      </c>
      <c r="S182" s="8">
        <f t="shared" si="49"/>
        <v>0.8</v>
      </c>
      <c r="T182" s="8">
        <f t="shared" si="49"/>
        <v>0.5</v>
      </c>
      <c r="U182" s="8" t="e">
        <f t="shared" si="49"/>
        <v>#REF!</v>
      </c>
      <c r="W182" s="8" t="e">
        <f t="shared" si="46"/>
        <v>#REF!</v>
      </c>
      <c r="Y182" t="e">
        <f t="shared" si="47"/>
        <v>#REF!</v>
      </c>
    </row>
    <row r="183" spans="6:25" x14ac:dyDescent="0.2">
      <c r="F183">
        <f t="shared" si="40"/>
        <v>900</v>
      </c>
      <c r="G183" t="e">
        <f>1.2*SQRT(2*F183/(airplane!#REF!*airplane!$B$13))-airplane!#REF!</f>
        <v>#REF!</v>
      </c>
      <c r="H183" t="e">
        <f t="shared" si="41"/>
        <v>#REF!</v>
      </c>
      <c r="K183">
        <f t="shared" si="42"/>
        <v>300.77999999999997</v>
      </c>
      <c r="L183" t="e">
        <f t="shared" si="43"/>
        <v>#REF!</v>
      </c>
      <c r="O183" s="8">
        <f t="shared" si="44"/>
        <v>18.798749999999998</v>
      </c>
      <c r="P183" s="8" t="e">
        <f t="shared" si="49"/>
        <v>#REF!</v>
      </c>
      <c r="Q183" s="8">
        <f t="shared" si="49"/>
        <v>5.2</v>
      </c>
      <c r="R183" s="8">
        <f t="shared" si="49"/>
        <v>0.03</v>
      </c>
      <c r="S183" s="8">
        <f t="shared" si="49"/>
        <v>0.8</v>
      </c>
      <c r="T183" s="8">
        <f t="shared" si="49"/>
        <v>0.5</v>
      </c>
      <c r="U183" s="8" t="e">
        <f t="shared" si="49"/>
        <v>#REF!</v>
      </c>
      <c r="W183" s="8" t="e">
        <f t="shared" si="46"/>
        <v>#REF!</v>
      </c>
      <c r="Y183" t="e">
        <f t="shared" si="47"/>
        <v>#REF!</v>
      </c>
    </row>
    <row r="184" spans="6:25" x14ac:dyDescent="0.2">
      <c r="F184">
        <f t="shared" si="40"/>
        <v>905</v>
      </c>
      <c r="G184" t="e">
        <f>1.2*SQRT(2*F184/(airplane!#REF!*airplane!$B$13))-airplane!#REF!</f>
        <v>#REF!</v>
      </c>
      <c r="H184" t="e">
        <f t="shared" si="41"/>
        <v>#REF!</v>
      </c>
      <c r="K184">
        <f t="shared" si="42"/>
        <v>302.45100000000002</v>
      </c>
      <c r="L184" t="e">
        <f t="shared" si="43"/>
        <v>#REF!</v>
      </c>
      <c r="O184" s="8">
        <f t="shared" si="44"/>
        <v>18.903187500000001</v>
      </c>
      <c r="P184" s="8" t="e">
        <f t="shared" si="49"/>
        <v>#REF!</v>
      </c>
      <c r="Q184" s="8">
        <f t="shared" si="49"/>
        <v>5.2</v>
      </c>
      <c r="R184" s="8">
        <f t="shared" si="49"/>
        <v>0.03</v>
      </c>
      <c r="S184" s="8">
        <f t="shared" si="49"/>
        <v>0.8</v>
      </c>
      <c r="T184" s="8">
        <f t="shared" si="49"/>
        <v>0.5</v>
      </c>
      <c r="U184" s="8" t="e">
        <f t="shared" si="49"/>
        <v>#REF!</v>
      </c>
      <c r="W184" s="8" t="e">
        <f t="shared" si="46"/>
        <v>#REF!</v>
      </c>
      <c r="Y184" t="e">
        <f t="shared" si="47"/>
        <v>#REF!</v>
      </c>
    </row>
    <row r="185" spans="6:25" x14ac:dyDescent="0.2">
      <c r="F185">
        <f t="shared" si="40"/>
        <v>910</v>
      </c>
      <c r="G185" t="e">
        <f>1.2*SQRT(2*F185/(airplane!#REF!*airplane!$B$13))-airplane!#REF!</f>
        <v>#REF!</v>
      </c>
      <c r="H185" t="e">
        <f t="shared" si="41"/>
        <v>#REF!</v>
      </c>
      <c r="K185">
        <f t="shared" si="42"/>
        <v>304.12200000000001</v>
      </c>
      <c r="L185" t="e">
        <f t="shared" si="43"/>
        <v>#REF!</v>
      </c>
      <c r="O185" s="8">
        <f t="shared" si="44"/>
        <v>19.007625000000001</v>
      </c>
      <c r="P185" s="8" t="e">
        <f t="shared" si="49"/>
        <v>#REF!</v>
      </c>
      <c r="Q185" s="8">
        <f t="shared" si="49"/>
        <v>5.2</v>
      </c>
      <c r="R185" s="8">
        <f t="shared" si="49"/>
        <v>0.03</v>
      </c>
      <c r="S185" s="8">
        <f t="shared" si="49"/>
        <v>0.8</v>
      </c>
      <c r="T185" s="8">
        <f t="shared" si="49"/>
        <v>0.5</v>
      </c>
      <c r="U185" s="8" t="e">
        <f t="shared" si="49"/>
        <v>#REF!</v>
      </c>
      <c r="W185" s="8" t="e">
        <f t="shared" si="46"/>
        <v>#REF!</v>
      </c>
      <c r="Y185" t="e">
        <f t="shared" si="47"/>
        <v>#REF!</v>
      </c>
    </row>
    <row r="186" spans="6:25" x14ac:dyDescent="0.2">
      <c r="F186">
        <f t="shared" si="40"/>
        <v>915</v>
      </c>
      <c r="G186" t="e">
        <f>1.2*SQRT(2*F186/(airplane!#REF!*airplane!$B$13))-airplane!#REF!</f>
        <v>#REF!</v>
      </c>
      <c r="H186" t="e">
        <f t="shared" si="41"/>
        <v>#REF!</v>
      </c>
      <c r="K186">
        <f t="shared" si="42"/>
        <v>305.79300000000001</v>
      </c>
      <c r="L186" t="e">
        <f t="shared" si="43"/>
        <v>#REF!</v>
      </c>
      <c r="O186" s="8">
        <f t="shared" si="44"/>
        <v>19.1120625</v>
      </c>
      <c r="P186" s="8" t="e">
        <f t="shared" si="49"/>
        <v>#REF!</v>
      </c>
      <c r="Q186" s="8">
        <f t="shared" si="49"/>
        <v>5.2</v>
      </c>
      <c r="R186" s="8">
        <f t="shared" si="49"/>
        <v>0.03</v>
      </c>
      <c r="S186" s="8">
        <f t="shared" si="49"/>
        <v>0.8</v>
      </c>
      <c r="T186" s="8">
        <f t="shared" si="49"/>
        <v>0.5</v>
      </c>
      <c r="U186" s="8" t="e">
        <f t="shared" si="49"/>
        <v>#REF!</v>
      </c>
      <c r="W186" s="8" t="e">
        <f t="shared" si="46"/>
        <v>#REF!</v>
      </c>
      <c r="Y186" t="e">
        <f t="shared" si="47"/>
        <v>#REF!</v>
      </c>
    </row>
    <row r="187" spans="6:25" x14ac:dyDescent="0.2">
      <c r="F187">
        <f t="shared" si="40"/>
        <v>920</v>
      </c>
      <c r="G187" t="e">
        <f>1.2*SQRT(2*F187/(airplane!#REF!*airplane!$B$13))-airplane!#REF!</f>
        <v>#REF!</v>
      </c>
      <c r="H187" t="e">
        <f t="shared" si="41"/>
        <v>#REF!</v>
      </c>
      <c r="K187">
        <f t="shared" si="42"/>
        <v>307.464</v>
      </c>
      <c r="L187" t="e">
        <f t="shared" si="43"/>
        <v>#REF!</v>
      </c>
      <c r="O187" s="8">
        <f t="shared" si="44"/>
        <v>19.2165</v>
      </c>
      <c r="P187" s="8" t="e">
        <f t="shared" si="49"/>
        <v>#REF!</v>
      </c>
      <c r="Q187" s="8">
        <f t="shared" si="49"/>
        <v>5.2</v>
      </c>
      <c r="R187" s="8">
        <f t="shared" si="49"/>
        <v>0.03</v>
      </c>
      <c r="S187" s="8">
        <f t="shared" si="49"/>
        <v>0.8</v>
      </c>
      <c r="T187" s="8">
        <f t="shared" si="49"/>
        <v>0.5</v>
      </c>
      <c r="U187" s="8" t="e">
        <f t="shared" si="49"/>
        <v>#REF!</v>
      </c>
      <c r="W187" s="8" t="e">
        <f t="shared" si="46"/>
        <v>#REF!</v>
      </c>
      <c r="Y187" t="e">
        <f t="shared" si="47"/>
        <v>#REF!</v>
      </c>
    </row>
    <row r="188" spans="6:25" x14ac:dyDescent="0.2">
      <c r="F188">
        <f t="shared" si="40"/>
        <v>925</v>
      </c>
      <c r="G188" t="e">
        <f>1.2*SQRT(2*F188/(airplane!#REF!*airplane!$B$13))-airplane!#REF!</f>
        <v>#REF!</v>
      </c>
      <c r="H188" t="e">
        <f t="shared" si="41"/>
        <v>#REF!</v>
      </c>
      <c r="K188">
        <f t="shared" si="42"/>
        <v>309.13499999999999</v>
      </c>
      <c r="L188" t="e">
        <f t="shared" si="43"/>
        <v>#REF!</v>
      </c>
      <c r="O188" s="8">
        <f t="shared" si="44"/>
        <v>19.320937499999999</v>
      </c>
      <c r="P188" s="8" t="e">
        <f t="shared" si="49"/>
        <v>#REF!</v>
      </c>
      <c r="Q188" s="8">
        <f t="shared" si="49"/>
        <v>5.2</v>
      </c>
      <c r="R188" s="8">
        <f t="shared" si="49"/>
        <v>0.03</v>
      </c>
      <c r="S188" s="8">
        <f t="shared" si="49"/>
        <v>0.8</v>
      </c>
      <c r="T188" s="8">
        <f t="shared" si="49"/>
        <v>0.5</v>
      </c>
      <c r="U188" s="8" t="e">
        <f t="shared" si="49"/>
        <v>#REF!</v>
      </c>
      <c r="W188" s="8" t="e">
        <f t="shared" si="46"/>
        <v>#REF!</v>
      </c>
      <c r="Y188" t="e">
        <f t="shared" si="47"/>
        <v>#REF!</v>
      </c>
    </row>
    <row r="189" spans="6:25" x14ac:dyDescent="0.2">
      <c r="F189">
        <f t="shared" si="40"/>
        <v>930</v>
      </c>
      <c r="G189" t="e">
        <f>1.2*SQRT(2*F189/(airplane!#REF!*airplane!$B$13))-airplane!#REF!</f>
        <v>#REF!</v>
      </c>
      <c r="H189" t="e">
        <f t="shared" si="41"/>
        <v>#REF!</v>
      </c>
      <c r="K189">
        <f t="shared" si="42"/>
        <v>310.80599999999998</v>
      </c>
      <c r="L189" t="e">
        <f t="shared" si="43"/>
        <v>#REF!</v>
      </c>
      <c r="O189" s="8">
        <f t="shared" si="44"/>
        <v>19.425374999999999</v>
      </c>
      <c r="P189" s="8" t="e">
        <f t="shared" si="49"/>
        <v>#REF!</v>
      </c>
      <c r="Q189" s="8">
        <f t="shared" si="49"/>
        <v>5.2</v>
      </c>
      <c r="R189" s="8">
        <f t="shared" si="49"/>
        <v>0.03</v>
      </c>
      <c r="S189" s="8">
        <f t="shared" si="49"/>
        <v>0.8</v>
      </c>
      <c r="T189" s="8">
        <f t="shared" si="49"/>
        <v>0.5</v>
      </c>
      <c r="U189" s="8" t="e">
        <f t="shared" si="49"/>
        <v>#REF!</v>
      </c>
      <c r="W189" s="8" t="e">
        <f t="shared" si="46"/>
        <v>#REF!</v>
      </c>
      <c r="Y189" t="e">
        <f t="shared" si="47"/>
        <v>#REF!</v>
      </c>
    </row>
    <row r="190" spans="6:25" x14ac:dyDescent="0.2">
      <c r="F190">
        <f t="shared" si="40"/>
        <v>935</v>
      </c>
      <c r="G190" t="e">
        <f>1.2*SQRT(2*F190/(airplane!#REF!*airplane!$B$13))-airplane!#REF!</f>
        <v>#REF!</v>
      </c>
      <c r="H190" t="e">
        <f t="shared" si="41"/>
        <v>#REF!</v>
      </c>
      <c r="K190">
        <f t="shared" si="42"/>
        <v>312.47699999999998</v>
      </c>
      <c r="L190" t="e">
        <f t="shared" si="43"/>
        <v>#REF!</v>
      </c>
      <c r="O190" s="8">
        <f t="shared" si="44"/>
        <v>19.529812499999998</v>
      </c>
      <c r="P190" s="8" t="e">
        <f t="shared" si="49"/>
        <v>#REF!</v>
      </c>
      <c r="Q190" s="8">
        <f t="shared" si="49"/>
        <v>5.2</v>
      </c>
      <c r="R190" s="8">
        <f t="shared" si="49"/>
        <v>0.03</v>
      </c>
      <c r="S190" s="8">
        <f t="shared" si="49"/>
        <v>0.8</v>
      </c>
      <c r="T190" s="8">
        <f t="shared" si="49"/>
        <v>0.5</v>
      </c>
      <c r="U190" s="8" t="e">
        <f t="shared" si="49"/>
        <v>#REF!</v>
      </c>
      <c r="W190" s="8" t="e">
        <f t="shared" si="46"/>
        <v>#REF!</v>
      </c>
      <c r="Y190" t="e">
        <f t="shared" si="47"/>
        <v>#REF!</v>
      </c>
    </row>
    <row r="191" spans="6:25" x14ac:dyDescent="0.2">
      <c r="F191">
        <f t="shared" si="40"/>
        <v>940</v>
      </c>
      <c r="G191" t="e">
        <f>1.2*SQRT(2*F191/(airplane!#REF!*airplane!$B$13))-airplane!#REF!</f>
        <v>#REF!</v>
      </c>
      <c r="H191" t="e">
        <f t="shared" si="41"/>
        <v>#REF!</v>
      </c>
      <c r="K191">
        <f t="shared" si="42"/>
        <v>314.14800000000002</v>
      </c>
      <c r="L191" t="e">
        <f t="shared" si="43"/>
        <v>#REF!</v>
      </c>
      <c r="O191" s="8">
        <f t="shared" si="44"/>
        <v>19.634250000000002</v>
      </c>
      <c r="P191" s="8" t="e">
        <f t="shared" ref="P191:U206" si="50">P190</f>
        <v>#REF!</v>
      </c>
      <c r="Q191" s="8">
        <f t="shared" si="50"/>
        <v>5.2</v>
      </c>
      <c r="R191" s="8">
        <f t="shared" si="50"/>
        <v>0.03</v>
      </c>
      <c r="S191" s="8">
        <f t="shared" si="50"/>
        <v>0.8</v>
      </c>
      <c r="T191" s="8">
        <f t="shared" si="50"/>
        <v>0.5</v>
      </c>
      <c r="U191" s="8" t="e">
        <f t="shared" si="50"/>
        <v>#REF!</v>
      </c>
      <c r="W191" s="8" t="e">
        <f t="shared" si="46"/>
        <v>#REF!</v>
      </c>
      <c r="Y191" t="e">
        <f t="shared" si="47"/>
        <v>#REF!</v>
      </c>
    </row>
    <row r="192" spans="6:25" x14ac:dyDescent="0.2">
      <c r="F192">
        <f t="shared" si="40"/>
        <v>945</v>
      </c>
      <c r="G192" t="e">
        <f>1.2*SQRT(2*F192/(airplane!#REF!*airplane!$B$13))-airplane!#REF!</f>
        <v>#REF!</v>
      </c>
      <c r="H192" t="e">
        <f t="shared" si="41"/>
        <v>#REF!</v>
      </c>
      <c r="K192">
        <f t="shared" si="42"/>
        <v>315.81900000000002</v>
      </c>
      <c r="L192" t="e">
        <f t="shared" si="43"/>
        <v>#REF!</v>
      </c>
      <c r="O192" s="8">
        <f t="shared" si="44"/>
        <v>19.738687500000001</v>
      </c>
      <c r="P192" s="8" t="e">
        <f t="shared" si="50"/>
        <v>#REF!</v>
      </c>
      <c r="Q192" s="8">
        <f t="shared" si="50"/>
        <v>5.2</v>
      </c>
      <c r="R192" s="8">
        <f t="shared" si="50"/>
        <v>0.03</v>
      </c>
      <c r="S192" s="8">
        <f t="shared" si="50"/>
        <v>0.8</v>
      </c>
      <c r="T192" s="8">
        <f t="shared" si="50"/>
        <v>0.5</v>
      </c>
      <c r="U192" s="8" t="e">
        <f t="shared" si="50"/>
        <v>#REF!</v>
      </c>
      <c r="W192" s="8" t="e">
        <f t="shared" si="46"/>
        <v>#REF!</v>
      </c>
      <c r="Y192" t="e">
        <f t="shared" si="47"/>
        <v>#REF!</v>
      </c>
    </row>
    <row r="193" spans="6:25" x14ac:dyDescent="0.2">
      <c r="F193">
        <f t="shared" si="40"/>
        <v>950</v>
      </c>
      <c r="G193" t="e">
        <f>1.2*SQRT(2*F193/(airplane!#REF!*airplane!$B$13))-airplane!#REF!</f>
        <v>#REF!</v>
      </c>
      <c r="H193" t="e">
        <f t="shared" si="41"/>
        <v>#REF!</v>
      </c>
      <c r="K193">
        <f t="shared" si="42"/>
        <v>317.49</v>
      </c>
      <c r="L193" t="e">
        <f t="shared" si="43"/>
        <v>#REF!</v>
      </c>
      <c r="O193" s="8">
        <f t="shared" si="44"/>
        <v>19.843125000000001</v>
      </c>
      <c r="P193" s="8" t="e">
        <f t="shared" si="50"/>
        <v>#REF!</v>
      </c>
      <c r="Q193" s="8">
        <f t="shared" si="50"/>
        <v>5.2</v>
      </c>
      <c r="R193" s="8">
        <f t="shared" si="50"/>
        <v>0.03</v>
      </c>
      <c r="S193" s="8">
        <f t="shared" si="50"/>
        <v>0.8</v>
      </c>
      <c r="T193" s="8">
        <f t="shared" si="50"/>
        <v>0.5</v>
      </c>
      <c r="U193" s="8" t="e">
        <f t="shared" si="50"/>
        <v>#REF!</v>
      </c>
      <c r="W193" s="8" t="e">
        <f t="shared" si="46"/>
        <v>#REF!</v>
      </c>
      <c r="Y193" t="e">
        <f t="shared" si="47"/>
        <v>#REF!</v>
      </c>
    </row>
    <row r="194" spans="6:25" x14ac:dyDescent="0.2">
      <c r="F194">
        <f t="shared" si="40"/>
        <v>955</v>
      </c>
      <c r="G194" t="e">
        <f>1.2*SQRT(2*F194/(airplane!#REF!*airplane!$B$13))-airplane!#REF!</f>
        <v>#REF!</v>
      </c>
      <c r="H194" t="e">
        <f t="shared" si="41"/>
        <v>#REF!</v>
      </c>
      <c r="K194">
        <f t="shared" si="42"/>
        <v>319.161</v>
      </c>
      <c r="L194" t="e">
        <f t="shared" si="43"/>
        <v>#REF!</v>
      </c>
      <c r="O194" s="8">
        <f t="shared" si="44"/>
        <v>19.9475625</v>
      </c>
      <c r="P194" s="8" t="e">
        <f t="shared" si="50"/>
        <v>#REF!</v>
      </c>
      <c r="Q194" s="8">
        <f t="shared" si="50"/>
        <v>5.2</v>
      </c>
      <c r="R194" s="8">
        <f t="shared" si="50"/>
        <v>0.03</v>
      </c>
      <c r="S194" s="8">
        <f t="shared" si="50"/>
        <v>0.8</v>
      </c>
      <c r="T194" s="8">
        <f t="shared" si="50"/>
        <v>0.5</v>
      </c>
      <c r="U194" s="8" t="e">
        <f t="shared" si="50"/>
        <v>#REF!</v>
      </c>
      <c r="W194" s="8" t="e">
        <f t="shared" si="46"/>
        <v>#REF!</v>
      </c>
      <c r="Y194" t="e">
        <f t="shared" si="47"/>
        <v>#REF!</v>
      </c>
    </row>
    <row r="195" spans="6:25" x14ac:dyDescent="0.2">
      <c r="F195">
        <f t="shared" si="40"/>
        <v>960</v>
      </c>
      <c r="G195" t="e">
        <f>1.2*SQRT(2*F195/(airplane!#REF!*airplane!$B$13))-airplane!#REF!</f>
        <v>#REF!</v>
      </c>
      <c r="H195" t="e">
        <f t="shared" si="41"/>
        <v>#REF!</v>
      </c>
      <c r="K195">
        <f t="shared" si="42"/>
        <v>320.83199999999999</v>
      </c>
      <c r="L195" t="e">
        <f t="shared" si="43"/>
        <v>#REF!</v>
      </c>
      <c r="O195" s="8">
        <f t="shared" si="44"/>
        <v>20.052</v>
      </c>
      <c r="P195" s="8" t="e">
        <f t="shared" si="50"/>
        <v>#REF!</v>
      </c>
      <c r="Q195" s="8">
        <f t="shared" si="50"/>
        <v>5.2</v>
      </c>
      <c r="R195" s="8">
        <f t="shared" si="50"/>
        <v>0.03</v>
      </c>
      <c r="S195" s="8">
        <f t="shared" si="50"/>
        <v>0.8</v>
      </c>
      <c r="T195" s="8">
        <f t="shared" si="50"/>
        <v>0.5</v>
      </c>
      <c r="U195" s="8" t="e">
        <f t="shared" si="50"/>
        <v>#REF!</v>
      </c>
      <c r="W195" s="8" t="e">
        <f t="shared" si="46"/>
        <v>#REF!</v>
      </c>
      <c r="Y195" t="e">
        <f t="shared" si="47"/>
        <v>#REF!</v>
      </c>
    </row>
    <row r="196" spans="6:25" x14ac:dyDescent="0.2">
      <c r="F196">
        <f t="shared" si="40"/>
        <v>965</v>
      </c>
      <c r="G196" t="e">
        <f>1.2*SQRT(2*F196/(airplane!#REF!*airplane!$B$13))-airplane!#REF!</f>
        <v>#REF!</v>
      </c>
      <c r="H196" t="e">
        <f t="shared" si="41"/>
        <v>#REF!</v>
      </c>
      <c r="K196">
        <f t="shared" si="42"/>
        <v>322.50299999999999</v>
      </c>
      <c r="L196" t="e">
        <f t="shared" si="43"/>
        <v>#REF!</v>
      </c>
      <c r="O196" s="8">
        <f t="shared" si="44"/>
        <v>20.156437499999999</v>
      </c>
      <c r="P196" s="8" t="e">
        <f t="shared" si="50"/>
        <v>#REF!</v>
      </c>
      <c r="Q196" s="8">
        <f t="shared" si="50"/>
        <v>5.2</v>
      </c>
      <c r="R196" s="8">
        <f t="shared" si="50"/>
        <v>0.03</v>
      </c>
      <c r="S196" s="8">
        <f t="shared" si="50"/>
        <v>0.8</v>
      </c>
      <c r="T196" s="8">
        <f t="shared" si="50"/>
        <v>0.5</v>
      </c>
      <c r="U196" s="8" t="e">
        <f t="shared" si="50"/>
        <v>#REF!</v>
      </c>
      <c r="W196" s="8" t="e">
        <f t="shared" si="46"/>
        <v>#REF!</v>
      </c>
      <c r="Y196" t="e">
        <f t="shared" si="47"/>
        <v>#REF!</v>
      </c>
    </row>
    <row r="197" spans="6:25" x14ac:dyDescent="0.2">
      <c r="F197">
        <f t="shared" ref="F197:F260" si="51">F196+5</f>
        <v>970</v>
      </c>
      <c r="G197" t="e">
        <f>1.2*SQRT(2*F197/(airplane!#REF!*airplane!$B$13))-airplane!#REF!</f>
        <v>#REF!</v>
      </c>
      <c r="H197" t="e">
        <f t="shared" si="41"/>
        <v>#REF!</v>
      </c>
      <c r="K197">
        <f t="shared" si="42"/>
        <v>324.17399999999998</v>
      </c>
      <c r="L197" t="e">
        <f t="shared" si="43"/>
        <v>#REF!</v>
      </c>
      <c r="O197" s="8">
        <f t="shared" si="44"/>
        <v>20.260874999999999</v>
      </c>
      <c r="P197" s="8" t="e">
        <f t="shared" si="50"/>
        <v>#REF!</v>
      </c>
      <c r="Q197" s="8">
        <f t="shared" si="50"/>
        <v>5.2</v>
      </c>
      <c r="R197" s="8">
        <f t="shared" si="50"/>
        <v>0.03</v>
      </c>
      <c r="S197" s="8">
        <f t="shared" si="50"/>
        <v>0.8</v>
      </c>
      <c r="T197" s="8">
        <f t="shared" si="50"/>
        <v>0.5</v>
      </c>
      <c r="U197" s="8" t="e">
        <f t="shared" si="50"/>
        <v>#REF!</v>
      </c>
      <c r="W197" s="8" t="e">
        <f t="shared" si="46"/>
        <v>#REF!</v>
      </c>
      <c r="Y197" t="e">
        <f t="shared" si="47"/>
        <v>#REF!</v>
      </c>
    </row>
    <row r="198" spans="6:25" x14ac:dyDescent="0.2">
      <c r="F198">
        <f t="shared" si="51"/>
        <v>975</v>
      </c>
      <c r="G198" t="e">
        <f>1.2*SQRT(2*F198/(airplane!#REF!*airplane!$B$13))-airplane!#REF!</f>
        <v>#REF!</v>
      </c>
      <c r="H198" t="e">
        <f t="shared" si="41"/>
        <v>#REF!</v>
      </c>
      <c r="K198">
        <f t="shared" si="42"/>
        <v>325.84499999999997</v>
      </c>
      <c r="L198" t="e">
        <f t="shared" si="43"/>
        <v>#REF!</v>
      </c>
      <c r="O198" s="8">
        <f t="shared" si="44"/>
        <v>20.365312499999998</v>
      </c>
      <c r="P198" s="8" t="e">
        <f t="shared" si="50"/>
        <v>#REF!</v>
      </c>
      <c r="Q198" s="8">
        <f t="shared" si="50"/>
        <v>5.2</v>
      </c>
      <c r="R198" s="8">
        <f t="shared" si="50"/>
        <v>0.03</v>
      </c>
      <c r="S198" s="8">
        <f t="shared" si="50"/>
        <v>0.8</v>
      </c>
      <c r="T198" s="8">
        <f t="shared" si="50"/>
        <v>0.5</v>
      </c>
      <c r="U198" s="8" t="e">
        <f t="shared" si="50"/>
        <v>#REF!</v>
      </c>
      <c r="W198" s="8" t="e">
        <f t="shared" si="46"/>
        <v>#REF!</v>
      </c>
      <c r="Y198" t="e">
        <f t="shared" si="47"/>
        <v>#REF!</v>
      </c>
    </row>
    <row r="199" spans="6:25" x14ac:dyDescent="0.2">
      <c r="F199">
        <f t="shared" si="51"/>
        <v>980</v>
      </c>
      <c r="G199" t="e">
        <f>1.2*SQRT(2*F199/(airplane!#REF!*airplane!$B$13))-airplane!#REF!</f>
        <v>#REF!</v>
      </c>
      <c r="H199" t="e">
        <f t="shared" si="41"/>
        <v>#REF!</v>
      </c>
      <c r="K199">
        <f t="shared" si="42"/>
        <v>327.51600000000002</v>
      </c>
      <c r="L199" t="e">
        <f t="shared" si="43"/>
        <v>#REF!</v>
      </c>
      <c r="O199" s="8">
        <f t="shared" si="44"/>
        <v>20.469750000000001</v>
      </c>
      <c r="P199" s="8" t="e">
        <f t="shared" si="50"/>
        <v>#REF!</v>
      </c>
      <c r="Q199" s="8">
        <f t="shared" si="50"/>
        <v>5.2</v>
      </c>
      <c r="R199" s="8">
        <f t="shared" si="50"/>
        <v>0.03</v>
      </c>
      <c r="S199" s="8">
        <f t="shared" si="50"/>
        <v>0.8</v>
      </c>
      <c r="T199" s="8">
        <f t="shared" si="50"/>
        <v>0.5</v>
      </c>
      <c r="U199" s="8" t="e">
        <f t="shared" si="50"/>
        <v>#REF!</v>
      </c>
      <c r="W199" s="8" t="e">
        <f t="shared" si="46"/>
        <v>#REF!</v>
      </c>
      <c r="Y199" t="e">
        <f t="shared" si="47"/>
        <v>#REF!</v>
      </c>
    </row>
    <row r="200" spans="6:25" x14ac:dyDescent="0.2">
      <c r="F200">
        <f t="shared" si="51"/>
        <v>985</v>
      </c>
      <c r="G200" t="e">
        <f>1.2*SQRT(2*F200/(airplane!#REF!*airplane!$B$13))-airplane!#REF!</f>
        <v>#REF!</v>
      </c>
      <c r="H200" t="e">
        <f t="shared" si="41"/>
        <v>#REF!</v>
      </c>
      <c r="K200">
        <f t="shared" si="42"/>
        <v>329.18700000000001</v>
      </c>
      <c r="L200" t="e">
        <f t="shared" si="43"/>
        <v>#REF!</v>
      </c>
      <c r="O200" s="8">
        <f t="shared" si="44"/>
        <v>20.574187500000001</v>
      </c>
      <c r="P200" s="8" t="e">
        <f t="shared" si="50"/>
        <v>#REF!</v>
      </c>
      <c r="Q200" s="8">
        <f t="shared" si="50"/>
        <v>5.2</v>
      </c>
      <c r="R200" s="8">
        <f t="shared" si="50"/>
        <v>0.03</v>
      </c>
      <c r="S200" s="8">
        <f t="shared" si="50"/>
        <v>0.8</v>
      </c>
      <c r="T200" s="8">
        <f t="shared" si="50"/>
        <v>0.5</v>
      </c>
      <c r="U200" s="8" t="e">
        <f t="shared" si="50"/>
        <v>#REF!</v>
      </c>
      <c r="W200" s="8" t="e">
        <f t="shared" si="46"/>
        <v>#REF!</v>
      </c>
      <c r="Y200" t="e">
        <f t="shared" si="47"/>
        <v>#REF!</v>
      </c>
    </row>
    <row r="201" spans="6:25" x14ac:dyDescent="0.2">
      <c r="F201">
        <f t="shared" si="51"/>
        <v>990</v>
      </c>
      <c r="G201" t="e">
        <f>1.2*SQRT(2*F201/(airplane!#REF!*airplane!$B$13))-airplane!#REF!</f>
        <v>#REF!</v>
      </c>
      <c r="H201" t="e">
        <f t="shared" si="41"/>
        <v>#REF!</v>
      </c>
      <c r="K201">
        <f t="shared" si="42"/>
        <v>330.858</v>
      </c>
      <c r="L201" t="e">
        <f t="shared" si="43"/>
        <v>#REF!</v>
      </c>
      <c r="O201" s="8">
        <f t="shared" si="44"/>
        <v>20.678625</v>
      </c>
      <c r="P201" s="8" t="e">
        <f t="shared" si="50"/>
        <v>#REF!</v>
      </c>
      <c r="Q201" s="8">
        <f t="shared" si="50"/>
        <v>5.2</v>
      </c>
      <c r="R201" s="8">
        <f t="shared" si="50"/>
        <v>0.03</v>
      </c>
      <c r="S201" s="8">
        <f t="shared" si="50"/>
        <v>0.8</v>
      </c>
      <c r="T201" s="8">
        <f t="shared" si="50"/>
        <v>0.5</v>
      </c>
      <c r="U201" s="8" t="e">
        <f t="shared" si="50"/>
        <v>#REF!</v>
      </c>
      <c r="W201" s="8" t="e">
        <f t="shared" si="46"/>
        <v>#REF!</v>
      </c>
      <c r="Y201" t="e">
        <f t="shared" si="47"/>
        <v>#REF!</v>
      </c>
    </row>
    <row r="202" spans="6:25" x14ac:dyDescent="0.2">
      <c r="F202">
        <f t="shared" si="51"/>
        <v>995</v>
      </c>
      <c r="G202" t="e">
        <f>1.2*SQRT(2*F202/(airplane!#REF!*airplane!$B$13))-airplane!#REF!</f>
        <v>#REF!</v>
      </c>
      <c r="H202" t="e">
        <f t="shared" si="41"/>
        <v>#REF!</v>
      </c>
      <c r="K202">
        <f t="shared" si="42"/>
        <v>332.529</v>
      </c>
      <c r="L202" t="e">
        <f t="shared" si="43"/>
        <v>#REF!</v>
      </c>
      <c r="O202" s="8">
        <f t="shared" si="44"/>
        <v>20.7830625</v>
      </c>
      <c r="P202" s="8" t="e">
        <f t="shared" si="50"/>
        <v>#REF!</v>
      </c>
      <c r="Q202" s="8">
        <f t="shared" si="50"/>
        <v>5.2</v>
      </c>
      <c r="R202" s="8">
        <f t="shared" si="50"/>
        <v>0.03</v>
      </c>
      <c r="S202" s="8">
        <f t="shared" si="50"/>
        <v>0.8</v>
      </c>
      <c r="T202" s="8">
        <f t="shared" si="50"/>
        <v>0.5</v>
      </c>
      <c r="U202" s="8" t="e">
        <f t="shared" si="50"/>
        <v>#REF!</v>
      </c>
      <c r="W202" s="8" t="e">
        <f t="shared" si="46"/>
        <v>#REF!</v>
      </c>
      <c r="Y202" t="e">
        <f t="shared" si="47"/>
        <v>#REF!</v>
      </c>
    </row>
    <row r="203" spans="6:25" x14ac:dyDescent="0.2">
      <c r="F203">
        <f t="shared" si="51"/>
        <v>1000</v>
      </c>
      <c r="G203" t="e">
        <f>1.2*SQRT(2*F203/(airplane!#REF!*airplane!$B$13))-airplane!#REF!</f>
        <v>#REF!</v>
      </c>
      <c r="H203" t="e">
        <f t="shared" si="41"/>
        <v>#REF!</v>
      </c>
      <c r="K203">
        <f t="shared" si="42"/>
        <v>334.2</v>
      </c>
      <c r="L203" t="e">
        <f t="shared" si="43"/>
        <v>#REF!</v>
      </c>
      <c r="O203" s="8">
        <f t="shared" si="44"/>
        <v>20.887499999999999</v>
      </c>
      <c r="P203" s="8" t="e">
        <f t="shared" si="50"/>
        <v>#REF!</v>
      </c>
      <c r="Q203" s="8">
        <f t="shared" si="50"/>
        <v>5.2</v>
      </c>
      <c r="R203" s="8">
        <f t="shared" si="50"/>
        <v>0.03</v>
      </c>
      <c r="S203" s="8">
        <f t="shared" si="50"/>
        <v>0.8</v>
      </c>
      <c r="T203" s="8">
        <f t="shared" si="50"/>
        <v>0.5</v>
      </c>
      <c r="U203" s="8" t="e">
        <f t="shared" si="50"/>
        <v>#REF!</v>
      </c>
      <c r="W203" s="8" t="e">
        <f t="shared" si="46"/>
        <v>#REF!</v>
      </c>
      <c r="Y203" t="e">
        <f t="shared" si="47"/>
        <v>#REF!</v>
      </c>
    </row>
    <row r="204" spans="6:25" x14ac:dyDescent="0.2">
      <c r="F204">
        <f t="shared" si="51"/>
        <v>1005</v>
      </c>
      <c r="G204" t="e">
        <f>1.2*SQRT(2*F204/(airplane!#REF!*airplane!$B$13))-airplane!#REF!</f>
        <v>#REF!</v>
      </c>
      <c r="H204" t="e">
        <f t="shared" si="41"/>
        <v>#REF!</v>
      </c>
      <c r="K204">
        <f t="shared" si="42"/>
        <v>335.87099999999998</v>
      </c>
      <c r="L204" t="e">
        <f t="shared" si="43"/>
        <v>#REF!</v>
      </c>
      <c r="O204" s="8">
        <f t="shared" si="44"/>
        <v>20.991937499999999</v>
      </c>
      <c r="P204" s="8" t="e">
        <f t="shared" si="50"/>
        <v>#REF!</v>
      </c>
      <c r="Q204" s="8">
        <f t="shared" si="50"/>
        <v>5.2</v>
      </c>
      <c r="R204" s="8">
        <f t="shared" si="50"/>
        <v>0.03</v>
      </c>
      <c r="S204" s="8">
        <f t="shared" si="50"/>
        <v>0.8</v>
      </c>
      <c r="T204" s="8">
        <f t="shared" si="50"/>
        <v>0.5</v>
      </c>
      <c r="U204" s="8" t="e">
        <f t="shared" si="50"/>
        <v>#REF!</v>
      </c>
      <c r="W204" s="8" t="e">
        <f t="shared" si="46"/>
        <v>#REF!</v>
      </c>
      <c r="Y204" t="e">
        <f t="shared" si="47"/>
        <v>#REF!</v>
      </c>
    </row>
    <row r="205" spans="6:25" x14ac:dyDescent="0.2">
      <c r="F205">
        <f t="shared" si="51"/>
        <v>1010</v>
      </c>
      <c r="G205" t="e">
        <f>1.2*SQRT(2*F205/(airplane!#REF!*airplane!$B$13))-airplane!#REF!</f>
        <v>#REF!</v>
      </c>
      <c r="H205" t="e">
        <f t="shared" si="41"/>
        <v>#REF!</v>
      </c>
      <c r="K205">
        <f t="shared" si="42"/>
        <v>337.54199999999997</v>
      </c>
      <c r="L205" t="e">
        <f t="shared" si="43"/>
        <v>#REF!</v>
      </c>
      <c r="O205" s="8">
        <f t="shared" si="44"/>
        <v>21.096374999999998</v>
      </c>
      <c r="P205" s="8" t="e">
        <f t="shared" si="50"/>
        <v>#REF!</v>
      </c>
      <c r="Q205" s="8">
        <f t="shared" si="50"/>
        <v>5.2</v>
      </c>
      <c r="R205" s="8">
        <f t="shared" si="50"/>
        <v>0.03</v>
      </c>
      <c r="S205" s="8">
        <f t="shared" si="50"/>
        <v>0.8</v>
      </c>
      <c r="T205" s="8">
        <f t="shared" si="50"/>
        <v>0.5</v>
      </c>
      <c r="U205" s="8" t="e">
        <f t="shared" si="50"/>
        <v>#REF!</v>
      </c>
      <c r="W205" s="8" t="e">
        <f t="shared" si="46"/>
        <v>#REF!</v>
      </c>
      <c r="Y205" t="e">
        <f t="shared" si="47"/>
        <v>#REF!</v>
      </c>
    </row>
    <row r="206" spans="6:25" x14ac:dyDescent="0.2">
      <c r="F206">
        <f t="shared" si="51"/>
        <v>1015</v>
      </c>
      <c r="G206" t="e">
        <f>1.2*SQRT(2*F206/(airplane!#REF!*airplane!$B$13))-airplane!#REF!</f>
        <v>#REF!</v>
      </c>
      <c r="H206" t="e">
        <f t="shared" si="41"/>
        <v>#REF!</v>
      </c>
      <c r="K206">
        <f t="shared" si="42"/>
        <v>339.21300000000002</v>
      </c>
      <c r="L206" t="e">
        <f t="shared" si="43"/>
        <v>#REF!</v>
      </c>
      <c r="O206" s="8">
        <f t="shared" si="44"/>
        <v>21.200812500000001</v>
      </c>
      <c r="P206" s="8" t="e">
        <f t="shared" si="50"/>
        <v>#REF!</v>
      </c>
      <c r="Q206" s="8">
        <f t="shared" si="50"/>
        <v>5.2</v>
      </c>
      <c r="R206" s="8">
        <f t="shared" si="50"/>
        <v>0.03</v>
      </c>
      <c r="S206" s="8">
        <f t="shared" si="50"/>
        <v>0.8</v>
      </c>
      <c r="T206" s="8">
        <f t="shared" si="50"/>
        <v>0.5</v>
      </c>
      <c r="U206" s="8" t="e">
        <f t="shared" si="50"/>
        <v>#REF!</v>
      </c>
      <c r="W206" s="8" t="e">
        <f t="shared" si="46"/>
        <v>#REF!</v>
      </c>
      <c r="Y206" t="e">
        <f t="shared" si="47"/>
        <v>#REF!</v>
      </c>
    </row>
    <row r="207" spans="6:25" x14ac:dyDescent="0.2">
      <c r="F207">
        <f t="shared" si="51"/>
        <v>1020</v>
      </c>
      <c r="G207" t="e">
        <f>1.2*SQRT(2*F207/(airplane!#REF!*airplane!$B$13))-airplane!#REF!</f>
        <v>#REF!</v>
      </c>
      <c r="H207" t="e">
        <f t="shared" ref="H207:H270" si="52">Y207</f>
        <v>#REF!</v>
      </c>
      <c r="K207">
        <f t="shared" ref="K207:K270" si="53">F207*0.3342</f>
        <v>340.88400000000001</v>
      </c>
      <c r="L207" t="e">
        <f t="shared" ref="L207:L270" si="54">H207*4.448</f>
        <v>#REF!</v>
      </c>
      <c r="O207" s="8">
        <f t="shared" ref="O207:O270" si="55">K207/16</f>
        <v>21.305250000000001</v>
      </c>
      <c r="P207" s="8" t="e">
        <f t="shared" ref="P207:U222" si="56">P206</f>
        <v>#REF!</v>
      </c>
      <c r="Q207" s="8">
        <f t="shared" si="56"/>
        <v>5.2</v>
      </c>
      <c r="R207" s="8">
        <f t="shared" si="56"/>
        <v>0.03</v>
      </c>
      <c r="S207" s="8">
        <f t="shared" si="56"/>
        <v>0.8</v>
      </c>
      <c r="T207" s="8">
        <f t="shared" si="56"/>
        <v>0.5</v>
      </c>
      <c r="U207" s="8" t="e">
        <f t="shared" si="56"/>
        <v>#REF!</v>
      </c>
      <c r="W207" s="8" t="e">
        <f t="shared" ref="W207:W270" si="57">149.048255755414 + -54.8076469211868 * TANH(0.5 * ((-1.90311837493387) + -2.90092544214518 * O207 + 2.39505098582308 * P207 + -0.0283389134105036 * Q207 + 5.19308047170936 * R207 + -0.0705176187957977 * S207 + -3.27116421887395 * T207 + 0.487399857872412 * U207)) + 33.0866673975606 * TANH(0.5 * ((-10.9668713929341) + 2.35524027768271 * O207 + 3.73791895311835 * P207 + 0.0550541094921953 * Q207 + 5.9452766643223 * R207 + -0.0800115435216866 * S207 + -0.0158182141911049 * T207 + 0.347472887456459 * U207)) + 28.3453260854724 * TANH(0.5 * (4.25176964573387 + -0.66460275837987 * O207 + 1.29537751335798 * P207 + -0.130256031902394 * Q207 + 31.2667602760926 * R207 + -1.24048544610401 * S207 + 0.0937927006240642 * T207 + -0.0566650624068167 * U207)) + 6.79870987971588 * TANH(0.5 * (10.0518228768354 + 5.50509550241032 * O207 + -3.83803539356733 * P207 + -0.465217054676259 * Q207 + -26.6617416441195 * R207 + 1.69864364271823 * S207 + 1.31308464511239 * T207 + -0.408787412840148 * U207)) + 34.8668869080431 * TANH(0.5 * (8.22077312844118 + 5.58131964160515 * O207 + -5.45167953353492 * P207 + 0.131357302073037 * Q207 + -3.02895908030327 * R207 + 0.620182457511558 * S207 + 0.516840709792139 * T207 + -0.426084796098354 * U207)) + -38.9742336884865 * TANH(0.5 * ((-6.63509223591402) + -3.81651288586513 * O207 + 3.96461447865925 * P207 + -0.0427755407034191 * Q207 + 1.12271394672456 * R207 + 0.0774782141523358 * S207 + -1.00839111713208 * T207 + 0.432613997233709 * U207)) + 94.7572230191964 * TANH(0.5 * (2.61370613563095 + 2.08158608465853 * O207 + -5.30494797629013 * P207 + -0.0107060857549542 * Q207 + -3.17349866436297 * R207 + 0.259803966881259 * S207 + 0.165932316676154 * T207 + -0.103542416733828 * U207)) + 19.6842352112259 * TANH(0.5 * ((-11.3180358678866) + -6.05406376734185 * O207 + 6.26161664490292 * P207 + -0.0149996825471037 * Q207 + 12.6493036152436 * R207 + -1.26783941440917 * S207 + -1.22533297933495 * T207 + 0.454263469706135 * U207)) + 33.3825353084738 * TANH(0.5 * (3.02832658290986 + -4.98369928277894 * O207 + -5.38839891768436 * P207 + 2.00089047251944 * Q207 + 518.862002410857 * R207 + 5.25176474025537 * S207 + -17.6499237483562 * T207 + 0.479515709156452 * U207)) + 8.33789006875588 * TANH(0.5 * (5.21393347551219 + -2.63059327387901 * O207 + 4.88843846109308 * P207 + -0.746655568511994 * Q207 + 25.471194142492 * R207 + -5.03554280328379 * S207 + 0.903364963978358 * T207 + -0.050418064604326 * U207))</f>
        <v>#REF!</v>
      </c>
      <c r="Y207" t="e">
        <f t="shared" ref="Y207:Y270" si="58">W207/4.448</f>
        <v>#REF!</v>
      </c>
    </row>
    <row r="208" spans="6:25" x14ac:dyDescent="0.2">
      <c r="F208">
        <f t="shared" si="51"/>
        <v>1025</v>
      </c>
      <c r="G208" t="e">
        <f>1.2*SQRT(2*F208/(airplane!#REF!*airplane!$B$13))-airplane!#REF!</f>
        <v>#REF!</v>
      </c>
      <c r="H208" t="e">
        <f t="shared" si="52"/>
        <v>#REF!</v>
      </c>
      <c r="K208">
        <f t="shared" si="53"/>
        <v>342.55500000000001</v>
      </c>
      <c r="L208" t="e">
        <f t="shared" si="54"/>
        <v>#REF!</v>
      </c>
      <c r="O208" s="8">
        <f t="shared" si="55"/>
        <v>21.4096875</v>
      </c>
      <c r="P208" s="8" t="e">
        <f t="shared" si="56"/>
        <v>#REF!</v>
      </c>
      <c r="Q208" s="8">
        <f t="shared" si="56"/>
        <v>5.2</v>
      </c>
      <c r="R208" s="8">
        <f t="shared" si="56"/>
        <v>0.03</v>
      </c>
      <c r="S208" s="8">
        <f t="shared" si="56"/>
        <v>0.8</v>
      </c>
      <c r="T208" s="8">
        <f t="shared" si="56"/>
        <v>0.5</v>
      </c>
      <c r="U208" s="8" t="e">
        <f t="shared" si="56"/>
        <v>#REF!</v>
      </c>
      <c r="W208" s="8" t="e">
        <f t="shared" si="57"/>
        <v>#REF!</v>
      </c>
      <c r="Y208" t="e">
        <f t="shared" si="58"/>
        <v>#REF!</v>
      </c>
    </row>
    <row r="209" spans="6:25" x14ac:dyDescent="0.2">
      <c r="F209">
        <f t="shared" si="51"/>
        <v>1030</v>
      </c>
      <c r="G209" t="e">
        <f>1.2*SQRT(2*F209/(airplane!#REF!*airplane!$B$13))-airplane!#REF!</f>
        <v>#REF!</v>
      </c>
      <c r="H209" t="e">
        <f t="shared" si="52"/>
        <v>#REF!</v>
      </c>
      <c r="K209">
        <f t="shared" si="53"/>
        <v>344.226</v>
      </c>
      <c r="L209" t="e">
        <f t="shared" si="54"/>
        <v>#REF!</v>
      </c>
      <c r="O209" s="8">
        <f t="shared" si="55"/>
        <v>21.514125</v>
      </c>
      <c r="P209" s="8" t="e">
        <f t="shared" si="56"/>
        <v>#REF!</v>
      </c>
      <c r="Q209" s="8">
        <f t="shared" si="56"/>
        <v>5.2</v>
      </c>
      <c r="R209" s="8">
        <f t="shared" si="56"/>
        <v>0.03</v>
      </c>
      <c r="S209" s="8">
        <f t="shared" si="56"/>
        <v>0.8</v>
      </c>
      <c r="T209" s="8">
        <f t="shared" si="56"/>
        <v>0.5</v>
      </c>
      <c r="U209" s="8" t="e">
        <f t="shared" si="56"/>
        <v>#REF!</v>
      </c>
      <c r="W209" s="8" t="e">
        <f t="shared" si="57"/>
        <v>#REF!</v>
      </c>
      <c r="Y209" t="e">
        <f t="shared" si="58"/>
        <v>#REF!</v>
      </c>
    </row>
    <row r="210" spans="6:25" x14ac:dyDescent="0.2">
      <c r="F210">
        <f t="shared" si="51"/>
        <v>1035</v>
      </c>
      <c r="G210" t="e">
        <f>1.2*SQRT(2*F210/(airplane!#REF!*airplane!$B$13))-airplane!#REF!</f>
        <v>#REF!</v>
      </c>
      <c r="H210" t="e">
        <f t="shared" si="52"/>
        <v>#REF!</v>
      </c>
      <c r="K210">
        <f t="shared" si="53"/>
        <v>345.89699999999999</v>
      </c>
      <c r="L210" t="e">
        <f t="shared" si="54"/>
        <v>#REF!</v>
      </c>
      <c r="O210" s="8">
        <f t="shared" si="55"/>
        <v>21.618562499999999</v>
      </c>
      <c r="P210" s="8" t="e">
        <f t="shared" si="56"/>
        <v>#REF!</v>
      </c>
      <c r="Q210" s="8">
        <f t="shared" si="56"/>
        <v>5.2</v>
      </c>
      <c r="R210" s="8">
        <f t="shared" si="56"/>
        <v>0.03</v>
      </c>
      <c r="S210" s="8">
        <f t="shared" si="56"/>
        <v>0.8</v>
      </c>
      <c r="T210" s="8">
        <f t="shared" si="56"/>
        <v>0.5</v>
      </c>
      <c r="U210" s="8" t="e">
        <f t="shared" si="56"/>
        <v>#REF!</v>
      </c>
      <c r="W210" s="8" t="e">
        <f t="shared" si="57"/>
        <v>#REF!</v>
      </c>
      <c r="Y210" t="e">
        <f t="shared" si="58"/>
        <v>#REF!</v>
      </c>
    </row>
    <row r="211" spans="6:25" x14ac:dyDescent="0.2">
      <c r="F211">
        <f t="shared" si="51"/>
        <v>1040</v>
      </c>
      <c r="G211" t="e">
        <f>1.2*SQRT(2*F211/(airplane!#REF!*airplane!$B$13))-airplane!#REF!</f>
        <v>#REF!</v>
      </c>
      <c r="H211" t="e">
        <f t="shared" si="52"/>
        <v>#REF!</v>
      </c>
      <c r="K211">
        <f t="shared" si="53"/>
        <v>347.56799999999998</v>
      </c>
      <c r="L211" t="e">
        <f t="shared" si="54"/>
        <v>#REF!</v>
      </c>
      <c r="O211" s="8">
        <f t="shared" si="55"/>
        <v>21.722999999999999</v>
      </c>
      <c r="P211" s="8" t="e">
        <f t="shared" si="56"/>
        <v>#REF!</v>
      </c>
      <c r="Q211" s="8">
        <f t="shared" si="56"/>
        <v>5.2</v>
      </c>
      <c r="R211" s="8">
        <f t="shared" si="56"/>
        <v>0.03</v>
      </c>
      <c r="S211" s="8">
        <f t="shared" si="56"/>
        <v>0.8</v>
      </c>
      <c r="T211" s="8">
        <f t="shared" si="56"/>
        <v>0.5</v>
      </c>
      <c r="U211" s="8" t="e">
        <f t="shared" si="56"/>
        <v>#REF!</v>
      </c>
      <c r="W211" s="8" t="e">
        <f t="shared" si="57"/>
        <v>#REF!</v>
      </c>
      <c r="Y211" t="e">
        <f t="shared" si="58"/>
        <v>#REF!</v>
      </c>
    </row>
    <row r="212" spans="6:25" x14ac:dyDescent="0.2">
      <c r="F212">
        <f t="shared" si="51"/>
        <v>1045</v>
      </c>
      <c r="G212" t="e">
        <f>1.2*SQRT(2*F212/(airplane!#REF!*airplane!$B$13))-airplane!#REF!</f>
        <v>#REF!</v>
      </c>
      <c r="H212" t="e">
        <f t="shared" si="52"/>
        <v>#REF!</v>
      </c>
      <c r="K212">
        <f t="shared" si="53"/>
        <v>349.23899999999998</v>
      </c>
      <c r="L212" t="e">
        <f t="shared" si="54"/>
        <v>#REF!</v>
      </c>
      <c r="O212" s="8">
        <f t="shared" si="55"/>
        <v>21.827437499999998</v>
      </c>
      <c r="P212" s="8" t="e">
        <f t="shared" si="56"/>
        <v>#REF!</v>
      </c>
      <c r="Q212" s="8">
        <f t="shared" si="56"/>
        <v>5.2</v>
      </c>
      <c r="R212" s="8">
        <f t="shared" si="56"/>
        <v>0.03</v>
      </c>
      <c r="S212" s="8">
        <f t="shared" si="56"/>
        <v>0.8</v>
      </c>
      <c r="T212" s="8">
        <f t="shared" si="56"/>
        <v>0.5</v>
      </c>
      <c r="U212" s="8" t="e">
        <f t="shared" si="56"/>
        <v>#REF!</v>
      </c>
      <c r="W212" s="8" t="e">
        <f t="shared" si="57"/>
        <v>#REF!</v>
      </c>
      <c r="Y212" t="e">
        <f t="shared" si="58"/>
        <v>#REF!</v>
      </c>
    </row>
    <row r="213" spans="6:25" x14ac:dyDescent="0.2">
      <c r="F213">
        <f t="shared" si="51"/>
        <v>1050</v>
      </c>
      <c r="G213" t="e">
        <f>1.2*SQRT(2*F213/(airplane!#REF!*airplane!$B$13))-airplane!#REF!</f>
        <v>#REF!</v>
      </c>
      <c r="H213" t="e">
        <f t="shared" si="52"/>
        <v>#REF!</v>
      </c>
      <c r="K213">
        <f t="shared" si="53"/>
        <v>350.91</v>
      </c>
      <c r="L213" t="e">
        <f t="shared" si="54"/>
        <v>#REF!</v>
      </c>
      <c r="O213" s="8">
        <f t="shared" si="55"/>
        <v>21.931875000000002</v>
      </c>
      <c r="P213" s="8" t="e">
        <f t="shared" si="56"/>
        <v>#REF!</v>
      </c>
      <c r="Q213" s="8">
        <f t="shared" si="56"/>
        <v>5.2</v>
      </c>
      <c r="R213" s="8">
        <f t="shared" si="56"/>
        <v>0.03</v>
      </c>
      <c r="S213" s="8">
        <f t="shared" si="56"/>
        <v>0.8</v>
      </c>
      <c r="T213" s="8">
        <f t="shared" si="56"/>
        <v>0.5</v>
      </c>
      <c r="U213" s="8" t="e">
        <f t="shared" si="56"/>
        <v>#REF!</v>
      </c>
      <c r="W213" s="8" t="e">
        <f t="shared" si="57"/>
        <v>#REF!</v>
      </c>
      <c r="Y213" t="e">
        <f t="shared" si="58"/>
        <v>#REF!</v>
      </c>
    </row>
    <row r="214" spans="6:25" x14ac:dyDescent="0.2">
      <c r="F214">
        <f t="shared" si="51"/>
        <v>1055</v>
      </c>
      <c r="G214" t="e">
        <f>1.2*SQRT(2*F214/(airplane!#REF!*airplane!$B$13))-airplane!#REF!</f>
        <v>#REF!</v>
      </c>
      <c r="H214" t="e">
        <f t="shared" si="52"/>
        <v>#REF!</v>
      </c>
      <c r="K214">
        <f t="shared" si="53"/>
        <v>352.58100000000002</v>
      </c>
      <c r="L214" t="e">
        <f t="shared" si="54"/>
        <v>#REF!</v>
      </c>
      <c r="O214" s="8">
        <f t="shared" si="55"/>
        <v>22.036312500000001</v>
      </c>
      <c r="P214" s="8" t="e">
        <f t="shared" si="56"/>
        <v>#REF!</v>
      </c>
      <c r="Q214" s="8">
        <f t="shared" si="56"/>
        <v>5.2</v>
      </c>
      <c r="R214" s="8">
        <f t="shared" si="56"/>
        <v>0.03</v>
      </c>
      <c r="S214" s="8">
        <f t="shared" si="56"/>
        <v>0.8</v>
      </c>
      <c r="T214" s="8">
        <f t="shared" si="56"/>
        <v>0.5</v>
      </c>
      <c r="U214" s="8" t="e">
        <f t="shared" si="56"/>
        <v>#REF!</v>
      </c>
      <c r="W214" s="8" t="e">
        <f t="shared" si="57"/>
        <v>#REF!</v>
      </c>
      <c r="Y214" t="e">
        <f t="shared" si="58"/>
        <v>#REF!</v>
      </c>
    </row>
    <row r="215" spans="6:25" x14ac:dyDescent="0.2">
      <c r="F215">
        <f t="shared" si="51"/>
        <v>1060</v>
      </c>
      <c r="G215" t="e">
        <f>1.2*SQRT(2*F215/(airplane!#REF!*airplane!$B$13))-airplane!#REF!</f>
        <v>#REF!</v>
      </c>
      <c r="H215" t="e">
        <f t="shared" si="52"/>
        <v>#REF!</v>
      </c>
      <c r="K215">
        <f t="shared" si="53"/>
        <v>354.25200000000001</v>
      </c>
      <c r="L215" t="e">
        <f t="shared" si="54"/>
        <v>#REF!</v>
      </c>
      <c r="O215" s="8">
        <f t="shared" si="55"/>
        <v>22.140750000000001</v>
      </c>
      <c r="P215" s="8" t="e">
        <f t="shared" si="56"/>
        <v>#REF!</v>
      </c>
      <c r="Q215" s="8">
        <f t="shared" si="56"/>
        <v>5.2</v>
      </c>
      <c r="R215" s="8">
        <f t="shared" si="56"/>
        <v>0.03</v>
      </c>
      <c r="S215" s="8">
        <f t="shared" si="56"/>
        <v>0.8</v>
      </c>
      <c r="T215" s="8">
        <f t="shared" si="56"/>
        <v>0.5</v>
      </c>
      <c r="U215" s="8" t="e">
        <f t="shared" si="56"/>
        <v>#REF!</v>
      </c>
      <c r="W215" s="8" t="e">
        <f t="shared" si="57"/>
        <v>#REF!</v>
      </c>
      <c r="Y215" t="e">
        <f t="shared" si="58"/>
        <v>#REF!</v>
      </c>
    </row>
    <row r="216" spans="6:25" x14ac:dyDescent="0.2">
      <c r="F216">
        <f t="shared" si="51"/>
        <v>1065</v>
      </c>
      <c r="G216" t="e">
        <f>1.2*SQRT(2*F216/(airplane!#REF!*airplane!$B$13))-airplane!#REF!</f>
        <v>#REF!</v>
      </c>
      <c r="H216" t="e">
        <f t="shared" si="52"/>
        <v>#REF!</v>
      </c>
      <c r="K216">
        <f t="shared" si="53"/>
        <v>355.923</v>
      </c>
      <c r="L216" t="e">
        <f t="shared" si="54"/>
        <v>#REF!</v>
      </c>
      <c r="O216" s="8">
        <f t="shared" si="55"/>
        <v>22.2451875</v>
      </c>
      <c r="P216" s="8" t="e">
        <f t="shared" si="56"/>
        <v>#REF!</v>
      </c>
      <c r="Q216" s="8">
        <f t="shared" si="56"/>
        <v>5.2</v>
      </c>
      <c r="R216" s="8">
        <f t="shared" si="56"/>
        <v>0.03</v>
      </c>
      <c r="S216" s="8">
        <f t="shared" si="56"/>
        <v>0.8</v>
      </c>
      <c r="T216" s="8">
        <f t="shared" si="56"/>
        <v>0.5</v>
      </c>
      <c r="U216" s="8" t="e">
        <f t="shared" si="56"/>
        <v>#REF!</v>
      </c>
      <c r="W216" s="8" t="e">
        <f t="shared" si="57"/>
        <v>#REF!</v>
      </c>
      <c r="Y216" t="e">
        <f t="shared" si="58"/>
        <v>#REF!</v>
      </c>
    </row>
    <row r="217" spans="6:25" x14ac:dyDescent="0.2">
      <c r="F217">
        <f t="shared" si="51"/>
        <v>1070</v>
      </c>
      <c r="G217" t="e">
        <f>1.2*SQRT(2*F217/(airplane!#REF!*airplane!$B$13))-airplane!#REF!</f>
        <v>#REF!</v>
      </c>
      <c r="H217" t="e">
        <f t="shared" si="52"/>
        <v>#REF!</v>
      </c>
      <c r="K217">
        <f t="shared" si="53"/>
        <v>357.59399999999999</v>
      </c>
      <c r="L217" t="e">
        <f t="shared" si="54"/>
        <v>#REF!</v>
      </c>
      <c r="O217" s="8">
        <f t="shared" si="55"/>
        <v>22.349625</v>
      </c>
      <c r="P217" s="8" t="e">
        <f t="shared" si="56"/>
        <v>#REF!</v>
      </c>
      <c r="Q217" s="8">
        <f t="shared" si="56"/>
        <v>5.2</v>
      </c>
      <c r="R217" s="8">
        <f t="shared" si="56"/>
        <v>0.03</v>
      </c>
      <c r="S217" s="8">
        <f t="shared" si="56"/>
        <v>0.8</v>
      </c>
      <c r="T217" s="8">
        <f t="shared" si="56"/>
        <v>0.5</v>
      </c>
      <c r="U217" s="8" t="e">
        <f t="shared" si="56"/>
        <v>#REF!</v>
      </c>
      <c r="W217" s="8" t="e">
        <f t="shared" si="57"/>
        <v>#REF!</v>
      </c>
      <c r="Y217" t="e">
        <f t="shared" si="58"/>
        <v>#REF!</v>
      </c>
    </row>
    <row r="218" spans="6:25" x14ac:dyDescent="0.2">
      <c r="F218">
        <f t="shared" si="51"/>
        <v>1075</v>
      </c>
      <c r="G218" t="e">
        <f>1.2*SQRT(2*F218/(airplane!#REF!*airplane!$B$13))-airplane!#REF!</f>
        <v>#REF!</v>
      </c>
      <c r="H218" t="e">
        <f t="shared" si="52"/>
        <v>#REF!</v>
      </c>
      <c r="K218">
        <f t="shared" si="53"/>
        <v>359.26499999999999</v>
      </c>
      <c r="L218" t="e">
        <f t="shared" si="54"/>
        <v>#REF!</v>
      </c>
      <c r="O218" s="8">
        <f t="shared" si="55"/>
        <v>22.454062499999999</v>
      </c>
      <c r="P218" s="8" t="e">
        <f t="shared" si="56"/>
        <v>#REF!</v>
      </c>
      <c r="Q218" s="8">
        <f t="shared" si="56"/>
        <v>5.2</v>
      </c>
      <c r="R218" s="8">
        <f t="shared" si="56"/>
        <v>0.03</v>
      </c>
      <c r="S218" s="8">
        <f t="shared" si="56"/>
        <v>0.8</v>
      </c>
      <c r="T218" s="8">
        <f t="shared" si="56"/>
        <v>0.5</v>
      </c>
      <c r="U218" s="8" t="e">
        <f t="shared" si="56"/>
        <v>#REF!</v>
      </c>
      <c r="W218" s="8" t="e">
        <f t="shared" si="57"/>
        <v>#REF!</v>
      </c>
      <c r="Y218" t="e">
        <f t="shared" si="58"/>
        <v>#REF!</v>
      </c>
    </row>
    <row r="219" spans="6:25" x14ac:dyDescent="0.2">
      <c r="F219">
        <f t="shared" si="51"/>
        <v>1080</v>
      </c>
      <c r="G219" t="e">
        <f>1.2*SQRT(2*F219/(airplane!#REF!*airplane!$B$13))-airplane!#REF!</f>
        <v>#REF!</v>
      </c>
      <c r="H219" t="e">
        <f t="shared" si="52"/>
        <v>#REF!</v>
      </c>
      <c r="K219">
        <f t="shared" si="53"/>
        <v>360.93599999999998</v>
      </c>
      <c r="L219" t="e">
        <f t="shared" si="54"/>
        <v>#REF!</v>
      </c>
      <c r="O219" s="8">
        <f t="shared" si="55"/>
        <v>22.558499999999999</v>
      </c>
      <c r="P219" s="8" t="e">
        <f t="shared" si="56"/>
        <v>#REF!</v>
      </c>
      <c r="Q219" s="8">
        <f t="shared" si="56"/>
        <v>5.2</v>
      </c>
      <c r="R219" s="8">
        <f t="shared" si="56"/>
        <v>0.03</v>
      </c>
      <c r="S219" s="8">
        <f t="shared" si="56"/>
        <v>0.8</v>
      </c>
      <c r="T219" s="8">
        <f t="shared" si="56"/>
        <v>0.5</v>
      </c>
      <c r="U219" s="8" t="e">
        <f t="shared" si="56"/>
        <v>#REF!</v>
      </c>
      <c r="W219" s="8" t="e">
        <f t="shared" si="57"/>
        <v>#REF!</v>
      </c>
      <c r="Y219" t="e">
        <f t="shared" si="58"/>
        <v>#REF!</v>
      </c>
    </row>
    <row r="220" spans="6:25" x14ac:dyDescent="0.2">
      <c r="F220">
        <f t="shared" si="51"/>
        <v>1085</v>
      </c>
      <c r="G220" t="e">
        <f>1.2*SQRT(2*F220/(airplane!#REF!*airplane!$B$13))-airplane!#REF!</f>
        <v>#REF!</v>
      </c>
      <c r="H220" t="e">
        <f t="shared" si="52"/>
        <v>#REF!</v>
      </c>
      <c r="K220">
        <f t="shared" si="53"/>
        <v>362.60699999999997</v>
      </c>
      <c r="L220" t="e">
        <f t="shared" si="54"/>
        <v>#REF!</v>
      </c>
      <c r="O220" s="8">
        <f t="shared" si="55"/>
        <v>22.662937499999998</v>
      </c>
      <c r="P220" s="8" t="e">
        <f t="shared" si="56"/>
        <v>#REF!</v>
      </c>
      <c r="Q220" s="8">
        <f t="shared" si="56"/>
        <v>5.2</v>
      </c>
      <c r="R220" s="8">
        <f t="shared" si="56"/>
        <v>0.03</v>
      </c>
      <c r="S220" s="8">
        <f t="shared" si="56"/>
        <v>0.8</v>
      </c>
      <c r="T220" s="8">
        <f t="shared" si="56"/>
        <v>0.5</v>
      </c>
      <c r="U220" s="8" t="e">
        <f t="shared" si="56"/>
        <v>#REF!</v>
      </c>
      <c r="W220" s="8" t="e">
        <f t="shared" si="57"/>
        <v>#REF!</v>
      </c>
      <c r="Y220" t="e">
        <f t="shared" si="58"/>
        <v>#REF!</v>
      </c>
    </row>
    <row r="221" spans="6:25" x14ac:dyDescent="0.2">
      <c r="F221">
        <f t="shared" si="51"/>
        <v>1090</v>
      </c>
      <c r="G221" t="e">
        <f>1.2*SQRT(2*F221/(airplane!#REF!*airplane!$B$13))-airplane!#REF!</f>
        <v>#REF!</v>
      </c>
      <c r="H221" t="e">
        <f t="shared" si="52"/>
        <v>#REF!</v>
      </c>
      <c r="K221">
        <f t="shared" si="53"/>
        <v>364.27800000000002</v>
      </c>
      <c r="L221" t="e">
        <f t="shared" si="54"/>
        <v>#REF!</v>
      </c>
      <c r="O221" s="8">
        <f t="shared" si="55"/>
        <v>22.767375000000001</v>
      </c>
      <c r="P221" s="8" t="e">
        <f t="shared" si="56"/>
        <v>#REF!</v>
      </c>
      <c r="Q221" s="8">
        <f t="shared" si="56"/>
        <v>5.2</v>
      </c>
      <c r="R221" s="8">
        <f t="shared" si="56"/>
        <v>0.03</v>
      </c>
      <c r="S221" s="8">
        <f t="shared" si="56"/>
        <v>0.8</v>
      </c>
      <c r="T221" s="8">
        <f t="shared" si="56"/>
        <v>0.5</v>
      </c>
      <c r="U221" s="8" t="e">
        <f t="shared" si="56"/>
        <v>#REF!</v>
      </c>
      <c r="W221" s="8" t="e">
        <f t="shared" si="57"/>
        <v>#REF!</v>
      </c>
      <c r="Y221" t="e">
        <f t="shared" si="58"/>
        <v>#REF!</v>
      </c>
    </row>
    <row r="222" spans="6:25" x14ac:dyDescent="0.2">
      <c r="F222">
        <f t="shared" si="51"/>
        <v>1095</v>
      </c>
      <c r="G222" t="e">
        <f>1.2*SQRT(2*F222/(airplane!#REF!*airplane!$B$13))-airplane!#REF!</f>
        <v>#REF!</v>
      </c>
      <c r="H222" t="e">
        <f t="shared" si="52"/>
        <v>#REF!</v>
      </c>
      <c r="K222">
        <f t="shared" si="53"/>
        <v>365.94900000000001</v>
      </c>
      <c r="L222" t="e">
        <f t="shared" si="54"/>
        <v>#REF!</v>
      </c>
      <c r="O222" s="8">
        <f t="shared" si="55"/>
        <v>22.871812500000001</v>
      </c>
      <c r="P222" s="8" t="e">
        <f t="shared" si="56"/>
        <v>#REF!</v>
      </c>
      <c r="Q222" s="8">
        <f t="shared" si="56"/>
        <v>5.2</v>
      </c>
      <c r="R222" s="8">
        <f t="shared" si="56"/>
        <v>0.03</v>
      </c>
      <c r="S222" s="8">
        <f t="shared" si="56"/>
        <v>0.8</v>
      </c>
      <c r="T222" s="8">
        <f t="shared" si="56"/>
        <v>0.5</v>
      </c>
      <c r="U222" s="8" t="e">
        <f t="shared" si="56"/>
        <v>#REF!</v>
      </c>
      <c r="W222" s="8" t="e">
        <f t="shared" si="57"/>
        <v>#REF!</v>
      </c>
      <c r="Y222" t="e">
        <f t="shared" si="58"/>
        <v>#REF!</v>
      </c>
    </row>
    <row r="223" spans="6:25" x14ac:dyDescent="0.2">
      <c r="F223">
        <f t="shared" si="51"/>
        <v>1100</v>
      </c>
      <c r="G223" t="e">
        <f>1.2*SQRT(2*F223/(airplane!#REF!*airplane!$B$13))-airplane!#REF!</f>
        <v>#REF!</v>
      </c>
      <c r="H223" t="e">
        <f t="shared" si="52"/>
        <v>#REF!</v>
      </c>
      <c r="K223">
        <f t="shared" si="53"/>
        <v>367.62</v>
      </c>
      <c r="L223" t="e">
        <f t="shared" si="54"/>
        <v>#REF!</v>
      </c>
      <c r="O223" s="8">
        <f t="shared" si="55"/>
        <v>22.97625</v>
      </c>
      <c r="P223" s="8" t="e">
        <f t="shared" ref="P223:U238" si="59">P222</f>
        <v>#REF!</v>
      </c>
      <c r="Q223" s="8">
        <f t="shared" si="59"/>
        <v>5.2</v>
      </c>
      <c r="R223" s="8">
        <f t="shared" si="59"/>
        <v>0.03</v>
      </c>
      <c r="S223" s="8">
        <f t="shared" si="59"/>
        <v>0.8</v>
      </c>
      <c r="T223" s="8">
        <f t="shared" si="59"/>
        <v>0.5</v>
      </c>
      <c r="U223" s="8" t="e">
        <f t="shared" si="59"/>
        <v>#REF!</v>
      </c>
      <c r="W223" s="8" t="e">
        <f t="shared" si="57"/>
        <v>#REF!</v>
      </c>
      <c r="Y223" t="e">
        <f t="shared" si="58"/>
        <v>#REF!</v>
      </c>
    </row>
    <row r="224" spans="6:25" x14ac:dyDescent="0.2">
      <c r="F224">
        <f t="shared" si="51"/>
        <v>1105</v>
      </c>
      <c r="G224" t="e">
        <f>1.2*SQRT(2*F224/(airplane!#REF!*airplane!$B$13))-airplane!#REF!</f>
        <v>#REF!</v>
      </c>
      <c r="H224" t="e">
        <f t="shared" si="52"/>
        <v>#REF!</v>
      </c>
      <c r="K224">
        <f t="shared" si="53"/>
        <v>369.291</v>
      </c>
      <c r="L224" t="e">
        <f t="shared" si="54"/>
        <v>#REF!</v>
      </c>
      <c r="O224" s="8">
        <f t="shared" si="55"/>
        <v>23.0806875</v>
      </c>
      <c r="P224" s="8" t="e">
        <f t="shared" si="59"/>
        <v>#REF!</v>
      </c>
      <c r="Q224" s="8">
        <f t="shared" si="59"/>
        <v>5.2</v>
      </c>
      <c r="R224" s="8">
        <f t="shared" si="59"/>
        <v>0.03</v>
      </c>
      <c r="S224" s="8">
        <f t="shared" si="59"/>
        <v>0.8</v>
      </c>
      <c r="T224" s="8">
        <f t="shared" si="59"/>
        <v>0.5</v>
      </c>
      <c r="U224" s="8" t="e">
        <f t="shared" si="59"/>
        <v>#REF!</v>
      </c>
      <c r="W224" s="8" t="e">
        <f t="shared" si="57"/>
        <v>#REF!</v>
      </c>
      <c r="Y224" t="e">
        <f t="shared" si="58"/>
        <v>#REF!</v>
      </c>
    </row>
    <row r="225" spans="6:25" x14ac:dyDescent="0.2">
      <c r="F225">
        <f t="shared" si="51"/>
        <v>1110</v>
      </c>
      <c r="G225" t="e">
        <f>1.2*SQRT(2*F225/(airplane!#REF!*airplane!$B$13))-airplane!#REF!</f>
        <v>#REF!</v>
      </c>
      <c r="H225" t="e">
        <f t="shared" si="52"/>
        <v>#REF!</v>
      </c>
      <c r="K225">
        <f t="shared" si="53"/>
        <v>370.96199999999999</v>
      </c>
      <c r="L225" t="e">
        <f t="shared" si="54"/>
        <v>#REF!</v>
      </c>
      <c r="O225" s="8">
        <f t="shared" si="55"/>
        <v>23.185124999999999</v>
      </c>
      <c r="P225" s="8" t="e">
        <f t="shared" si="59"/>
        <v>#REF!</v>
      </c>
      <c r="Q225" s="8">
        <f t="shared" si="59"/>
        <v>5.2</v>
      </c>
      <c r="R225" s="8">
        <f t="shared" si="59"/>
        <v>0.03</v>
      </c>
      <c r="S225" s="8">
        <f t="shared" si="59"/>
        <v>0.8</v>
      </c>
      <c r="T225" s="8">
        <f t="shared" si="59"/>
        <v>0.5</v>
      </c>
      <c r="U225" s="8" t="e">
        <f t="shared" si="59"/>
        <v>#REF!</v>
      </c>
      <c r="W225" s="8" t="e">
        <f t="shared" si="57"/>
        <v>#REF!</v>
      </c>
      <c r="Y225" t="e">
        <f t="shared" si="58"/>
        <v>#REF!</v>
      </c>
    </row>
    <row r="226" spans="6:25" x14ac:dyDescent="0.2">
      <c r="F226">
        <f t="shared" si="51"/>
        <v>1115</v>
      </c>
      <c r="G226" t="e">
        <f>1.2*SQRT(2*F226/(airplane!#REF!*airplane!$B$13))-airplane!#REF!</f>
        <v>#REF!</v>
      </c>
      <c r="H226" t="e">
        <f t="shared" si="52"/>
        <v>#REF!</v>
      </c>
      <c r="K226">
        <f t="shared" si="53"/>
        <v>372.63299999999998</v>
      </c>
      <c r="L226" t="e">
        <f t="shared" si="54"/>
        <v>#REF!</v>
      </c>
      <c r="O226" s="8">
        <f t="shared" si="55"/>
        <v>23.289562499999999</v>
      </c>
      <c r="P226" s="8" t="e">
        <f t="shared" si="59"/>
        <v>#REF!</v>
      </c>
      <c r="Q226" s="8">
        <f t="shared" si="59"/>
        <v>5.2</v>
      </c>
      <c r="R226" s="8">
        <f t="shared" si="59"/>
        <v>0.03</v>
      </c>
      <c r="S226" s="8">
        <f t="shared" si="59"/>
        <v>0.8</v>
      </c>
      <c r="T226" s="8">
        <f t="shared" si="59"/>
        <v>0.5</v>
      </c>
      <c r="U226" s="8" t="e">
        <f t="shared" si="59"/>
        <v>#REF!</v>
      </c>
      <c r="W226" s="8" t="e">
        <f t="shared" si="57"/>
        <v>#REF!</v>
      </c>
      <c r="Y226" t="e">
        <f t="shared" si="58"/>
        <v>#REF!</v>
      </c>
    </row>
    <row r="227" spans="6:25" x14ac:dyDescent="0.2">
      <c r="F227">
        <f t="shared" si="51"/>
        <v>1120</v>
      </c>
      <c r="G227" t="e">
        <f>1.2*SQRT(2*F227/(airplane!#REF!*airplane!$B$13))-airplane!#REF!</f>
        <v>#REF!</v>
      </c>
      <c r="H227" t="e">
        <f t="shared" si="52"/>
        <v>#REF!</v>
      </c>
      <c r="K227">
        <f t="shared" si="53"/>
        <v>374.30399999999997</v>
      </c>
      <c r="L227" t="e">
        <f t="shared" si="54"/>
        <v>#REF!</v>
      </c>
      <c r="O227" s="8">
        <f t="shared" si="55"/>
        <v>23.393999999999998</v>
      </c>
      <c r="P227" s="8" t="e">
        <f t="shared" si="59"/>
        <v>#REF!</v>
      </c>
      <c r="Q227" s="8">
        <f t="shared" si="59"/>
        <v>5.2</v>
      </c>
      <c r="R227" s="8">
        <f t="shared" si="59"/>
        <v>0.03</v>
      </c>
      <c r="S227" s="8">
        <f t="shared" si="59"/>
        <v>0.8</v>
      </c>
      <c r="T227" s="8">
        <f t="shared" si="59"/>
        <v>0.5</v>
      </c>
      <c r="U227" s="8" t="e">
        <f t="shared" si="59"/>
        <v>#REF!</v>
      </c>
      <c r="W227" s="8" t="e">
        <f t="shared" si="57"/>
        <v>#REF!</v>
      </c>
      <c r="Y227" t="e">
        <f t="shared" si="58"/>
        <v>#REF!</v>
      </c>
    </row>
    <row r="228" spans="6:25" x14ac:dyDescent="0.2">
      <c r="F228">
        <f t="shared" si="51"/>
        <v>1125</v>
      </c>
      <c r="G228" t="e">
        <f>1.2*SQRT(2*F228/(airplane!#REF!*airplane!$B$13))-airplane!#REF!</f>
        <v>#REF!</v>
      </c>
      <c r="H228" t="e">
        <f t="shared" si="52"/>
        <v>#REF!</v>
      </c>
      <c r="K228">
        <f t="shared" si="53"/>
        <v>375.97500000000002</v>
      </c>
      <c r="L228" t="e">
        <f t="shared" si="54"/>
        <v>#REF!</v>
      </c>
      <c r="O228" s="8">
        <f t="shared" si="55"/>
        <v>23.498437500000001</v>
      </c>
      <c r="P228" s="8" t="e">
        <f t="shared" si="59"/>
        <v>#REF!</v>
      </c>
      <c r="Q228" s="8">
        <f t="shared" si="59"/>
        <v>5.2</v>
      </c>
      <c r="R228" s="8">
        <f t="shared" si="59"/>
        <v>0.03</v>
      </c>
      <c r="S228" s="8">
        <f t="shared" si="59"/>
        <v>0.8</v>
      </c>
      <c r="T228" s="8">
        <f t="shared" si="59"/>
        <v>0.5</v>
      </c>
      <c r="U228" s="8" t="e">
        <f t="shared" si="59"/>
        <v>#REF!</v>
      </c>
      <c r="W228" s="8" t="e">
        <f t="shared" si="57"/>
        <v>#REF!</v>
      </c>
      <c r="Y228" t="e">
        <f t="shared" si="58"/>
        <v>#REF!</v>
      </c>
    </row>
    <row r="229" spans="6:25" x14ac:dyDescent="0.2">
      <c r="F229">
        <f t="shared" si="51"/>
        <v>1130</v>
      </c>
      <c r="G229" t="e">
        <f>1.2*SQRT(2*F229/(airplane!#REF!*airplane!$B$13))-airplane!#REF!</f>
        <v>#REF!</v>
      </c>
      <c r="H229" t="e">
        <f t="shared" si="52"/>
        <v>#REF!</v>
      </c>
      <c r="K229">
        <f t="shared" si="53"/>
        <v>377.64600000000002</v>
      </c>
      <c r="L229" t="e">
        <f t="shared" si="54"/>
        <v>#REF!</v>
      </c>
      <c r="O229" s="8">
        <f t="shared" si="55"/>
        <v>23.602875000000001</v>
      </c>
      <c r="P229" s="8" t="e">
        <f t="shared" si="59"/>
        <v>#REF!</v>
      </c>
      <c r="Q229" s="8">
        <f t="shared" si="59"/>
        <v>5.2</v>
      </c>
      <c r="R229" s="8">
        <f t="shared" si="59"/>
        <v>0.03</v>
      </c>
      <c r="S229" s="8">
        <f t="shared" si="59"/>
        <v>0.8</v>
      </c>
      <c r="T229" s="8">
        <f t="shared" si="59"/>
        <v>0.5</v>
      </c>
      <c r="U229" s="8" t="e">
        <f t="shared" si="59"/>
        <v>#REF!</v>
      </c>
      <c r="W229" s="8" t="e">
        <f t="shared" si="57"/>
        <v>#REF!</v>
      </c>
      <c r="Y229" t="e">
        <f t="shared" si="58"/>
        <v>#REF!</v>
      </c>
    </row>
    <row r="230" spans="6:25" x14ac:dyDescent="0.2">
      <c r="F230">
        <f t="shared" si="51"/>
        <v>1135</v>
      </c>
      <c r="G230" t="e">
        <f>1.2*SQRT(2*F230/(airplane!#REF!*airplane!$B$13))-airplane!#REF!</f>
        <v>#REF!</v>
      </c>
      <c r="H230" t="e">
        <f t="shared" si="52"/>
        <v>#REF!</v>
      </c>
      <c r="K230">
        <f t="shared" si="53"/>
        <v>379.31700000000001</v>
      </c>
      <c r="L230" t="e">
        <f t="shared" si="54"/>
        <v>#REF!</v>
      </c>
      <c r="O230" s="8">
        <f t="shared" si="55"/>
        <v>23.7073125</v>
      </c>
      <c r="P230" s="8" t="e">
        <f t="shared" si="59"/>
        <v>#REF!</v>
      </c>
      <c r="Q230" s="8">
        <f t="shared" si="59"/>
        <v>5.2</v>
      </c>
      <c r="R230" s="8">
        <f t="shared" si="59"/>
        <v>0.03</v>
      </c>
      <c r="S230" s="8">
        <f t="shared" si="59"/>
        <v>0.8</v>
      </c>
      <c r="T230" s="8">
        <f t="shared" si="59"/>
        <v>0.5</v>
      </c>
      <c r="U230" s="8" t="e">
        <f t="shared" si="59"/>
        <v>#REF!</v>
      </c>
      <c r="W230" s="8" t="e">
        <f t="shared" si="57"/>
        <v>#REF!</v>
      </c>
      <c r="Y230" t="e">
        <f t="shared" si="58"/>
        <v>#REF!</v>
      </c>
    </row>
    <row r="231" spans="6:25" x14ac:dyDescent="0.2">
      <c r="F231">
        <f t="shared" si="51"/>
        <v>1140</v>
      </c>
      <c r="G231" t="e">
        <f>1.2*SQRT(2*F231/(airplane!#REF!*airplane!$B$13))-airplane!#REF!</f>
        <v>#REF!</v>
      </c>
      <c r="H231" t="e">
        <f t="shared" si="52"/>
        <v>#REF!</v>
      </c>
      <c r="K231">
        <f t="shared" si="53"/>
        <v>380.988</v>
      </c>
      <c r="L231" t="e">
        <f t="shared" si="54"/>
        <v>#REF!</v>
      </c>
      <c r="O231" s="8">
        <f t="shared" si="55"/>
        <v>23.81175</v>
      </c>
      <c r="P231" s="8" t="e">
        <f t="shared" si="59"/>
        <v>#REF!</v>
      </c>
      <c r="Q231" s="8">
        <f t="shared" si="59"/>
        <v>5.2</v>
      </c>
      <c r="R231" s="8">
        <f t="shared" si="59"/>
        <v>0.03</v>
      </c>
      <c r="S231" s="8">
        <f t="shared" si="59"/>
        <v>0.8</v>
      </c>
      <c r="T231" s="8">
        <f t="shared" si="59"/>
        <v>0.5</v>
      </c>
      <c r="U231" s="8" t="e">
        <f t="shared" si="59"/>
        <v>#REF!</v>
      </c>
      <c r="W231" s="8" t="e">
        <f t="shared" si="57"/>
        <v>#REF!</v>
      </c>
      <c r="Y231" t="e">
        <f t="shared" si="58"/>
        <v>#REF!</v>
      </c>
    </row>
    <row r="232" spans="6:25" x14ac:dyDescent="0.2">
      <c r="F232">
        <f t="shared" si="51"/>
        <v>1145</v>
      </c>
      <c r="G232" t="e">
        <f>1.2*SQRT(2*F232/(airplane!#REF!*airplane!$B$13))-airplane!#REF!</f>
        <v>#REF!</v>
      </c>
      <c r="H232" t="e">
        <f t="shared" si="52"/>
        <v>#REF!</v>
      </c>
      <c r="K232">
        <f t="shared" si="53"/>
        <v>382.65899999999999</v>
      </c>
      <c r="L232" t="e">
        <f t="shared" si="54"/>
        <v>#REF!</v>
      </c>
      <c r="O232" s="8">
        <f t="shared" si="55"/>
        <v>23.916187499999999</v>
      </c>
      <c r="P232" s="8" t="e">
        <f t="shared" si="59"/>
        <v>#REF!</v>
      </c>
      <c r="Q232" s="8">
        <f t="shared" si="59"/>
        <v>5.2</v>
      </c>
      <c r="R232" s="8">
        <f t="shared" si="59"/>
        <v>0.03</v>
      </c>
      <c r="S232" s="8">
        <f t="shared" si="59"/>
        <v>0.8</v>
      </c>
      <c r="T232" s="8">
        <f t="shared" si="59"/>
        <v>0.5</v>
      </c>
      <c r="U232" s="8" t="e">
        <f t="shared" si="59"/>
        <v>#REF!</v>
      </c>
      <c r="W232" s="8" t="e">
        <f t="shared" si="57"/>
        <v>#REF!</v>
      </c>
      <c r="Y232" t="e">
        <f t="shared" si="58"/>
        <v>#REF!</v>
      </c>
    </row>
    <row r="233" spans="6:25" x14ac:dyDescent="0.2">
      <c r="F233">
        <f t="shared" si="51"/>
        <v>1150</v>
      </c>
      <c r="G233" t="e">
        <f>1.2*SQRT(2*F233/(airplane!#REF!*airplane!$B$13))-airplane!#REF!</f>
        <v>#REF!</v>
      </c>
      <c r="H233" t="e">
        <f t="shared" si="52"/>
        <v>#REF!</v>
      </c>
      <c r="K233">
        <f t="shared" si="53"/>
        <v>384.33</v>
      </c>
      <c r="L233" t="e">
        <f t="shared" si="54"/>
        <v>#REF!</v>
      </c>
      <c r="O233" s="8">
        <f t="shared" si="55"/>
        <v>24.020624999999999</v>
      </c>
      <c r="P233" s="8" t="e">
        <f t="shared" si="59"/>
        <v>#REF!</v>
      </c>
      <c r="Q233" s="8">
        <f t="shared" si="59"/>
        <v>5.2</v>
      </c>
      <c r="R233" s="8">
        <f t="shared" si="59"/>
        <v>0.03</v>
      </c>
      <c r="S233" s="8">
        <f t="shared" si="59"/>
        <v>0.8</v>
      </c>
      <c r="T233" s="8">
        <f t="shared" si="59"/>
        <v>0.5</v>
      </c>
      <c r="U233" s="8" t="e">
        <f t="shared" si="59"/>
        <v>#REF!</v>
      </c>
      <c r="W233" s="8" t="e">
        <f t="shared" si="57"/>
        <v>#REF!</v>
      </c>
      <c r="Y233" t="e">
        <f t="shared" si="58"/>
        <v>#REF!</v>
      </c>
    </row>
    <row r="234" spans="6:25" x14ac:dyDescent="0.2">
      <c r="F234">
        <f t="shared" si="51"/>
        <v>1155</v>
      </c>
      <c r="G234" t="e">
        <f>1.2*SQRT(2*F234/(airplane!#REF!*airplane!$B$13))-airplane!#REF!</f>
        <v>#REF!</v>
      </c>
      <c r="H234" t="e">
        <f t="shared" si="52"/>
        <v>#REF!</v>
      </c>
      <c r="K234">
        <f t="shared" si="53"/>
        <v>386.00099999999998</v>
      </c>
      <c r="L234" t="e">
        <f t="shared" si="54"/>
        <v>#REF!</v>
      </c>
      <c r="O234" s="8">
        <f t="shared" si="55"/>
        <v>24.125062499999999</v>
      </c>
      <c r="P234" s="8" t="e">
        <f t="shared" si="59"/>
        <v>#REF!</v>
      </c>
      <c r="Q234" s="8">
        <f t="shared" si="59"/>
        <v>5.2</v>
      </c>
      <c r="R234" s="8">
        <f t="shared" si="59"/>
        <v>0.03</v>
      </c>
      <c r="S234" s="8">
        <f t="shared" si="59"/>
        <v>0.8</v>
      </c>
      <c r="T234" s="8">
        <f t="shared" si="59"/>
        <v>0.5</v>
      </c>
      <c r="U234" s="8" t="e">
        <f t="shared" si="59"/>
        <v>#REF!</v>
      </c>
      <c r="W234" s="8" t="e">
        <f t="shared" si="57"/>
        <v>#REF!</v>
      </c>
      <c r="Y234" t="e">
        <f t="shared" si="58"/>
        <v>#REF!</v>
      </c>
    </row>
    <row r="235" spans="6:25" x14ac:dyDescent="0.2">
      <c r="F235">
        <f t="shared" si="51"/>
        <v>1160</v>
      </c>
      <c r="G235" t="e">
        <f>1.2*SQRT(2*F235/(airplane!#REF!*airplane!$B$13))-airplane!#REF!</f>
        <v>#REF!</v>
      </c>
      <c r="H235" t="e">
        <f t="shared" si="52"/>
        <v>#REF!</v>
      </c>
      <c r="K235">
        <f t="shared" si="53"/>
        <v>387.67199999999997</v>
      </c>
      <c r="L235" t="e">
        <f t="shared" si="54"/>
        <v>#REF!</v>
      </c>
      <c r="O235" s="8">
        <f t="shared" si="55"/>
        <v>24.229499999999998</v>
      </c>
      <c r="P235" s="8" t="e">
        <f t="shared" si="59"/>
        <v>#REF!</v>
      </c>
      <c r="Q235" s="8">
        <f t="shared" si="59"/>
        <v>5.2</v>
      </c>
      <c r="R235" s="8">
        <f t="shared" si="59"/>
        <v>0.03</v>
      </c>
      <c r="S235" s="8">
        <f t="shared" si="59"/>
        <v>0.8</v>
      </c>
      <c r="T235" s="8">
        <f t="shared" si="59"/>
        <v>0.5</v>
      </c>
      <c r="U235" s="8" t="e">
        <f t="shared" si="59"/>
        <v>#REF!</v>
      </c>
      <c r="W235" s="8" t="e">
        <f t="shared" si="57"/>
        <v>#REF!</v>
      </c>
      <c r="Y235" t="e">
        <f t="shared" si="58"/>
        <v>#REF!</v>
      </c>
    </row>
    <row r="236" spans="6:25" x14ac:dyDescent="0.2">
      <c r="F236">
        <f t="shared" si="51"/>
        <v>1165</v>
      </c>
      <c r="G236" t="e">
        <f>1.2*SQRT(2*F236/(airplane!#REF!*airplane!$B$13))-airplane!#REF!</f>
        <v>#REF!</v>
      </c>
      <c r="H236" t="e">
        <f t="shared" si="52"/>
        <v>#REF!</v>
      </c>
      <c r="K236">
        <f t="shared" si="53"/>
        <v>389.34300000000002</v>
      </c>
      <c r="L236" t="e">
        <f t="shared" si="54"/>
        <v>#REF!</v>
      </c>
      <c r="O236" s="8">
        <f t="shared" si="55"/>
        <v>24.333937500000001</v>
      </c>
      <c r="P236" s="8" t="e">
        <f t="shared" si="59"/>
        <v>#REF!</v>
      </c>
      <c r="Q236" s="8">
        <f t="shared" si="59"/>
        <v>5.2</v>
      </c>
      <c r="R236" s="8">
        <f t="shared" si="59"/>
        <v>0.03</v>
      </c>
      <c r="S236" s="8">
        <f t="shared" si="59"/>
        <v>0.8</v>
      </c>
      <c r="T236" s="8">
        <f t="shared" si="59"/>
        <v>0.5</v>
      </c>
      <c r="U236" s="8" t="e">
        <f t="shared" si="59"/>
        <v>#REF!</v>
      </c>
      <c r="W236" s="8" t="e">
        <f t="shared" si="57"/>
        <v>#REF!</v>
      </c>
      <c r="Y236" t="e">
        <f t="shared" si="58"/>
        <v>#REF!</v>
      </c>
    </row>
    <row r="237" spans="6:25" x14ac:dyDescent="0.2">
      <c r="F237">
        <f t="shared" si="51"/>
        <v>1170</v>
      </c>
      <c r="G237" t="e">
        <f>1.2*SQRT(2*F237/(airplane!#REF!*airplane!$B$13))-airplane!#REF!</f>
        <v>#REF!</v>
      </c>
      <c r="H237" t="e">
        <f t="shared" si="52"/>
        <v>#REF!</v>
      </c>
      <c r="K237">
        <f t="shared" si="53"/>
        <v>391.01400000000001</v>
      </c>
      <c r="L237" t="e">
        <f t="shared" si="54"/>
        <v>#REF!</v>
      </c>
      <c r="O237" s="8">
        <f t="shared" si="55"/>
        <v>24.438375000000001</v>
      </c>
      <c r="P237" s="8" t="e">
        <f t="shared" si="59"/>
        <v>#REF!</v>
      </c>
      <c r="Q237" s="8">
        <f t="shared" si="59"/>
        <v>5.2</v>
      </c>
      <c r="R237" s="8">
        <f t="shared" si="59"/>
        <v>0.03</v>
      </c>
      <c r="S237" s="8">
        <f t="shared" si="59"/>
        <v>0.8</v>
      </c>
      <c r="T237" s="8">
        <f t="shared" si="59"/>
        <v>0.5</v>
      </c>
      <c r="U237" s="8" t="e">
        <f t="shared" si="59"/>
        <v>#REF!</v>
      </c>
      <c r="W237" s="8" t="e">
        <f t="shared" si="57"/>
        <v>#REF!</v>
      </c>
      <c r="Y237" t="e">
        <f t="shared" si="58"/>
        <v>#REF!</v>
      </c>
    </row>
    <row r="238" spans="6:25" x14ac:dyDescent="0.2">
      <c r="F238">
        <f t="shared" si="51"/>
        <v>1175</v>
      </c>
      <c r="G238" t="e">
        <f>1.2*SQRT(2*F238/(airplane!#REF!*airplane!$B$13))-airplane!#REF!</f>
        <v>#REF!</v>
      </c>
      <c r="H238" t="e">
        <f t="shared" si="52"/>
        <v>#REF!</v>
      </c>
      <c r="K238">
        <f t="shared" si="53"/>
        <v>392.685</v>
      </c>
      <c r="L238" t="e">
        <f t="shared" si="54"/>
        <v>#REF!</v>
      </c>
      <c r="O238" s="8">
        <f t="shared" si="55"/>
        <v>24.5428125</v>
      </c>
      <c r="P238" s="8" t="e">
        <f t="shared" si="59"/>
        <v>#REF!</v>
      </c>
      <c r="Q238" s="8">
        <f t="shared" si="59"/>
        <v>5.2</v>
      </c>
      <c r="R238" s="8">
        <f t="shared" si="59"/>
        <v>0.03</v>
      </c>
      <c r="S238" s="8">
        <f t="shared" si="59"/>
        <v>0.8</v>
      </c>
      <c r="T238" s="8">
        <f t="shared" si="59"/>
        <v>0.5</v>
      </c>
      <c r="U238" s="8" t="e">
        <f t="shared" si="59"/>
        <v>#REF!</v>
      </c>
      <c r="W238" s="8" t="e">
        <f t="shared" si="57"/>
        <v>#REF!</v>
      </c>
      <c r="Y238" t="e">
        <f t="shared" si="58"/>
        <v>#REF!</v>
      </c>
    </row>
    <row r="239" spans="6:25" x14ac:dyDescent="0.2">
      <c r="F239">
        <f t="shared" si="51"/>
        <v>1180</v>
      </c>
      <c r="G239" t="e">
        <f>1.2*SQRT(2*F239/(airplane!#REF!*airplane!$B$13))-airplane!#REF!</f>
        <v>#REF!</v>
      </c>
      <c r="H239" t="e">
        <f t="shared" si="52"/>
        <v>#REF!</v>
      </c>
      <c r="K239">
        <f t="shared" si="53"/>
        <v>394.35599999999999</v>
      </c>
      <c r="L239" t="e">
        <f t="shared" si="54"/>
        <v>#REF!</v>
      </c>
      <c r="O239" s="8">
        <f t="shared" si="55"/>
        <v>24.64725</v>
      </c>
      <c r="P239" s="8" t="e">
        <f t="shared" ref="P239:U254" si="60">P238</f>
        <v>#REF!</v>
      </c>
      <c r="Q239" s="8">
        <f t="shared" si="60"/>
        <v>5.2</v>
      </c>
      <c r="R239" s="8">
        <f t="shared" si="60"/>
        <v>0.03</v>
      </c>
      <c r="S239" s="8">
        <f t="shared" si="60"/>
        <v>0.8</v>
      </c>
      <c r="T239" s="8">
        <f t="shared" si="60"/>
        <v>0.5</v>
      </c>
      <c r="U239" s="8" t="e">
        <f t="shared" si="60"/>
        <v>#REF!</v>
      </c>
      <c r="W239" s="8" t="e">
        <f t="shared" si="57"/>
        <v>#REF!</v>
      </c>
      <c r="Y239" t="e">
        <f t="shared" si="58"/>
        <v>#REF!</v>
      </c>
    </row>
    <row r="240" spans="6:25" x14ac:dyDescent="0.2">
      <c r="F240">
        <f t="shared" si="51"/>
        <v>1185</v>
      </c>
      <c r="G240" t="e">
        <f>1.2*SQRT(2*F240/(airplane!#REF!*airplane!$B$13))-airplane!#REF!</f>
        <v>#REF!</v>
      </c>
      <c r="H240" t="e">
        <f t="shared" si="52"/>
        <v>#REF!</v>
      </c>
      <c r="K240">
        <f t="shared" si="53"/>
        <v>396.02699999999999</v>
      </c>
      <c r="L240" t="e">
        <f t="shared" si="54"/>
        <v>#REF!</v>
      </c>
      <c r="O240" s="8">
        <f t="shared" si="55"/>
        <v>24.751687499999999</v>
      </c>
      <c r="P240" s="8" t="e">
        <f t="shared" si="60"/>
        <v>#REF!</v>
      </c>
      <c r="Q240" s="8">
        <f t="shared" si="60"/>
        <v>5.2</v>
      </c>
      <c r="R240" s="8">
        <f t="shared" si="60"/>
        <v>0.03</v>
      </c>
      <c r="S240" s="8">
        <f t="shared" si="60"/>
        <v>0.8</v>
      </c>
      <c r="T240" s="8">
        <f t="shared" si="60"/>
        <v>0.5</v>
      </c>
      <c r="U240" s="8" t="e">
        <f t="shared" si="60"/>
        <v>#REF!</v>
      </c>
      <c r="W240" s="8" t="e">
        <f t="shared" si="57"/>
        <v>#REF!</v>
      </c>
      <c r="Y240" t="e">
        <f t="shared" si="58"/>
        <v>#REF!</v>
      </c>
    </row>
    <row r="241" spans="6:25" x14ac:dyDescent="0.2">
      <c r="F241">
        <f t="shared" si="51"/>
        <v>1190</v>
      </c>
      <c r="G241" t="e">
        <f>1.2*SQRT(2*F241/(airplane!#REF!*airplane!$B$13))-airplane!#REF!</f>
        <v>#REF!</v>
      </c>
      <c r="H241" t="e">
        <f t="shared" si="52"/>
        <v>#REF!</v>
      </c>
      <c r="K241">
        <f t="shared" si="53"/>
        <v>397.69799999999998</v>
      </c>
      <c r="L241" t="e">
        <f t="shared" si="54"/>
        <v>#REF!</v>
      </c>
      <c r="O241" s="8">
        <f t="shared" si="55"/>
        <v>24.856124999999999</v>
      </c>
      <c r="P241" s="8" t="e">
        <f t="shared" si="60"/>
        <v>#REF!</v>
      </c>
      <c r="Q241" s="8">
        <f t="shared" si="60"/>
        <v>5.2</v>
      </c>
      <c r="R241" s="8">
        <f t="shared" si="60"/>
        <v>0.03</v>
      </c>
      <c r="S241" s="8">
        <f t="shared" si="60"/>
        <v>0.8</v>
      </c>
      <c r="T241" s="8">
        <f t="shared" si="60"/>
        <v>0.5</v>
      </c>
      <c r="U241" s="8" t="e">
        <f t="shared" si="60"/>
        <v>#REF!</v>
      </c>
      <c r="W241" s="8" t="e">
        <f t="shared" si="57"/>
        <v>#REF!</v>
      </c>
      <c r="Y241" t="e">
        <f t="shared" si="58"/>
        <v>#REF!</v>
      </c>
    </row>
    <row r="242" spans="6:25" x14ac:dyDescent="0.2">
      <c r="F242">
        <f t="shared" si="51"/>
        <v>1195</v>
      </c>
      <c r="G242" t="e">
        <f>1.2*SQRT(2*F242/(airplane!#REF!*airplane!$B$13))-airplane!#REF!</f>
        <v>#REF!</v>
      </c>
      <c r="H242" t="e">
        <f t="shared" si="52"/>
        <v>#REF!</v>
      </c>
      <c r="K242">
        <f t="shared" si="53"/>
        <v>399.36899999999997</v>
      </c>
      <c r="L242" t="e">
        <f t="shared" si="54"/>
        <v>#REF!</v>
      </c>
      <c r="O242" s="8">
        <f t="shared" si="55"/>
        <v>24.960562499999998</v>
      </c>
      <c r="P242" s="8" t="e">
        <f t="shared" si="60"/>
        <v>#REF!</v>
      </c>
      <c r="Q242" s="8">
        <f t="shared" si="60"/>
        <v>5.2</v>
      </c>
      <c r="R242" s="8">
        <f t="shared" si="60"/>
        <v>0.03</v>
      </c>
      <c r="S242" s="8">
        <f t="shared" si="60"/>
        <v>0.8</v>
      </c>
      <c r="T242" s="8">
        <f t="shared" si="60"/>
        <v>0.5</v>
      </c>
      <c r="U242" s="8" t="e">
        <f t="shared" si="60"/>
        <v>#REF!</v>
      </c>
      <c r="W242" s="8" t="e">
        <f t="shared" si="57"/>
        <v>#REF!</v>
      </c>
      <c r="Y242" t="e">
        <f t="shared" si="58"/>
        <v>#REF!</v>
      </c>
    </row>
    <row r="243" spans="6:25" x14ac:dyDescent="0.2">
      <c r="F243">
        <f t="shared" si="51"/>
        <v>1200</v>
      </c>
      <c r="G243" t="e">
        <f>1.2*SQRT(2*F243/(airplane!#REF!*airplane!$B$13))-airplane!#REF!</f>
        <v>#REF!</v>
      </c>
      <c r="H243" t="e">
        <f t="shared" si="52"/>
        <v>#REF!</v>
      </c>
      <c r="K243">
        <f t="shared" si="53"/>
        <v>401.04</v>
      </c>
      <c r="L243" t="e">
        <f t="shared" si="54"/>
        <v>#REF!</v>
      </c>
      <c r="O243" s="8">
        <f t="shared" si="55"/>
        <v>25.065000000000001</v>
      </c>
      <c r="P243" s="8" t="e">
        <f t="shared" si="60"/>
        <v>#REF!</v>
      </c>
      <c r="Q243" s="8">
        <f t="shared" si="60"/>
        <v>5.2</v>
      </c>
      <c r="R243" s="8">
        <f t="shared" si="60"/>
        <v>0.03</v>
      </c>
      <c r="S243" s="8">
        <f t="shared" si="60"/>
        <v>0.8</v>
      </c>
      <c r="T243" s="8">
        <f t="shared" si="60"/>
        <v>0.5</v>
      </c>
      <c r="U243" s="8" t="e">
        <f t="shared" si="60"/>
        <v>#REF!</v>
      </c>
      <c r="W243" s="8" t="e">
        <f t="shared" si="57"/>
        <v>#REF!</v>
      </c>
      <c r="Y243" t="e">
        <f t="shared" si="58"/>
        <v>#REF!</v>
      </c>
    </row>
    <row r="244" spans="6:25" x14ac:dyDescent="0.2">
      <c r="F244">
        <f t="shared" si="51"/>
        <v>1205</v>
      </c>
      <c r="G244" t="e">
        <f>1.2*SQRT(2*F244/(airplane!#REF!*airplane!$B$13))-airplane!#REF!</f>
        <v>#REF!</v>
      </c>
      <c r="H244" t="e">
        <f t="shared" si="52"/>
        <v>#REF!</v>
      </c>
      <c r="K244">
        <f t="shared" si="53"/>
        <v>402.71100000000001</v>
      </c>
      <c r="L244" t="e">
        <f t="shared" si="54"/>
        <v>#REF!</v>
      </c>
      <c r="O244" s="8">
        <f t="shared" si="55"/>
        <v>25.169437500000001</v>
      </c>
      <c r="P244" s="8" t="e">
        <f t="shared" si="60"/>
        <v>#REF!</v>
      </c>
      <c r="Q244" s="8">
        <f t="shared" si="60"/>
        <v>5.2</v>
      </c>
      <c r="R244" s="8">
        <f t="shared" si="60"/>
        <v>0.03</v>
      </c>
      <c r="S244" s="8">
        <f t="shared" si="60"/>
        <v>0.8</v>
      </c>
      <c r="T244" s="8">
        <f t="shared" si="60"/>
        <v>0.5</v>
      </c>
      <c r="U244" s="8" t="e">
        <f t="shared" si="60"/>
        <v>#REF!</v>
      </c>
      <c r="W244" s="8" t="e">
        <f t="shared" si="57"/>
        <v>#REF!</v>
      </c>
      <c r="Y244" t="e">
        <f t="shared" si="58"/>
        <v>#REF!</v>
      </c>
    </row>
    <row r="245" spans="6:25" x14ac:dyDescent="0.2">
      <c r="F245">
        <f t="shared" si="51"/>
        <v>1210</v>
      </c>
      <c r="G245" t="e">
        <f>1.2*SQRT(2*F245/(airplane!#REF!*airplane!$B$13))-airplane!#REF!</f>
        <v>#REF!</v>
      </c>
      <c r="H245" t="e">
        <f t="shared" si="52"/>
        <v>#REF!</v>
      </c>
      <c r="K245">
        <f t="shared" si="53"/>
        <v>404.38200000000001</v>
      </c>
      <c r="L245" t="e">
        <f t="shared" si="54"/>
        <v>#REF!</v>
      </c>
      <c r="O245" s="8">
        <f t="shared" si="55"/>
        <v>25.273875</v>
      </c>
      <c r="P245" s="8" t="e">
        <f t="shared" si="60"/>
        <v>#REF!</v>
      </c>
      <c r="Q245" s="8">
        <f t="shared" si="60"/>
        <v>5.2</v>
      </c>
      <c r="R245" s="8">
        <f t="shared" si="60"/>
        <v>0.03</v>
      </c>
      <c r="S245" s="8">
        <f t="shared" si="60"/>
        <v>0.8</v>
      </c>
      <c r="T245" s="8">
        <f t="shared" si="60"/>
        <v>0.5</v>
      </c>
      <c r="U245" s="8" t="e">
        <f t="shared" si="60"/>
        <v>#REF!</v>
      </c>
      <c r="W245" s="8" t="e">
        <f t="shared" si="57"/>
        <v>#REF!</v>
      </c>
      <c r="Y245" t="e">
        <f t="shared" si="58"/>
        <v>#REF!</v>
      </c>
    </row>
    <row r="246" spans="6:25" x14ac:dyDescent="0.2">
      <c r="F246">
        <f t="shared" si="51"/>
        <v>1215</v>
      </c>
      <c r="G246" t="e">
        <f>1.2*SQRT(2*F246/(airplane!#REF!*airplane!$B$13))-airplane!#REF!</f>
        <v>#REF!</v>
      </c>
      <c r="H246" t="e">
        <f t="shared" si="52"/>
        <v>#REF!</v>
      </c>
      <c r="K246">
        <f t="shared" si="53"/>
        <v>406.053</v>
      </c>
      <c r="L246" t="e">
        <f t="shared" si="54"/>
        <v>#REF!</v>
      </c>
      <c r="O246" s="8">
        <f t="shared" si="55"/>
        <v>25.3783125</v>
      </c>
      <c r="P246" s="8" t="e">
        <f t="shared" si="60"/>
        <v>#REF!</v>
      </c>
      <c r="Q246" s="8">
        <f t="shared" si="60"/>
        <v>5.2</v>
      </c>
      <c r="R246" s="8">
        <f t="shared" si="60"/>
        <v>0.03</v>
      </c>
      <c r="S246" s="8">
        <f t="shared" si="60"/>
        <v>0.8</v>
      </c>
      <c r="T246" s="8">
        <f t="shared" si="60"/>
        <v>0.5</v>
      </c>
      <c r="U246" s="8" t="e">
        <f t="shared" si="60"/>
        <v>#REF!</v>
      </c>
      <c r="W246" s="8" t="e">
        <f t="shared" si="57"/>
        <v>#REF!</v>
      </c>
      <c r="Y246" t="e">
        <f t="shared" si="58"/>
        <v>#REF!</v>
      </c>
    </row>
    <row r="247" spans="6:25" x14ac:dyDescent="0.2">
      <c r="F247">
        <f t="shared" si="51"/>
        <v>1220</v>
      </c>
      <c r="G247" t="e">
        <f>1.2*SQRT(2*F247/(airplane!#REF!*airplane!$B$13))-airplane!#REF!</f>
        <v>#REF!</v>
      </c>
      <c r="H247" t="e">
        <f t="shared" si="52"/>
        <v>#REF!</v>
      </c>
      <c r="K247">
        <f t="shared" si="53"/>
        <v>407.72399999999999</v>
      </c>
      <c r="L247" t="e">
        <f t="shared" si="54"/>
        <v>#REF!</v>
      </c>
      <c r="O247" s="8">
        <f t="shared" si="55"/>
        <v>25.482749999999999</v>
      </c>
      <c r="P247" s="8" t="e">
        <f t="shared" si="60"/>
        <v>#REF!</v>
      </c>
      <c r="Q247" s="8">
        <f t="shared" si="60"/>
        <v>5.2</v>
      </c>
      <c r="R247" s="8">
        <f t="shared" si="60"/>
        <v>0.03</v>
      </c>
      <c r="S247" s="8">
        <f t="shared" si="60"/>
        <v>0.8</v>
      </c>
      <c r="T247" s="8">
        <f t="shared" si="60"/>
        <v>0.5</v>
      </c>
      <c r="U247" s="8" t="e">
        <f t="shared" si="60"/>
        <v>#REF!</v>
      </c>
      <c r="W247" s="8" t="e">
        <f t="shared" si="57"/>
        <v>#REF!</v>
      </c>
      <c r="Y247" t="e">
        <f t="shared" si="58"/>
        <v>#REF!</v>
      </c>
    </row>
    <row r="248" spans="6:25" x14ac:dyDescent="0.2">
      <c r="F248">
        <f t="shared" si="51"/>
        <v>1225</v>
      </c>
      <c r="G248" t="e">
        <f>1.2*SQRT(2*F248/(airplane!#REF!*airplane!$B$13))-airplane!#REF!</f>
        <v>#REF!</v>
      </c>
      <c r="H248" t="e">
        <f t="shared" si="52"/>
        <v>#REF!</v>
      </c>
      <c r="K248">
        <f t="shared" si="53"/>
        <v>409.39499999999998</v>
      </c>
      <c r="L248" t="e">
        <f t="shared" si="54"/>
        <v>#REF!</v>
      </c>
      <c r="O248" s="8">
        <f t="shared" si="55"/>
        <v>25.587187499999999</v>
      </c>
      <c r="P248" s="8" t="e">
        <f t="shared" si="60"/>
        <v>#REF!</v>
      </c>
      <c r="Q248" s="8">
        <f t="shared" si="60"/>
        <v>5.2</v>
      </c>
      <c r="R248" s="8">
        <f t="shared" si="60"/>
        <v>0.03</v>
      </c>
      <c r="S248" s="8">
        <f t="shared" si="60"/>
        <v>0.8</v>
      </c>
      <c r="T248" s="8">
        <f t="shared" si="60"/>
        <v>0.5</v>
      </c>
      <c r="U248" s="8" t="e">
        <f t="shared" si="60"/>
        <v>#REF!</v>
      </c>
      <c r="W248" s="8" t="e">
        <f t="shared" si="57"/>
        <v>#REF!</v>
      </c>
      <c r="Y248" t="e">
        <f t="shared" si="58"/>
        <v>#REF!</v>
      </c>
    </row>
    <row r="249" spans="6:25" x14ac:dyDescent="0.2">
      <c r="F249">
        <f t="shared" si="51"/>
        <v>1230</v>
      </c>
      <c r="G249" t="e">
        <f>1.2*SQRT(2*F249/(airplane!#REF!*airplane!$B$13))-airplane!#REF!</f>
        <v>#REF!</v>
      </c>
      <c r="H249" t="e">
        <f t="shared" si="52"/>
        <v>#REF!</v>
      </c>
      <c r="K249">
        <f t="shared" si="53"/>
        <v>411.06599999999997</v>
      </c>
      <c r="L249" t="e">
        <f t="shared" si="54"/>
        <v>#REF!</v>
      </c>
      <c r="O249" s="8">
        <f t="shared" si="55"/>
        <v>25.691624999999998</v>
      </c>
      <c r="P249" s="8" t="e">
        <f t="shared" si="60"/>
        <v>#REF!</v>
      </c>
      <c r="Q249" s="8">
        <f t="shared" si="60"/>
        <v>5.2</v>
      </c>
      <c r="R249" s="8">
        <f t="shared" si="60"/>
        <v>0.03</v>
      </c>
      <c r="S249" s="8">
        <f t="shared" si="60"/>
        <v>0.8</v>
      </c>
      <c r="T249" s="8">
        <f t="shared" si="60"/>
        <v>0.5</v>
      </c>
      <c r="U249" s="8" t="e">
        <f t="shared" si="60"/>
        <v>#REF!</v>
      </c>
      <c r="W249" s="8" t="e">
        <f t="shared" si="57"/>
        <v>#REF!</v>
      </c>
      <c r="Y249" t="e">
        <f t="shared" si="58"/>
        <v>#REF!</v>
      </c>
    </row>
    <row r="250" spans="6:25" x14ac:dyDescent="0.2">
      <c r="F250">
        <f t="shared" si="51"/>
        <v>1235</v>
      </c>
      <c r="G250" t="e">
        <f>1.2*SQRT(2*F250/(airplane!#REF!*airplane!$B$13))-airplane!#REF!</f>
        <v>#REF!</v>
      </c>
      <c r="H250" t="e">
        <f t="shared" si="52"/>
        <v>#REF!</v>
      </c>
      <c r="K250">
        <f t="shared" si="53"/>
        <v>412.73700000000002</v>
      </c>
      <c r="L250" t="e">
        <f t="shared" si="54"/>
        <v>#REF!</v>
      </c>
      <c r="O250" s="8">
        <f t="shared" si="55"/>
        <v>25.796062500000001</v>
      </c>
      <c r="P250" s="8" t="e">
        <f t="shared" si="60"/>
        <v>#REF!</v>
      </c>
      <c r="Q250" s="8">
        <f t="shared" si="60"/>
        <v>5.2</v>
      </c>
      <c r="R250" s="8">
        <f t="shared" si="60"/>
        <v>0.03</v>
      </c>
      <c r="S250" s="8">
        <f t="shared" si="60"/>
        <v>0.8</v>
      </c>
      <c r="T250" s="8">
        <f t="shared" si="60"/>
        <v>0.5</v>
      </c>
      <c r="U250" s="8" t="e">
        <f t="shared" si="60"/>
        <v>#REF!</v>
      </c>
      <c r="W250" s="8" t="e">
        <f t="shared" si="57"/>
        <v>#REF!</v>
      </c>
      <c r="Y250" t="e">
        <f t="shared" si="58"/>
        <v>#REF!</v>
      </c>
    </row>
    <row r="251" spans="6:25" x14ac:dyDescent="0.2">
      <c r="F251">
        <f t="shared" si="51"/>
        <v>1240</v>
      </c>
      <c r="G251" t="e">
        <f>1.2*SQRT(2*F251/(airplane!#REF!*airplane!$B$13))-airplane!#REF!</f>
        <v>#REF!</v>
      </c>
      <c r="H251" t="e">
        <f t="shared" si="52"/>
        <v>#REF!</v>
      </c>
      <c r="K251">
        <f t="shared" si="53"/>
        <v>414.40800000000002</v>
      </c>
      <c r="L251" t="e">
        <f t="shared" si="54"/>
        <v>#REF!</v>
      </c>
      <c r="O251" s="8">
        <f t="shared" si="55"/>
        <v>25.900500000000001</v>
      </c>
      <c r="P251" s="8" t="e">
        <f t="shared" si="60"/>
        <v>#REF!</v>
      </c>
      <c r="Q251" s="8">
        <f t="shared" si="60"/>
        <v>5.2</v>
      </c>
      <c r="R251" s="8">
        <f t="shared" si="60"/>
        <v>0.03</v>
      </c>
      <c r="S251" s="8">
        <f t="shared" si="60"/>
        <v>0.8</v>
      </c>
      <c r="T251" s="8">
        <f t="shared" si="60"/>
        <v>0.5</v>
      </c>
      <c r="U251" s="8" t="e">
        <f t="shared" si="60"/>
        <v>#REF!</v>
      </c>
      <c r="W251" s="8" t="e">
        <f t="shared" si="57"/>
        <v>#REF!</v>
      </c>
      <c r="Y251" t="e">
        <f t="shared" si="58"/>
        <v>#REF!</v>
      </c>
    </row>
    <row r="252" spans="6:25" x14ac:dyDescent="0.2">
      <c r="F252">
        <f t="shared" si="51"/>
        <v>1245</v>
      </c>
      <c r="G252" t="e">
        <f>1.2*SQRT(2*F252/(airplane!#REF!*airplane!$B$13))-airplane!#REF!</f>
        <v>#REF!</v>
      </c>
      <c r="H252" t="e">
        <f t="shared" si="52"/>
        <v>#REF!</v>
      </c>
      <c r="K252">
        <f t="shared" si="53"/>
        <v>416.07900000000001</v>
      </c>
      <c r="L252" t="e">
        <f t="shared" si="54"/>
        <v>#REF!</v>
      </c>
      <c r="O252" s="8">
        <f t="shared" si="55"/>
        <v>26.0049375</v>
      </c>
      <c r="P252" s="8" t="e">
        <f t="shared" si="60"/>
        <v>#REF!</v>
      </c>
      <c r="Q252" s="8">
        <f t="shared" si="60"/>
        <v>5.2</v>
      </c>
      <c r="R252" s="8">
        <f t="shared" si="60"/>
        <v>0.03</v>
      </c>
      <c r="S252" s="8">
        <f t="shared" si="60"/>
        <v>0.8</v>
      </c>
      <c r="T252" s="8">
        <f t="shared" si="60"/>
        <v>0.5</v>
      </c>
      <c r="U252" s="8" t="e">
        <f t="shared" si="60"/>
        <v>#REF!</v>
      </c>
      <c r="W252" s="8" t="e">
        <f t="shared" si="57"/>
        <v>#REF!</v>
      </c>
      <c r="Y252" t="e">
        <f t="shared" si="58"/>
        <v>#REF!</v>
      </c>
    </row>
    <row r="253" spans="6:25" x14ac:dyDescent="0.2">
      <c r="F253">
        <f t="shared" si="51"/>
        <v>1250</v>
      </c>
      <c r="G253" t="e">
        <f>1.2*SQRT(2*F253/(airplane!#REF!*airplane!$B$13))-airplane!#REF!</f>
        <v>#REF!</v>
      </c>
      <c r="H253" t="e">
        <f t="shared" si="52"/>
        <v>#REF!</v>
      </c>
      <c r="K253">
        <f t="shared" si="53"/>
        <v>417.75</v>
      </c>
      <c r="L253" t="e">
        <f t="shared" si="54"/>
        <v>#REF!</v>
      </c>
      <c r="O253" s="8">
        <f t="shared" si="55"/>
        <v>26.109375</v>
      </c>
      <c r="P253" s="8" t="e">
        <f t="shared" si="60"/>
        <v>#REF!</v>
      </c>
      <c r="Q253" s="8">
        <f t="shared" si="60"/>
        <v>5.2</v>
      </c>
      <c r="R253" s="8">
        <f t="shared" si="60"/>
        <v>0.03</v>
      </c>
      <c r="S253" s="8">
        <f t="shared" si="60"/>
        <v>0.8</v>
      </c>
      <c r="T253" s="8">
        <f t="shared" si="60"/>
        <v>0.5</v>
      </c>
      <c r="U253" s="8" t="e">
        <f t="shared" si="60"/>
        <v>#REF!</v>
      </c>
      <c r="W253" s="8" t="e">
        <f t="shared" si="57"/>
        <v>#REF!</v>
      </c>
      <c r="Y253" t="e">
        <f t="shared" si="58"/>
        <v>#REF!</v>
      </c>
    </row>
    <row r="254" spans="6:25" x14ac:dyDescent="0.2">
      <c r="F254">
        <f t="shared" si="51"/>
        <v>1255</v>
      </c>
      <c r="G254" t="e">
        <f>1.2*SQRT(2*F254/(airplane!#REF!*airplane!$B$13))-airplane!#REF!</f>
        <v>#REF!</v>
      </c>
      <c r="H254" t="e">
        <f t="shared" si="52"/>
        <v>#REF!</v>
      </c>
      <c r="K254">
        <f t="shared" si="53"/>
        <v>419.42099999999999</v>
      </c>
      <c r="L254" t="e">
        <f t="shared" si="54"/>
        <v>#REF!</v>
      </c>
      <c r="O254" s="8">
        <f t="shared" si="55"/>
        <v>26.2138125</v>
      </c>
      <c r="P254" s="8" t="e">
        <f t="shared" si="60"/>
        <v>#REF!</v>
      </c>
      <c r="Q254" s="8">
        <f t="shared" si="60"/>
        <v>5.2</v>
      </c>
      <c r="R254" s="8">
        <f t="shared" si="60"/>
        <v>0.03</v>
      </c>
      <c r="S254" s="8">
        <f t="shared" si="60"/>
        <v>0.8</v>
      </c>
      <c r="T254" s="8">
        <f t="shared" si="60"/>
        <v>0.5</v>
      </c>
      <c r="U254" s="8" t="e">
        <f t="shared" si="60"/>
        <v>#REF!</v>
      </c>
      <c r="W254" s="8" t="e">
        <f t="shared" si="57"/>
        <v>#REF!</v>
      </c>
      <c r="Y254" t="e">
        <f t="shared" si="58"/>
        <v>#REF!</v>
      </c>
    </row>
    <row r="255" spans="6:25" x14ac:dyDescent="0.2">
      <c r="F255">
        <f t="shared" si="51"/>
        <v>1260</v>
      </c>
      <c r="G255" t="e">
        <f>1.2*SQRT(2*F255/(airplane!#REF!*airplane!$B$13))-airplane!#REF!</f>
        <v>#REF!</v>
      </c>
      <c r="H255" t="e">
        <f t="shared" si="52"/>
        <v>#REF!</v>
      </c>
      <c r="K255">
        <f t="shared" si="53"/>
        <v>421.09199999999998</v>
      </c>
      <c r="L255" t="e">
        <f t="shared" si="54"/>
        <v>#REF!</v>
      </c>
      <c r="O255" s="8">
        <f t="shared" si="55"/>
        <v>26.318249999999999</v>
      </c>
      <c r="P255" s="8" t="e">
        <f t="shared" ref="P255:U270" si="61">P254</f>
        <v>#REF!</v>
      </c>
      <c r="Q255" s="8">
        <f t="shared" si="61"/>
        <v>5.2</v>
      </c>
      <c r="R255" s="8">
        <f t="shared" si="61"/>
        <v>0.03</v>
      </c>
      <c r="S255" s="8">
        <f t="shared" si="61"/>
        <v>0.8</v>
      </c>
      <c r="T255" s="8">
        <f t="shared" si="61"/>
        <v>0.5</v>
      </c>
      <c r="U255" s="8" t="e">
        <f t="shared" si="61"/>
        <v>#REF!</v>
      </c>
      <c r="W255" s="8" t="e">
        <f t="shared" si="57"/>
        <v>#REF!</v>
      </c>
      <c r="Y255" t="e">
        <f t="shared" si="58"/>
        <v>#REF!</v>
      </c>
    </row>
    <row r="256" spans="6:25" x14ac:dyDescent="0.2">
      <c r="F256">
        <f t="shared" si="51"/>
        <v>1265</v>
      </c>
      <c r="G256" t="e">
        <f>1.2*SQRT(2*F256/(airplane!#REF!*airplane!$B$13))-airplane!#REF!</f>
        <v>#REF!</v>
      </c>
      <c r="H256" t="e">
        <f t="shared" si="52"/>
        <v>#REF!</v>
      </c>
      <c r="K256">
        <f t="shared" si="53"/>
        <v>422.76299999999998</v>
      </c>
      <c r="L256" t="e">
        <f t="shared" si="54"/>
        <v>#REF!</v>
      </c>
      <c r="O256" s="8">
        <f t="shared" si="55"/>
        <v>26.422687499999999</v>
      </c>
      <c r="P256" s="8" t="e">
        <f t="shared" si="61"/>
        <v>#REF!</v>
      </c>
      <c r="Q256" s="8">
        <f t="shared" si="61"/>
        <v>5.2</v>
      </c>
      <c r="R256" s="8">
        <f t="shared" si="61"/>
        <v>0.03</v>
      </c>
      <c r="S256" s="8">
        <f t="shared" si="61"/>
        <v>0.8</v>
      </c>
      <c r="T256" s="8">
        <f t="shared" si="61"/>
        <v>0.5</v>
      </c>
      <c r="U256" s="8" t="e">
        <f t="shared" si="61"/>
        <v>#REF!</v>
      </c>
      <c r="W256" s="8" t="e">
        <f t="shared" si="57"/>
        <v>#REF!</v>
      </c>
      <c r="Y256" t="e">
        <f t="shared" si="58"/>
        <v>#REF!</v>
      </c>
    </row>
    <row r="257" spans="6:25" x14ac:dyDescent="0.2">
      <c r="F257">
        <f t="shared" si="51"/>
        <v>1270</v>
      </c>
      <c r="G257" t="e">
        <f>1.2*SQRT(2*F257/(airplane!#REF!*airplane!$B$13))-airplane!#REF!</f>
        <v>#REF!</v>
      </c>
      <c r="H257" t="e">
        <f t="shared" si="52"/>
        <v>#REF!</v>
      </c>
      <c r="K257">
        <f t="shared" si="53"/>
        <v>424.43399999999997</v>
      </c>
      <c r="L257" t="e">
        <f t="shared" si="54"/>
        <v>#REF!</v>
      </c>
      <c r="O257" s="8">
        <f t="shared" si="55"/>
        <v>26.527124999999998</v>
      </c>
      <c r="P257" s="8" t="e">
        <f t="shared" si="61"/>
        <v>#REF!</v>
      </c>
      <c r="Q257" s="8">
        <f t="shared" si="61"/>
        <v>5.2</v>
      </c>
      <c r="R257" s="8">
        <f t="shared" si="61"/>
        <v>0.03</v>
      </c>
      <c r="S257" s="8">
        <f t="shared" si="61"/>
        <v>0.8</v>
      </c>
      <c r="T257" s="8">
        <f t="shared" si="61"/>
        <v>0.5</v>
      </c>
      <c r="U257" s="8" t="e">
        <f t="shared" si="61"/>
        <v>#REF!</v>
      </c>
      <c r="W257" s="8" t="e">
        <f t="shared" si="57"/>
        <v>#REF!</v>
      </c>
      <c r="Y257" t="e">
        <f t="shared" si="58"/>
        <v>#REF!</v>
      </c>
    </row>
    <row r="258" spans="6:25" x14ac:dyDescent="0.2">
      <c r="F258">
        <f t="shared" si="51"/>
        <v>1275</v>
      </c>
      <c r="G258" t="e">
        <f>1.2*SQRT(2*F258/(airplane!#REF!*airplane!$B$13))-airplane!#REF!</f>
        <v>#REF!</v>
      </c>
      <c r="H258" t="e">
        <f t="shared" si="52"/>
        <v>#REF!</v>
      </c>
      <c r="K258">
        <f t="shared" si="53"/>
        <v>426.10500000000002</v>
      </c>
      <c r="L258" t="e">
        <f t="shared" si="54"/>
        <v>#REF!</v>
      </c>
      <c r="O258" s="8">
        <f t="shared" si="55"/>
        <v>26.631562500000001</v>
      </c>
      <c r="P258" s="8" t="e">
        <f t="shared" si="61"/>
        <v>#REF!</v>
      </c>
      <c r="Q258" s="8">
        <f t="shared" si="61"/>
        <v>5.2</v>
      </c>
      <c r="R258" s="8">
        <f t="shared" si="61"/>
        <v>0.03</v>
      </c>
      <c r="S258" s="8">
        <f t="shared" si="61"/>
        <v>0.8</v>
      </c>
      <c r="T258" s="8">
        <f t="shared" si="61"/>
        <v>0.5</v>
      </c>
      <c r="U258" s="8" t="e">
        <f t="shared" si="61"/>
        <v>#REF!</v>
      </c>
      <c r="W258" s="8" t="e">
        <f t="shared" si="57"/>
        <v>#REF!</v>
      </c>
      <c r="Y258" t="e">
        <f t="shared" si="58"/>
        <v>#REF!</v>
      </c>
    </row>
    <row r="259" spans="6:25" x14ac:dyDescent="0.2">
      <c r="F259">
        <f t="shared" si="51"/>
        <v>1280</v>
      </c>
      <c r="G259" t="e">
        <f>1.2*SQRT(2*F259/(airplane!#REF!*airplane!$B$13))-airplane!#REF!</f>
        <v>#REF!</v>
      </c>
      <c r="H259" t="e">
        <f t="shared" si="52"/>
        <v>#REF!</v>
      </c>
      <c r="K259">
        <f t="shared" si="53"/>
        <v>427.77600000000001</v>
      </c>
      <c r="L259" t="e">
        <f t="shared" si="54"/>
        <v>#REF!</v>
      </c>
      <c r="O259" s="8">
        <f t="shared" si="55"/>
        <v>26.736000000000001</v>
      </c>
      <c r="P259" s="8" t="e">
        <f t="shared" si="61"/>
        <v>#REF!</v>
      </c>
      <c r="Q259" s="8">
        <f t="shared" si="61"/>
        <v>5.2</v>
      </c>
      <c r="R259" s="8">
        <f t="shared" si="61"/>
        <v>0.03</v>
      </c>
      <c r="S259" s="8">
        <f t="shared" si="61"/>
        <v>0.8</v>
      </c>
      <c r="T259" s="8">
        <f t="shared" si="61"/>
        <v>0.5</v>
      </c>
      <c r="U259" s="8" t="e">
        <f t="shared" si="61"/>
        <v>#REF!</v>
      </c>
      <c r="W259" s="8" t="e">
        <f t="shared" si="57"/>
        <v>#REF!</v>
      </c>
      <c r="Y259" t="e">
        <f t="shared" si="58"/>
        <v>#REF!</v>
      </c>
    </row>
    <row r="260" spans="6:25" x14ac:dyDescent="0.2">
      <c r="F260">
        <f t="shared" si="51"/>
        <v>1285</v>
      </c>
      <c r="G260" t="e">
        <f>1.2*SQRT(2*F260/(airplane!#REF!*airplane!$B$13))-airplane!#REF!</f>
        <v>#REF!</v>
      </c>
      <c r="H260" t="e">
        <f t="shared" si="52"/>
        <v>#REF!</v>
      </c>
      <c r="K260">
        <f t="shared" si="53"/>
        <v>429.447</v>
      </c>
      <c r="L260" t="e">
        <f t="shared" si="54"/>
        <v>#REF!</v>
      </c>
      <c r="O260" s="8">
        <f t="shared" si="55"/>
        <v>26.8404375</v>
      </c>
      <c r="P260" s="8" t="e">
        <f t="shared" si="61"/>
        <v>#REF!</v>
      </c>
      <c r="Q260" s="8">
        <f t="shared" si="61"/>
        <v>5.2</v>
      </c>
      <c r="R260" s="8">
        <f t="shared" si="61"/>
        <v>0.03</v>
      </c>
      <c r="S260" s="8">
        <f t="shared" si="61"/>
        <v>0.8</v>
      </c>
      <c r="T260" s="8">
        <f t="shared" si="61"/>
        <v>0.5</v>
      </c>
      <c r="U260" s="8" t="e">
        <f t="shared" si="61"/>
        <v>#REF!</v>
      </c>
      <c r="W260" s="8" t="e">
        <f t="shared" si="57"/>
        <v>#REF!</v>
      </c>
      <c r="Y260" t="e">
        <f t="shared" si="58"/>
        <v>#REF!</v>
      </c>
    </row>
    <row r="261" spans="6:25" x14ac:dyDescent="0.2">
      <c r="F261">
        <f t="shared" ref="F261:F324" si="62">F260+5</f>
        <v>1290</v>
      </c>
      <c r="G261" t="e">
        <f>1.2*SQRT(2*F261/(airplane!#REF!*airplane!$B$13))-airplane!#REF!</f>
        <v>#REF!</v>
      </c>
      <c r="H261" t="e">
        <f t="shared" si="52"/>
        <v>#REF!</v>
      </c>
      <c r="K261">
        <f t="shared" si="53"/>
        <v>431.11799999999999</v>
      </c>
      <c r="L261" t="e">
        <f t="shared" si="54"/>
        <v>#REF!</v>
      </c>
      <c r="O261" s="8">
        <f t="shared" si="55"/>
        <v>26.944875</v>
      </c>
      <c r="P261" s="8" t="e">
        <f t="shared" si="61"/>
        <v>#REF!</v>
      </c>
      <c r="Q261" s="8">
        <f t="shared" si="61"/>
        <v>5.2</v>
      </c>
      <c r="R261" s="8">
        <f t="shared" si="61"/>
        <v>0.03</v>
      </c>
      <c r="S261" s="8">
        <f t="shared" si="61"/>
        <v>0.8</v>
      </c>
      <c r="T261" s="8">
        <f t="shared" si="61"/>
        <v>0.5</v>
      </c>
      <c r="U261" s="8" t="e">
        <f t="shared" si="61"/>
        <v>#REF!</v>
      </c>
      <c r="W261" s="8" t="e">
        <f t="shared" si="57"/>
        <v>#REF!</v>
      </c>
      <c r="Y261" t="e">
        <f t="shared" si="58"/>
        <v>#REF!</v>
      </c>
    </row>
    <row r="262" spans="6:25" x14ac:dyDescent="0.2">
      <c r="F262">
        <f t="shared" si="62"/>
        <v>1295</v>
      </c>
      <c r="G262" t="e">
        <f>1.2*SQRT(2*F262/(airplane!#REF!*airplane!$B$13))-airplane!#REF!</f>
        <v>#REF!</v>
      </c>
      <c r="H262" t="e">
        <f t="shared" si="52"/>
        <v>#REF!</v>
      </c>
      <c r="K262">
        <f t="shared" si="53"/>
        <v>432.78899999999999</v>
      </c>
      <c r="L262" t="e">
        <f t="shared" si="54"/>
        <v>#REF!</v>
      </c>
      <c r="O262" s="8">
        <f t="shared" si="55"/>
        <v>27.049312499999999</v>
      </c>
      <c r="P262" s="8" t="e">
        <f t="shared" si="61"/>
        <v>#REF!</v>
      </c>
      <c r="Q262" s="8">
        <f t="shared" si="61"/>
        <v>5.2</v>
      </c>
      <c r="R262" s="8">
        <f t="shared" si="61"/>
        <v>0.03</v>
      </c>
      <c r="S262" s="8">
        <f t="shared" si="61"/>
        <v>0.8</v>
      </c>
      <c r="T262" s="8">
        <f t="shared" si="61"/>
        <v>0.5</v>
      </c>
      <c r="U262" s="8" t="e">
        <f t="shared" si="61"/>
        <v>#REF!</v>
      </c>
      <c r="W262" s="8" t="e">
        <f t="shared" si="57"/>
        <v>#REF!</v>
      </c>
      <c r="Y262" t="e">
        <f t="shared" si="58"/>
        <v>#REF!</v>
      </c>
    </row>
    <row r="263" spans="6:25" x14ac:dyDescent="0.2">
      <c r="F263">
        <f t="shared" si="62"/>
        <v>1300</v>
      </c>
      <c r="G263" t="e">
        <f>1.2*SQRT(2*F263/(airplane!#REF!*airplane!$B$13))-airplane!#REF!</f>
        <v>#REF!</v>
      </c>
      <c r="H263" t="e">
        <f t="shared" si="52"/>
        <v>#REF!</v>
      </c>
      <c r="K263">
        <f t="shared" si="53"/>
        <v>434.46</v>
      </c>
      <c r="L263" t="e">
        <f t="shared" si="54"/>
        <v>#REF!</v>
      </c>
      <c r="O263" s="8">
        <f t="shared" si="55"/>
        <v>27.153749999999999</v>
      </c>
      <c r="P263" s="8" t="e">
        <f t="shared" si="61"/>
        <v>#REF!</v>
      </c>
      <c r="Q263" s="8">
        <f t="shared" si="61"/>
        <v>5.2</v>
      </c>
      <c r="R263" s="8">
        <f t="shared" si="61"/>
        <v>0.03</v>
      </c>
      <c r="S263" s="8">
        <f t="shared" si="61"/>
        <v>0.8</v>
      </c>
      <c r="T263" s="8">
        <f t="shared" si="61"/>
        <v>0.5</v>
      </c>
      <c r="U263" s="8" t="e">
        <f t="shared" si="61"/>
        <v>#REF!</v>
      </c>
      <c r="W263" s="8" t="e">
        <f t="shared" si="57"/>
        <v>#REF!</v>
      </c>
      <c r="Y263" t="e">
        <f t="shared" si="58"/>
        <v>#REF!</v>
      </c>
    </row>
    <row r="264" spans="6:25" x14ac:dyDescent="0.2">
      <c r="F264">
        <f t="shared" si="62"/>
        <v>1305</v>
      </c>
      <c r="G264" t="e">
        <f>1.2*SQRT(2*F264/(airplane!#REF!*airplane!$B$13))-airplane!#REF!</f>
        <v>#REF!</v>
      </c>
      <c r="H264" t="e">
        <f t="shared" si="52"/>
        <v>#REF!</v>
      </c>
      <c r="K264">
        <f t="shared" si="53"/>
        <v>436.13099999999997</v>
      </c>
      <c r="L264" t="e">
        <f t="shared" si="54"/>
        <v>#REF!</v>
      </c>
      <c r="O264" s="8">
        <f t="shared" si="55"/>
        <v>27.258187499999998</v>
      </c>
      <c r="P264" s="8" t="e">
        <f t="shared" si="61"/>
        <v>#REF!</v>
      </c>
      <c r="Q264" s="8">
        <f t="shared" si="61"/>
        <v>5.2</v>
      </c>
      <c r="R264" s="8">
        <f t="shared" si="61"/>
        <v>0.03</v>
      </c>
      <c r="S264" s="8">
        <f t="shared" si="61"/>
        <v>0.8</v>
      </c>
      <c r="T264" s="8">
        <f t="shared" si="61"/>
        <v>0.5</v>
      </c>
      <c r="U264" s="8" t="e">
        <f t="shared" si="61"/>
        <v>#REF!</v>
      </c>
      <c r="W264" s="8" t="e">
        <f t="shared" si="57"/>
        <v>#REF!</v>
      </c>
      <c r="Y264" t="e">
        <f t="shared" si="58"/>
        <v>#REF!</v>
      </c>
    </row>
    <row r="265" spans="6:25" x14ac:dyDescent="0.2">
      <c r="F265">
        <f t="shared" si="62"/>
        <v>1310</v>
      </c>
      <c r="G265" t="e">
        <f>1.2*SQRT(2*F265/(airplane!#REF!*airplane!$B$13))-airplane!#REF!</f>
        <v>#REF!</v>
      </c>
      <c r="H265" t="e">
        <f t="shared" si="52"/>
        <v>#REF!</v>
      </c>
      <c r="K265">
        <f t="shared" si="53"/>
        <v>437.80200000000002</v>
      </c>
      <c r="L265" t="e">
        <f t="shared" si="54"/>
        <v>#REF!</v>
      </c>
      <c r="O265" s="8">
        <f t="shared" si="55"/>
        <v>27.362625000000001</v>
      </c>
      <c r="P265" s="8" t="e">
        <f t="shared" si="61"/>
        <v>#REF!</v>
      </c>
      <c r="Q265" s="8">
        <f t="shared" si="61"/>
        <v>5.2</v>
      </c>
      <c r="R265" s="8">
        <f t="shared" si="61"/>
        <v>0.03</v>
      </c>
      <c r="S265" s="8">
        <f t="shared" si="61"/>
        <v>0.8</v>
      </c>
      <c r="T265" s="8">
        <f t="shared" si="61"/>
        <v>0.5</v>
      </c>
      <c r="U265" s="8" t="e">
        <f t="shared" si="61"/>
        <v>#REF!</v>
      </c>
      <c r="W265" s="8" t="e">
        <f t="shared" si="57"/>
        <v>#REF!</v>
      </c>
      <c r="Y265" t="e">
        <f t="shared" si="58"/>
        <v>#REF!</v>
      </c>
    </row>
    <row r="266" spans="6:25" x14ac:dyDescent="0.2">
      <c r="F266">
        <f t="shared" si="62"/>
        <v>1315</v>
      </c>
      <c r="G266" t="e">
        <f>1.2*SQRT(2*F266/(airplane!#REF!*airplane!$B$13))-airplane!#REF!</f>
        <v>#REF!</v>
      </c>
      <c r="H266" t="e">
        <f t="shared" si="52"/>
        <v>#REF!</v>
      </c>
      <c r="K266">
        <f t="shared" si="53"/>
        <v>439.47300000000001</v>
      </c>
      <c r="L266" t="e">
        <f t="shared" si="54"/>
        <v>#REF!</v>
      </c>
      <c r="O266" s="8">
        <f t="shared" si="55"/>
        <v>27.467062500000001</v>
      </c>
      <c r="P266" s="8" t="e">
        <f t="shared" si="61"/>
        <v>#REF!</v>
      </c>
      <c r="Q266" s="8">
        <f t="shared" si="61"/>
        <v>5.2</v>
      </c>
      <c r="R266" s="8">
        <f t="shared" si="61"/>
        <v>0.03</v>
      </c>
      <c r="S266" s="8">
        <f t="shared" si="61"/>
        <v>0.8</v>
      </c>
      <c r="T266" s="8">
        <f t="shared" si="61"/>
        <v>0.5</v>
      </c>
      <c r="U266" s="8" t="e">
        <f t="shared" si="61"/>
        <v>#REF!</v>
      </c>
      <c r="W266" s="8" t="e">
        <f t="shared" si="57"/>
        <v>#REF!</v>
      </c>
      <c r="Y266" t="e">
        <f t="shared" si="58"/>
        <v>#REF!</v>
      </c>
    </row>
    <row r="267" spans="6:25" x14ac:dyDescent="0.2">
      <c r="F267">
        <f t="shared" si="62"/>
        <v>1320</v>
      </c>
      <c r="G267" t="e">
        <f>1.2*SQRT(2*F267/(airplane!#REF!*airplane!$B$13))-airplane!#REF!</f>
        <v>#REF!</v>
      </c>
      <c r="H267" t="e">
        <f t="shared" si="52"/>
        <v>#REF!</v>
      </c>
      <c r="K267">
        <f t="shared" si="53"/>
        <v>441.14400000000001</v>
      </c>
      <c r="L267" t="e">
        <f t="shared" si="54"/>
        <v>#REF!</v>
      </c>
      <c r="O267" s="8">
        <f t="shared" si="55"/>
        <v>27.5715</v>
      </c>
      <c r="P267" s="8" t="e">
        <f t="shared" si="61"/>
        <v>#REF!</v>
      </c>
      <c r="Q267" s="8">
        <f t="shared" si="61"/>
        <v>5.2</v>
      </c>
      <c r="R267" s="8">
        <f t="shared" si="61"/>
        <v>0.03</v>
      </c>
      <c r="S267" s="8">
        <f t="shared" si="61"/>
        <v>0.8</v>
      </c>
      <c r="T267" s="8">
        <f t="shared" si="61"/>
        <v>0.5</v>
      </c>
      <c r="U267" s="8" t="e">
        <f t="shared" si="61"/>
        <v>#REF!</v>
      </c>
      <c r="W267" s="8" t="e">
        <f t="shared" si="57"/>
        <v>#REF!</v>
      </c>
      <c r="Y267" t="e">
        <f t="shared" si="58"/>
        <v>#REF!</v>
      </c>
    </row>
    <row r="268" spans="6:25" x14ac:dyDescent="0.2">
      <c r="F268">
        <f t="shared" si="62"/>
        <v>1325</v>
      </c>
      <c r="G268" t="e">
        <f>1.2*SQRT(2*F268/(airplane!#REF!*airplane!$B$13))-airplane!#REF!</f>
        <v>#REF!</v>
      </c>
      <c r="H268" t="e">
        <f t="shared" si="52"/>
        <v>#REF!</v>
      </c>
      <c r="K268">
        <f t="shared" si="53"/>
        <v>442.815</v>
      </c>
      <c r="L268" t="e">
        <f t="shared" si="54"/>
        <v>#REF!</v>
      </c>
      <c r="O268" s="8">
        <f t="shared" si="55"/>
        <v>27.6759375</v>
      </c>
      <c r="P268" s="8" t="e">
        <f t="shared" si="61"/>
        <v>#REF!</v>
      </c>
      <c r="Q268" s="8">
        <f t="shared" si="61"/>
        <v>5.2</v>
      </c>
      <c r="R268" s="8">
        <f t="shared" si="61"/>
        <v>0.03</v>
      </c>
      <c r="S268" s="8">
        <f t="shared" si="61"/>
        <v>0.8</v>
      </c>
      <c r="T268" s="8">
        <f t="shared" si="61"/>
        <v>0.5</v>
      </c>
      <c r="U268" s="8" t="e">
        <f t="shared" si="61"/>
        <v>#REF!</v>
      </c>
      <c r="W268" s="8" t="e">
        <f t="shared" si="57"/>
        <v>#REF!</v>
      </c>
      <c r="Y268" t="e">
        <f t="shared" si="58"/>
        <v>#REF!</v>
      </c>
    </row>
    <row r="269" spans="6:25" x14ac:dyDescent="0.2">
      <c r="F269">
        <f t="shared" si="62"/>
        <v>1330</v>
      </c>
      <c r="G269" t="e">
        <f>1.2*SQRT(2*F269/(airplane!#REF!*airplane!$B$13))-airplane!#REF!</f>
        <v>#REF!</v>
      </c>
      <c r="H269" t="e">
        <f t="shared" si="52"/>
        <v>#REF!</v>
      </c>
      <c r="K269">
        <f t="shared" si="53"/>
        <v>444.48599999999999</v>
      </c>
      <c r="L269" t="e">
        <f t="shared" si="54"/>
        <v>#REF!</v>
      </c>
      <c r="O269" s="8">
        <f t="shared" si="55"/>
        <v>27.780374999999999</v>
      </c>
      <c r="P269" s="8" t="e">
        <f t="shared" si="61"/>
        <v>#REF!</v>
      </c>
      <c r="Q269" s="8">
        <f t="shared" si="61"/>
        <v>5.2</v>
      </c>
      <c r="R269" s="8">
        <f t="shared" si="61"/>
        <v>0.03</v>
      </c>
      <c r="S269" s="8">
        <f t="shared" si="61"/>
        <v>0.8</v>
      </c>
      <c r="T269" s="8">
        <f t="shared" si="61"/>
        <v>0.5</v>
      </c>
      <c r="U269" s="8" t="e">
        <f t="shared" si="61"/>
        <v>#REF!</v>
      </c>
      <c r="W269" s="8" t="e">
        <f t="shared" si="57"/>
        <v>#REF!</v>
      </c>
      <c r="Y269" t="e">
        <f t="shared" si="58"/>
        <v>#REF!</v>
      </c>
    </row>
    <row r="270" spans="6:25" x14ac:dyDescent="0.2">
      <c r="F270">
        <f t="shared" si="62"/>
        <v>1335</v>
      </c>
      <c r="G270" t="e">
        <f>1.2*SQRT(2*F270/(airplane!#REF!*airplane!$B$13))-airplane!#REF!</f>
        <v>#REF!</v>
      </c>
      <c r="H270" t="e">
        <f t="shared" si="52"/>
        <v>#REF!</v>
      </c>
      <c r="K270">
        <f t="shared" si="53"/>
        <v>446.15699999999998</v>
      </c>
      <c r="L270" t="e">
        <f t="shared" si="54"/>
        <v>#REF!</v>
      </c>
      <c r="O270" s="8">
        <f t="shared" si="55"/>
        <v>27.884812499999999</v>
      </c>
      <c r="P270" s="8" t="e">
        <f t="shared" si="61"/>
        <v>#REF!</v>
      </c>
      <c r="Q270" s="8">
        <f t="shared" si="61"/>
        <v>5.2</v>
      </c>
      <c r="R270" s="8">
        <f t="shared" si="61"/>
        <v>0.03</v>
      </c>
      <c r="S270" s="8">
        <f t="shared" si="61"/>
        <v>0.8</v>
      </c>
      <c r="T270" s="8">
        <f t="shared" si="61"/>
        <v>0.5</v>
      </c>
      <c r="U270" s="8" t="e">
        <f t="shared" si="61"/>
        <v>#REF!</v>
      </c>
      <c r="W270" s="8" t="e">
        <f t="shared" si="57"/>
        <v>#REF!</v>
      </c>
      <c r="Y270" t="e">
        <f t="shared" si="58"/>
        <v>#REF!</v>
      </c>
    </row>
    <row r="271" spans="6:25" x14ac:dyDescent="0.2">
      <c r="F271">
        <f t="shared" si="62"/>
        <v>1340</v>
      </c>
      <c r="G271" t="e">
        <f>1.2*SQRT(2*F271/(airplane!#REF!*airplane!$B$13))-airplane!#REF!</f>
        <v>#REF!</v>
      </c>
      <c r="H271" t="e">
        <f t="shared" ref="H271:H334" si="63">Y271</f>
        <v>#REF!</v>
      </c>
      <c r="K271">
        <f t="shared" ref="K271:K334" si="64">F271*0.3342</f>
        <v>447.82799999999997</v>
      </c>
      <c r="L271" t="e">
        <f t="shared" ref="L271:L334" si="65">H271*4.448</f>
        <v>#REF!</v>
      </c>
      <c r="O271" s="8">
        <f t="shared" ref="O271:O334" si="66">K271/16</f>
        <v>27.989249999999998</v>
      </c>
      <c r="P271" s="8" t="e">
        <f t="shared" ref="P271:U286" si="67">P270</f>
        <v>#REF!</v>
      </c>
      <c r="Q271" s="8">
        <f t="shared" si="67"/>
        <v>5.2</v>
      </c>
      <c r="R271" s="8">
        <f t="shared" si="67"/>
        <v>0.03</v>
      </c>
      <c r="S271" s="8">
        <f t="shared" si="67"/>
        <v>0.8</v>
      </c>
      <c r="T271" s="8">
        <f t="shared" si="67"/>
        <v>0.5</v>
      </c>
      <c r="U271" s="8" t="e">
        <f t="shared" si="67"/>
        <v>#REF!</v>
      </c>
      <c r="W271" s="8" t="e">
        <f t="shared" ref="W271:W334" si="68">149.048255755414 + -54.8076469211868 * TANH(0.5 * ((-1.90311837493387) + -2.90092544214518 * O271 + 2.39505098582308 * P271 + -0.0283389134105036 * Q271 + 5.19308047170936 * R271 + -0.0705176187957977 * S271 + -3.27116421887395 * T271 + 0.487399857872412 * U271)) + 33.0866673975606 * TANH(0.5 * ((-10.9668713929341) + 2.35524027768271 * O271 + 3.73791895311835 * P271 + 0.0550541094921953 * Q271 + 5.9452766643223 * R271 + -0.0800115435216866 * S271 + -0.0158182141911049 * T271 + 0.347472887456459 * U271)) + 28.3453260854724 * TANH(0.5 * (4.25176964573387 + -0.66460275837987 * O271 + 1.29537751335798 * P271 + -0.130256031902394 * Q271 + 31.2667602760926 * R271 + -1.24048544610401 * S271 + 0.0937927006240642 * T271 + -0.0566650624068167 * U271)) + 6.79870987971588 * TANH(0.5 * (10.0518228768354 + 5.50509550241032 * O271 + -3.83803539356733 * P271 + -0.465217054676259 * Q271 + -26.6617416441195 * R271 + 1.69864364271823 * S271 + 1.31308464511239 * T271 + -0.408787412840148 * U271)) + 34.8668869080431 * TANH(0.5 * (8.22077312844118 + 5.58131964160515 * O271 + -5.45167953353492 * P271 + 0.131357302073037 * Q271 + -3.02895908030327 * R271 + 0.620182457511558 * S271 + 0.516840709792139 * T271 + -0.426084796098354 * U271)) + -38.9742336884865 * TANH(0.5 * ((-6.63509223591402) + -3.81651288586513 * O271 + 3.96461447865925 * P271 + -0.0427755407034191 * Q271 + 1.12271394672456 * R271 + 0.0774782141523358 * S271 + -1.00839111713208 * T271 + 0.432613997233709 * U271)) + 94.7572230191964 * TANH(0.5 * (2.61370613563095 + 2.08158608465853 * O271 + -5.30494797629013 * P271 + -0.0107060857549542 * Q271 + -3.17349866436297 * R271 + 0.259803966881259 * S271 + 0.165932316676154 * T271 + -0.103542416733828 * U271)) + 19.6842352112259 * TANH(0.5 * ((-11.3180358678866) + -6.05406376734185 * O271 + 6.26161664490292 * P271 + -0.0149996825471037 * Q271 + 12.6493036152436 * R271 + -1.26783941440917 * S271 + -1.22533297933495 * T271 + 0.454263469706135 * U271)) + 33.3825353084738 * TANH(0.5 * (3.02832658290986 + -4.98369928277894 * O271 + -5.38839891768436 * P271 + 2.00089047251944 * Q271 + 518.862002410857 * R271 + 5.25176474025537 * S271 + -17.6499237483562 * T271 + 0.479515709156452 * U271)) + 8.33789006875588 * TANH(0.5 * (5.21393347551219 + -2.63059327387901 * O271 + 4.88843846109308 * P271 + -0.746655568511994 * Q271 + 25.471194142492 * R271 + -5.03554280328379 * S271 + 0.903364963978358 * T271 + -0.050418064604326 * U271))</f>
        <v>#REF!</v>
      </c>
      <c r="Y271" t="e">
        <f t="shared" ref="Y271:Y334" si="69">W271/4.448</f>
        <v>#REF!</v>
      </c>
    </row>
    <row r="272" spans="6:25" x14ac:dyDescent="0.2">
      <c r="F272">
        <f t="shared" si="62"/>
        <v>1345</v>
      </c>
      <c r="G272" t="e">
        <f>1.2*SQRT(2*F272/(airplane!#REF!*airplane!$B$13))-airplane!#REF!</f>
        <v>#REF!</v>
      </c>
      <c r="H272" t="e">
        <f t="shared" si="63"/>
        <v>#REF!</v>
      </c>
      <c r="K272">
        <f t="shared" si="64"/>
        <v>449.49900000000002</v>
      </c>
      <c r="L272" t="e">
        <f t="shared" si="65"/>
        <v>#REF!</v>
      </c>
      <c r="O272" s="8">
        <f t="shared" si="66"/>
        <v>28.093687500000001</v>
      </c>
      <c r="P272" s="8" t="e">
        <f t="shared" si="67"/>
        <v>#REF!</v>
      </c>
      <c r="Q272" s="8">
        <f t="shared" si="67"/>
        <v>5.2</v>
      </c>
      <c r="R272" s="8">
        <f t="shared" si="67"/>
        <v>0.03</v>
      </c>
      <c r="S272" s="8">
        <f t="shared" si="67"/>
        <v>0.8</v>
      </c>
      <c r="T272" s="8">
        <f t="shared" si="67"/>
        <v>0.5</v>
      </c>
      <c r="U272" s="8" t="e">
        <f t="shared" si="67"/>
        <v>#REF!</v>
      </c>
      <c r="W272" s="8" t="e">
        <f t="shared" si="68"/>
        <v>#REF!</v>
      </c>
      <c r="Y272" t="e">
        <f t="shared" si="69"/>
        <v>#REF!</v>
      </c>
    </row>
    <row r="273" spans="6:25" x14ac:dyDescent="0.2">
      <c r="F273">
        <f t="shared" si="62"/>
        <v>1350</v>
      </c>
      <c r="G273" t="e">
        <f>1.2*SQRT(2*F273/(airplane!#REF!*airplane!$B$13))-airplane!#REF!</f>
        <v>#REF!</v>
      </c>
      <c r="H273" t="e">
        <f t="shared" si="63"/>
        <v>#REF!</v>
      </c>
      <c r="K273">
        <f t="shared" si="64"/>
        <v>451.17</v>
      </c>
      <c r="L273" t="e">
        <f t="shared" si="65"/>
        <v>#REF!</v>
      </c>
      <c r="O273" s="8">
        <f t="shared" si="66"/>
        <v>28.198125000000001</v>
      </c>
      <c r="P273" s="8" t="e">
        <f t="shared" si="67"/>
        <v>#REF!</v>
      </c>
      <c r="Q273" s="8">
        <f t="shared" si="67"/>
        <v>5.2</v>
      </c>
      <c r="R273" s="8">
        <f t="shared" si="67"/>
        <v>0.03</v>
      </c>
      <c r="S273" s="8">
        <f t="shared" si="67"/>
        <v>0.8</v>
      </c>
      <c r="T273" s="8">
        <f t="shared" si="67"/>
        <v>0.5</v>
      </c>
      <c r="U273" s="8" t="e">
        <f t="shared" si="67"/>
        <v>#REF!</v>
      </c>
      <c r="W273" s="8" t="e">
        <f t="shared" si="68"/>
        <v>#REF!</v>
      </c>
      <c r="Y273" t="e">
        <f t="shared" si="69"/>
        <v>#REF!</v>
      </c>
    </row>
    <row r="274" spans="6:25" x14ac:dyDescent="0.2">
      <c r="F274">
        <f t="shared" si="62"/>
        <v>1355</v>
      </c>
      <c r="G274" t="e">
        <f>1.2*SQRT(2*F274/(airplane!#REF!*airplane!$B$13))-airplane!#REF!</f>
        <v>#REF!</v>
      </c>
      <c r="H274" t="e">
        <f t="shared" si="63"/>
        <v>#REF!</v>
      </c>
      <c r="K274">
        <f t="shared" si="64"/>
        <v>452.84100000000001</v>
      </c>
      <c r="L274" t="e">
        <f t="shared" si="65"/>
        <v>#REF!</v>
      </c>
      <c r="O274" s="8">
        <f t="shared" si="66"/>
        <v>28.302562500000001</v>
      </c>
      <c r="P274" s="8" t="e">
        <f t="shared" si="67"/>
        <v>#REF!</v>
      </c>
      <c r="Q274" s="8">
        <f t="shared" si="67"/>
        <v>5.2</v>
      </c>
      <c r="R274" s="8">
        <f t="shared" si="67"/>
        <v>0.03</v>
      </c>
      <c r="S274" s="8">
        <f t="shared" si="67"/>
        <v>0.8</v>
      </c>
      <c r="T274" s="8">
        <f t="shared" si="67"/>
        <v>0.5</v>
      </c>
      <c r="U274" s="8" t="e">
        <f t="shared" si="67"/>
        <v>#REF!</v>
      </c>
      <c r="W274" s="8" t="e">
        <f t="shared" si="68"/>
        <v>#REF!</v>
      </c>
      <c r="Y274" t="e">
        <f t="shared" si="69"/>
        <v>#REF!</v>
      </c>
    </row>
    <row r="275" spans="6:25" x14ac:dyDescent="0.2">
      <c r="F275">
        <f t="shared" si="62"/>
        <v>1360</v>
      </c>
      <c r="G275" t="e">
        <f>1.2*SQRT(2*F275/(airplane!#REF!*airplane!$B$13))-airplane!#REF!</f>
        <v>#REF!</v>
      </c>
      <c r="H275" t="e">
        <f t="shared" si="63"/>
        <v>#REF!</v>
      </c>
      <c r="K275">
        <f t="shared" si="64"/>
        <v>454.512</v>
      </c>
      <c r="L275" t="e">
        <f t="shared" si="65"/>
        <v>#REF!</v>
      </c>
      <c r="O275" s="8">
        <f t="shared" si="66"/>
        <v>28.407</v>
      </c>
      <c r="P275" s="8" t="e">
        <f t="shared" si="67"/>
        <v>#REF!</v>
      </c>
      <c r="Q275" s="8">
        <f t="shared" si="67"/>
        <v>5.2</v>
      </c>
      <c r="R275" s="8">
        <f t="shared" si="67"/>
        <v>0.03</v>
      </c>
      <c r="S275" s="8">
        <f t="shared" si="67"/>
        <v>0.8</v>
      </c>
      <c r="T275" s="8">
        <f t="shared" si="67"/>
        <v>0.5</v>
      </c>
      <c r="U275" s="8" t="e">
        <f t="shared" si="67"/>
        <v>#REF!</v>
      </c>
      <c r="W275" s="8" t="e">
        <f t="shared" si="68"/>
        <v>#REF!</v>
      </c>
      <c r="Y275" t="e">
        <f t="shared" si="69"/>
        <v>#REF!</v>
      </c>
    </row>
    <row r="276" spans="6:25" x14ac:dyDescent="0.2">
      <c r="F276">
        <f t="shared" si="62"/>
        <v>1365</v>
      </c>
      <c r="G276" t="e">
        <f>1.2*SQRT(2*F276/(airplane!#REF!*airplane!$B$13))-airplane!#REF!</f>
        <v>#REF!</v>
      </c>
      <c r="H276" t="e">
        <f t="shared" si="63"/>
        <v>#REF!</v>
      </c>
      <c r="K276">
        <f t="shared" si="64"/>
        <v>456.18299999999999</v>
      </c>
      <c r="L276" t="e">
        <f t="shared" si="65"/>
        <v>#REF!</v>
      </c>
      <c r="O276" s="8">
        <f t="shared" si="66"/>
        <v>28.5114375</v>
      </c>
      <c r="P276" s="8" t="e">
        <f t="shared" si="67"/>
        <v>#REF!</v>
      </c>
      <c r="Q276" s="8">
        <f t="shared" si="67"/>
        <v>5.2</v>
      </c>
      <c r="R276" s="8">
        <f t="shared" si="67"/>
        <v>0.03</v>
      </c>
      <c r="S276" s="8">
        <f t="shared" si="67"/>
        <v>0.8</v>
      </c>
      <c r="T276" s="8">
        <f t="shared" si="67"/>
        <v>0.5</v>
      </c>
      <c r="U276" s="8" t="e">
        <f t="shared" si="67"/>
        <v>#REF!</v>
      </c>
      <c r="W276" s="8" t="e">
        <f t="shared" si="68"/>
        <v>#REF!</v>
      </c>
      <c r="Y276" t="e">
        <f t="shared" si="69"/>
        <v>#REF!</v>
      </c>
    </row>
    <row r="277" spans="6:25" x14ac:dyDescent="0.2">
      <c r="F277">
        <f t="shared" si="62"/>
        <v>1370</v>
      </c>
      <c r="G277" t="e">
        <f>1.2*SQRT(2*F277/(airplane!#REF!*airplane!$B$13))-airplane!#REF!</f>
        <v>#REF!</v>
      </c>
      <c r="H277" t="e">
        <f t="shared" si="63"/>
        <v>#REF!</v>
      </c>
      <c r="K277">
        <f t="shared" si="64"/>
        <v>457.85399999999998</v>
      </c>
      <c r="L277" t="e">
        <f t="shared" si="65"/>
        <v>#REF!</v>
      </c>
      <c r="O277" s="8">
        <f t="shared" si="66"/>
        <v>28.615874999999999</v>
      </c>
      <c r="P277" s="8" t="e">
        <f t="shared" si="67"/>
        <v>#REF!</v>
      </c>
      <c r="Q277" s="8">
        <f t="shared" si="67"/>
        <v>5.2</v>
      </c>
      <c r="R277" s="8">
        <f t="shared" si="67"/>
        <v>0.03</v>
      </c>
      <c r="S277" s="8">
        <f t="shared" si="67"/>
        <v>0.8</v>
      </c>
      <c r="T277" s="8">
        <f t="shared" si="67"/>
        <v>0.5</v>
      </c>
      <c r="U277" s="8" t="e">
        <f t="shared" si="67"/>
        <v>#REF!</v>
      </c>
      <c r="W277" s="8" t="e">
        <f t="shared" si="68"/>
        <v>#REF!</v>
      </c>
      <c r="Y277" t="e">
        <f t="shared" si="69"/>
        <v>#REF!</v>
      </c>
    </row>
    <row r="278" spans="6:25" x14ac:dyDescent="0.2">
      <c r="F278">
        <f t="shared" si="62"/>
        <v>1375</v>
      </c>
      <c r="G278" t="e">
        <f>1.2*SQRT(2*F278/(airplane!#REF!*airplane!$B$13))-airplane!#REF!</f>
        <v>#REF!</v>
      </c>
      <c r="H278" t="e">
        <f t="shared" si="63"/>
        <v>#REF!</v>
      </c>
      <c r="K278">
        <f t="shared" si="64"/>
        <v>459.52499999999998</v>
      </c>
      <c r="L278" t="e">
        <f t="shared" si="65"/>
        <v>#REF!</v>
      </c>
      <c r="O278" s="8">
        <f t="shared" si="66"/>
        <v>28.720312499999999</v>
      </c>
      <c r="P278" s="8" t="e">
        <f t="shared" si="67"/>
        <v>#REF!</v>
      </c>
      <c r="Q278" s="8">
        <f t="shared" si="67"/>
        <v>5.2</v>
      </c>
      <c r="R278" s="8">
        <f t="shared" si="67"/>
        <v>0.03</v>
      </c>
      <c r="S278" s="8">
        <f t="shared" si="67"/>
        <v>0.8</v>
      </c>
      <c r="T278" s="8">
        <f t="shared" si="67"/>
        <v>0.5</v>
      </c>
      <c r="U278" s="8" t="e">
        <f t="shared" si="67"/>
        <v>#REF!</v>
      </c>
      <c r="W278" s="8" t="e">
        <f t="shared" si="68"/>
        <v>#REF!</v>
      </c>
      <c r="Y278" t="e">
        <f t="shared" si="69"/>
        <v>#REF!</v>
      </c>
    </row>
    <row r="279" spans="6:25" x14ac:dyDescent="0.2">
      <c r="F279">
        <f t="shared" si="62"/>
        <v>1380</v>
      </c>
      <c r="G279" t="e">
        <f>1.2*SQRT(2*F279/(airplane!#REF!*airplane!$B$13))-airplane!#REF!</f>
        <v>#REF!</v>
      </c>
      <c r="H279" t="e">
        <f t="shared" si="63"/>
        <v>#REF!</v>
      </c>
      <c r="K279">
        <f t="shared" si="64"/>
        <v>461.19599999999997</v>
      </c>
      <c r="L279" t="e">
        <f t="shared" si="65"/>
        <v>#REF!</v>
      </c>
      <c r="O279" s="8">
        <f t="shared" si="66"/>
        <v>28.824749999999998</v>
      </c>
      <c r="P279" s="8" t="e">
        <f t="shared" si="67"/>
        <v>#REF!</v>
      </c>
      <c r="Q279" s="8">
        <f t="shared" si="67"/>
        <v>5.2</v>
      </c>
      <c r="R279" s="8">
        <f t="shared" si="67"/>
        <v>0.03</v>
      </c>
      <c r="S279" s="8">
        <f t="shared" si="67"/>
        <v>0.8</v>
      </c>
      <c r="T279" s="8">
        <f t="shared" si="67"/>
        <v>0.5</v>
      </c>
      <c r="U279" s="8" t="e">
        <f t="shared" si="67"/>
        <v>#REF!</v>
      </c>
      <c r="W279" s="8" t="e">
        <f t="shared" si="68"/>
        <v>#REF!</v>
      </c>
      <c r="Y279" t="e">
        <f t="shared" si="69"/>
        <v>#REF!</v>
      </c>
    </row>
    <row r="280" spans="6:25" x14ac:dyDescent="0.2">
      <c r="F280">
        <f t="shared" si="62"/>
        <v>1385</v>
      </c>
      <c r="G280" t="e">
        <f>1.2*SQRT(2*F280/(airplane!#REF!*airplane!$B$13))-airplane!#REF!</f>
        <v>#REF!</v>
      </c>
      <c r="H280" t="e">
        <f t="shared" si="63"/>
        <v>#REF!</v>
      </c>
      <c r="K280">
        <f t="shared" si="64"/>
        <v>462.86700000000002</v>
      </c>
      <c r="L280" t="e">
        <f t="shared" si="65"/>
        <v>#REF!</v>
      </c>
      <c r="O280" s="8">
        <f t="shared" si="66"/>
        <v>28.929187500000001</v>
      </c>
      <c r="P280" s="8" t="e">
        <f t="shared" si="67"/>
        <v>#REF!</v>
      </c>
      <c r="Q280" s="8">
        <f t="shared" si="67"/>
        <v>5.2</v>
      </c>
      <c r="R280" s="8">
        <f t="shared" si="67"/>
        <v>0.03</v>
      </c>
      <c r="S280" s="8">
        <f t="shared" si="67"/>
        <v>0.8</v>
      </c>
      <c r="T280" s="8">
        <f t="shared" si="67"/>
        <v>0.5</v>
      </c>
      <c r="U280" s="8" t="e">
        <f t="shared" si="67"/>
        <v>#REF!</v>
      </c>
      <c r="W280" s="8" t="e">
        <f t="shared" si="68"/>
        <v>#REF!</v>
      </c>
      <c r="Y280" t="e">
        <f t="shared" si="69"/>
        <v>#REF!</v>
      </c>
    </row>
    <row r="281" spans="6:25" x14ac:dyDescent="0.2">
      <c r="F281">
        <f t="shared" si="62"/>
        <v>1390</v>
      </c>
      <c r="G281" t="e">
        <f>1.2*SQRT(2*F281/(airplane!#REF!*airplane!$B$13))-airplane!#REF!</f>
        <v>#REF!</v>
      </c>
      <c r="H281" t="e">
        <f t="shared" si="63"/>
        <v>#REF!</v>
      </c>
      <c r="K281">
        <f t="shared" si="64"/>
        <v>464.53800000000001</v>
      </c>
      <c r="L281" t="e">
        <f t="shared" si="65"/>
        <v>#REF!</v>
      </c>
      <c r="O281" s="8">
        <f t="shared" si="66"/>
        <v>29.033625000000001</v>
      </c>
      <c r="P281" s="8" t="e">
        <f t="shared" si="67"/>
        <v>#REF!</v>
      </c>
      <c r="Q281" s="8">
        <f t="shared" si="67"/>
        <v>5.2</v>
      </c>
      <c r="R281" s="8">
        <f t="shared" si="67"/>
        <v>0.03</v>
      </c>
      <c r="S281" s="8">
        <f t="shared" si="67"/>
        <v>0.8</v>
      </c>
      <c r="T281" s="8">
        <f t="shared" si="67"/>
        <v>0.5</v>
      </c>
      <c r="U281" s="8" t="e">
        <f t="shared" si="67"/>
        <v>#REF!</v>
      </c>
      <c r="W281" s="8" t="e">
        <f t="shared" si="68"/>
        <v>#REF!</v>
      </c>
      <c r="Y281" t="e">
        <f t="shared" si="69"/>
        <v>#REF!</v>
      </c>
    </row>
    <row r="282" spans="6:25" x14ac:dyDescent="0.2">
      <c r="F282">
        <f t="shared" si="62"/>
        <v>1395</v>
      </c>
      <c r="G282" t="e">
        <f>1.2*SQRT(2*F282/(airplane!#REF!*airplane!$B$13))-airplane!#REF!</f>
        <v>#REF!</v>
      </c>
      <c r="H282" t="e">
        <f t="shared" si="63"/>
        <v>#REF!</v>
      </c>
      <c r="K282">
        <f t="shared" si="64"/>
        <v>466.209</v>
      </c>
      <c r="L282" t="e">
        <f t="shared" si="65"/>
        <v>#REF!</v>
      </c>
      <c r="O282" s="8">
        <f t="shared" si="66"/>
        <v>29.1380625</v>
      </c>
      <c r="P282" s="8" t="e">
        <f t="shared" si="67"/>
        <v>#REF!</v>
      </c>
      <c r="Q282" s="8">
        <f t="shared" si="67"/>
        <v>5.2</v>
      </c>
      <c r="R282" s="8">
        <f t="shared" si="67"/>
        <v>0.03</v>
      </c>
      <c r="S282" s="8">
        <f t="shared" si="67"/>
        <v>0.8</v>
      </c>
      <c r="T282" s="8">
        <f t="shared" si="67"/>
        <v>0.5</v>
      </c>
      <c r="U282" s="8" t="e">
        <f t="shared" si="67"/>
        <v>#REF!</v>
      </c>
      <c r="W282" s="8" t="e">
        <f t="shared" si="68"/>
        <v>#REF!</v>
      </c>
      <c r="Y282" t="e">
        <f t="shared" si="69"/>
        <v>#REF!</v>
      </c>
    </row>
    <row r="283" spans="6:25" x14ac:dyDescent="0.2">
      <c r="F283">
        <f t="shared" si="62"/>
        <v>1400</v>
      </c>
      <c r="G283" t="e">
        <f>1.2*SQRT(2*F283/(airplane!#REF!*airplane!$B$13))-airplane!#REF!</f>
        <v>#REF!</v>
      </c>
      <c r="H283" t="e">
        <f t="shared" si="63"/>
        <v>#REF!</v>
      </c>
      <c r="K283">
        <f t="shared" si="64"/>
        <v>467.88</v>
      </c>
      <c r="L283" t="e">
        <f t="shared" si="65"/>
        <v>#REF!</v>
      </c>
      <c r="O283" s="8">
        <f t="shared" si="66"/>
        <v>29.2425</v>
      </c>
      <c r="P283" s="8" t="e">
        <f t="shared" si="67"/>
        <v>#REF!</v>
      </c>
      <c r="Q283" s="8">
        <f t="shared" si="67"/>
        <v>5.2</v>
      </c>
      <c r="R283" s="8">
        <f t="shared" si="67"/>
        <v>0.03</v>
      </c>
      <c r="S283" s="8">
        <f t="shared" si="67"/>
        <v>0.8</v>
      </c>
      <c r="T283" s="8">
        <f t="shared" si="67"/>
        <v>0.5</v>
      </c>
      <c r="U283" s="8" t="e">
        <f t="shared" si="67"/>
        <v>#REF!</v>
      </c>
      <c r="W283" s="8" t="e">
        <f t="shared" si="68"/>
        <v>#REF!</v>
      </c>
      <c r="Y283" t="e">
        <f t="shared" si="69"/>
        <v>#REF!</v>
      </c>
    </row>
    <row r="284" spans="6:25" x14ac:dyDescent="0.2">
      <c r="F284">
        <f t="shared" si="62"/>
        <v>1405</v>
      </c>
      <c r="G284" t="e">
        <f>1.2*SQRT(2*F284/(airplane!#REF!*airplane!$B$13))-airplane!#REF!</f>
        <v>#REF!</v>
      </c>
      <c r="H284" t="e">
        <f t="shared" si="63"/>
        <v>#REF!</v>
      </c>
      <c r="K284">
        <f t="shared" si="64"/>
        <v>469.55099999999999</v>
      </c>
      <c r="L284" t="e">
        <f t="shared" si="65"/>
        <v>#REF!</v>
      </c>
      <c r="O284" s="8">
        <f t="shared" si="66"/>
        <v>29.346937499999999</v>
      </c>
      <c r="P284" s="8" t="e">
        <f t="shared" si="67"/>
        <v>#REF!</v>
      </c>
      <c r="Q284" s="8">
        <f t="shared" si="67"/>
        <v>5.2</v>
      </c>
      <c r="R284" s="8">
        <f t="shared" si="67"/>
        <v>0.03</v>
      </c>
      <c r="S284" s="8">
        <f t="shared" si="67"/>
        <v>0.8</v>
      </c>
      <c r="T284" s="8">
        <f t="shared" si="67"/>
        <v>0.5</v>
      </c>
      <c r="U284" s="8" t="e">
        <f t="shared" si="67"/>
        <v>#REF!</v>
      </c>
      <c r="W284" s="8" t="e">
        <f t="shared" si="68"/>
        <v>#REF!</v>
      </c>
      <c r="Y284" t="e">
        <f t="shared" si="69"/>
        <v>#REF!</v>
      </c>
    </row>
    <row r="285" spans="6:25" x14ac:dyDescent="0.2">
      <c r="F285">
        <f t="shared" si="62"/>
        <v>1410</v>
      </c>
      <c r="G285" t="e">
        <f>1.2*SQRT(2*F285/(airplane!#REF!*airplane!$B$13))-airplane!#REF!</f>
        <v>#REF!</v>
      </c>
      <c r="H285" t="e">
        <f t="shared" si="63"/>
        <v>#REF!</v>
      </c>
      <c r="K285">
        <f t="shared" si="64"/>
        <v>471.22199999999998</v>
      </c>
      <c r="L285" t="e">
        <f t="shared" si="65"/>
        <v>#REF!</v>
      </c>
      <c r="O285" s="8">
        <f t="shared" si="66"/>
        <v>29.451374999999999</v>
      </c>
      <c r="P285" s="8" t="e">
        <f t="shared" si="67"/>
        <v>#REF!</v>
      </c>
      <c r="Q285" s="8">
        <f t="shared" si="67"/>
        <v>5.2</v>
      </c>
      <c r="R285" s="8">
        <f t="shared" si="67"/>
        <v>0.03</v>
      </c>
      <c r="S285" s="8">
        <f t="shared" si="67"/>
        <v>0.8</v>
      </c>
      <c r="T285" s="8">
        <f t="shared" si="67"/>
        <v>0.5</v>
      </c>
      <c r="U285" s="8" t="e">
        <f t="shared" si="67"/>
        <v>#REF!</v>
      </c>
      <c r="W285" s="8" t="e">
        <f t="shared" si="68"/>
        <v>#REF!</v>
      </c>
      <c r="Y285" t="e">
        <f t="shared" si="69"/>
        <v>#REF!</v>
      </c>
    </row>
    <row r="286" spans="6:25" x14ac:dyDescent="0.2">
      <c r="F286">
        <f t="shared" si="62"/>
        <v>1415</v>
      </c>
      <c r="G286" t="e">
        <f>1.2*SQRT(2*F286/(airplane!#REF!*airplane!$B$13))-airplane!#REF!</f>
        <v>#REF!</v>
      </c>
      <c r="H286" t="e">
        <f t="shared" si="63"/>
        <v>#REF!</v>
      </c>
      <c r="K286">
        <f t="shared" si="64"/>
        <v>472.89299999999997</v>
      </c>
      <c r="L286" t="e">
        <f t="shared" si="65"/>
        <v>#REF!</v>
      </c>
      <c r="O286" s="8">
        <f t="shared" si="66"/>
        <v>29.555812499999998</v>
      </c>
      <c r="P286" s="8" t="e">
        <f t="shared" si="67"/>
        <v>#REF!</v>
      </c>
      <c r="Q286" s="8">
        <f t="shared" si="67"/>
        <v>5.2</v>
      </c>
      <c r="R286" s="8">
        <f t="shared" si="67"/>
        <v>0.03</v>
      </c>
      <c r="S286" s="8">
        <f t="shared" si="67"/>
        <v>0.8</v>
      </c>
      <c r="T286" s="8">
        <f t="shared" si="67"/>
        <v>0.5</v>
      </c>
      <c r="U286" s="8" t="e">
        <f t="shared" si="67"/>
        <v>#REF!</v>
      </c>
      <c r="W286" s="8" t="e">
        <f t="shared" si="68"/>
        <v>#REF!</v>
      </c>
      <c r="Y286" t="e">
        <f t="shared" si="69"/>
        <v>#REF!</v>
      </c>
    </row>
    <row r="287" spans="6:25" x14ac:dyDescent="0.2">
      <c r="F287">
        <f t="shared" si="62"/>
        <v>1420</v>
      </c>
      <c r="G287" t="e">
        <f>1.2*SQRT(2*F287/(airplane!#REF!*airplane!$B$13))-airplane!#REF!</f>
        <v>#REF!</v>
      </c>
      <c r="H287" t="e">
        <f t="shared" si="63"/>
        <v>#REF!</v>
      </c>
      <c r="K287">
        <f t="shared" si="64"/>
        <v>474.56400000000002</v>
      </c>
      <c r="L287" t="e">
        <f t="shared" si="65"/>
        <v>#REF!</v>
      </c>
      <c r="O287" s="8">
        <f t="shared" si="66"/>
        <v>29.660250000000001</v>
      </c>
      <c r="P287" s="8" t="e">
        <f t="shared" ref="P287:U302" si="70">P286</f>
        <v>#REF!</v>
      </c>
      <c r="Q287" s="8">
        <f t="shared" si="70"/>
        <v>5.2</v>
      </c>
      <c r="R287" s="8">
        <f t="shared" si="70"/>
        <v>0.03</v>
      </c>
      <c r="S287" s="8">
        <f t="shared" si="70"/>
        <v>0.8</v>
      </c>
      <c r="T287" s="8">
        <f t="shared" si="70"/>
        <v>0.5</v>
      </c>
      <c r="U287" s="8" t="e">
        <f t="shared" si="70"/>
        <v>#REF!</v>
      </c>
      <c r="W287" s="8" t="e">
        <f t="shared" si="68"/>
        <v>#REF!</v>
      </c>
      <c r="Y287" t="e">
        <f t="shared" si="69"/>
        <v>#REF!</v>
      </c>
    </row>
    <row r="288" spans="6:25" x14ac:dyDescent="0.2">
      <c r="F288">
        <f t="shared" si="62"/>
        <v>1425</v>
      </c>
      <c r="G288" t="e">
        <f>1.2*SQRT(2*F288/(airplane!#REF!*airplane!$B$13))-airplane!#REF!</f>
        <v>#REF!</v>
      </c>
      <c r="H288" t="e">
        <f t="shared" si="63"/>
        <v>#REF!</v>
      </c>
      <c r="K288">
        <f t="shared" si="64"/>
        <v>476.23500000000001</v>
      </c>
      <c r="L288" t="e">
        <f t="shared" si="65"/>
        <v>#REF!</v>
      </c>
      <c r="O288" s="8">
        <f t="shared" si="66"/>
        <v>29.764687500000001</v>
      </c>
      <c r="P288" s="8" t="e">
        <f t="shared" si="70"/>
        <v>#REF!</v>
      </c>
      <c r="Q288" s="8">
        <f t="shared" si="70"/>
        <v>5.2</v>
      </c>
      <c r="R288" s="8">
        <f t="shared" si="70"/>
        <v>0.03</v>
      </c>
      <c r="S288" s="8">
        <f t="shared" si="70"/>
        <v>0.8</v>
      </c>
      <c r="T288" s="8">
        <f t="shared" si="70"/>
        <v>0.5</v>
      </c>
      <c r="U288" s="8" t="e">
        <f t="shared" si="70"/>
        <v>#REF!</v>
      </c>
      <c r="W288" s="8" t="e">
        <f t="shared" si="68"/>
        <v>#REF!</v>
      </c>
      <c r="Y288" t="e">
        <f t="shared" si="69"/>
        <v>#REF!</v>
      </c>
    </row>
    <row r="289" spans="6:25" x14ac:dyDescent="0.2">
      <c r="F289">
        <f t="shared" si="62"/>
        <v>1430</v>
      </c>
      <c r="G289" t="e">
        <f>1.2*SQRT(2*F289/(airplane!#REF!*airplane!$B$13))-airplane!#REF!</f>
        <v>#REF!</v>
      </c>
      <c r="H289" t="e">
        <f t="shared" si="63"/>
        <v>#REF!</v>
      </c>
      <c r="K289">
        <f t="shared" si="64"/>
        <v>477.90600000000001</v>
      </c>
      <c r="L289" t="e">
        <f t="shared" si="65"/>
        <v>#REF!</v>
      </c>
      <c r="O289" s="8">
        <f t="shared" si="66"/>
        <v>29.869125</v>
      </c>
      <c r="P289" s="8" t="e">
        <f t="shared" si="70"/>
        <v>#REF!</v>
      </c>
      <c r="Q289" s="8">
        <f t="shared" si="70"/>
        <v>5.2</v>
      </c>
      <c r="R289" s="8">
        <f t="shared" si="70"/>
        <v>0.03</v>
      </c>
      <c r="S289" s="8">
        <f t="shared" si="70"/>
        <v>0.8</v>
      </c>
      <c r="T289" s="8">
        <f t="shared" si="70"/>
        <v>0.5</v>
      </c>
      <c r="U289" s="8" t="e">
        <f t="shared" si="70"/>
        <v>#REF!</v>
      </c>
      <c r="W289" s="8" t="e">
        <f t="shared" si="68"/>
        <v>#REF!</v>
      </c>
      <c r="Y289" t="e">
        <f t="shared" si="69"/>
        <v>#REF!</v>
      </c>
    </row>
    <row r="290" spans="6:25" x14ac:dyDescent="0.2">
      <c r="F290">
        <f t="shared" si="62"/>
        <v>1435</v>
      </c>
      <c r="G290" t="e">
        <f>1.2*SQRT(2*F290/(airplane!#REF!*airplane!$B$13))-airplane!#REF!</f>
        <v>#REF!</v>
      </c>
      <c r="H290" t="e">
        <f t="shared" si="63"/>
        <v>#REF!</v>
      </c>
      <c r="K290">
        <f t="shared" si="64"/>
        <v>479.577</v>
      </c>
      <c r="L290" t="e">
        <f t="shared" si="65"/>
        <v>#REF!</v>
      </c>
      <c r="O290" s="8">
        <f t="shared" si="66"/>
        <v>29.9735625</v>
      </c>
      <c r="P290" s="8" t="e">
        <f t="shared" si="70"/>
        <v>#REF!</v>
      </c>
      <c r="Q290" s="8">
        <f t="shared" si="70"/>
        <v>5.2</v>
      </c>
      <c r="R290" s="8">
        <f t="shared" si="70"/>
        <v>0.03</v>
      </c>
      <c r="S290" s="8">
        <f t="shared" si="70"/>
        <v>0.8</v>
      </c>
      <c r="T290" s="8">
        <f t="shared" si="70"/>
        <v>0.5</v>
      </c>
      <c r="U290" s="8" t="e">
        <f t="shared" si="70"/>
        <v>#REF!</v>
      </c>
      <c r="W290" s="8" t="e">
        <f t="shared" si="68"/>
        <v>#REF!</v>
      </c>
      <c r="Y290" t="e">
        <f t="shared" si="69"/>
        <v>#REF!</v>
      </c>
    </row>
    <row r="291" spans="6:25" x14ac:dyDescent="0.2">
      <c r="F291">
        <f t="shared" si="62"/>
        <v>1440</v>
      </c>
      <c r="G291" t="e">
        <f>1.2*SQRT(2*F291/(airplane!#REF!*airplane!$B$13))-airplane!#REF!</f>
        <v>#REF!</v>
      </c>
      <c r="H291" t="e">
        <f t="shared" si="63"/>
        <v>#REF!</v>
      </c>
      <c r="K291">
        <f t="shared" si="64"/>
        <v>481.24799999999999</v>
      </c>
      <c r="L291" t="e">
        <f t="shared" si="65"/>
        <v>#REF!</v>
      </c>
      <c r="O291" s="8">
        <f t="shared" si="66"/>
        <v>30.077999999999999</v>
      </c>
      <c r="P291" s="8" t="e">
        <f t="shared" si="70"/>
        <v>#REF!</v>
      </c>
      <c r="Q291" s="8">
        <f t="shared" si="70"/>
        <v>5.2</v>
      </c>
      <c r="R291" s="8">
        <f t="shared" si="70"/>
        <v>0.03</v>
      </c>
      <c r="S291" s="8">
        <f t="shared" si="70"/>
        <v>0.8</v>
      </c>
      <c r="T291" s="8">
        <f t="shared" si="70"/>
        <v>0.5</v>
      </c>
      <c r="U291" s="8" t="e">
        <f t="shared" si="70"/>
        <v>#REF!</v>
      </c>
      <c r="W291" s="8" t="e">
        <f t="shared" si="68"/>
        <v>#REF!</v>
      </c>
      <c r="Y291" t="e">
        <f t="shared" si="69"/>
        <v>#REF!</v>
      </c>
    </row>
    <row r="292" spans="6:25" x14ac:dyDescent="0.2">
      <c r="F292">
        <f t="shared" si="62"/>
        <v>1445</v>
      </c>
      <c r="G292" t="e">
        <f>1.2*SQRT(2*F292/(airplane!#REF!*airplane!$B$13))-airplane!#REF!</f>
        <v>#REF!</v>
      </c>
      <c r="H292" t="e">
        <f t="shared" si="63"/>
        <v>#REF!</v>
      </c>
      <c r="K292">
        <f t="shared" si="64"/>
        <v>482.91899999999998</v>
      </c>
      <c r="L292" t="e">
        <f t="shared" si="65"/>
        <v>#REF!</v>
      </c>
      <c r="O292" s="8">
        <f t="shared" si="66"/>
        <v>30.182437499999999</v>
      </c>
      <c r="P292" s="8" t="e">
        <f t="shared" si="70"/>
        <v>#REF!</v>
      </c>
      <c r="Q292" s="8">
        <f t="shared" si="70"/>
        <v>5.2</v>
      </c>
      <c r="R292" s="8">
        <f t="shared" si="70"/>
        <v>0.03</v>
      </c>
      <c r="S292" s="8">
        <f t="shared" si="70"/>
        <v>0.8</v>
      </c>
      <c r="T292" s="8">
        <f t="shared" si="70"/>
        <v>0.5</v>
      </c>
      <c r="U292" s="8" t="e">
        <f t="shared" si="70"/>
        <v>#REF!</v>
      </c>
      <c r="W292" s="8" t="e">
        <f t="shared" si="68"/>
        <v>#REF!</v>
      </c>
      <c r="Y292" t="e">
        <f t="shared" si="69"/>
        <v>#REF!</v>
      </c>
    </row>
    <row r="293" spans="6:25" x14ac:dyDescent="0.2">
      <c r="F293">
        <f t="shared" si="62"/>
        <v>1450</v>
      </c>
      <c r="G293" t="e">
        <f>1.2*SQRT(2*F293/(airplane!#REF!*airplane!$B$13))-airplane!#REF!</f>
        <v>#REF!</v>
      </c>
      <c r="H293" t="e">
        <f t="shared" si="63"/>
        <v>#REF!</v>
      </c>
      <c r="K293">
        <f t="shared" si="64"/>
        <v>484.59</v>
      </c>
      <c r="L293" t="e">
        <f t="shared" si="65"/>
        <v>#REF!</v>
      </c>
      <c r="O293" s="8">
        <f t="shared" si="66"/>
        <v>30.286874999999998</v>
      </c>
      <c r="P293" s="8" t="e">
        <f t="shared" si="70"/>
        <v>#REF!</v>
      </c>
      <c r="Q293" s="8">
        <f t="shared" si="70"/>
        <v>5.2</v>
      </c>
      <c r="R293" s="8">
        <f t="shared" si="70"/>
        <v>0.03</v>
      </c>
      <c r="S293" s="8">
        <f t="shared" si="70"/>
        <v>0.8</v>
      </c>
      <c r="T293" s="8">
        <f t="shared" si="70"/>
        <v>0.5</v>
      </c>
      <c r="U293" s="8" t="e">
        <f t="shared" si="70"/>
        <v>#REF!</v>
      </c>
      <c r="W293" s="8" t="e">
        <f t="shared" si="68"/>
        <v>#REF!</v>
      </c>
      <c r="Y293" t="e">
        <f t="shared" si="69"/>
        <v>#REF!</v>
      </c>
    </row>
    <row r="294" spans="6:25" x14ac:dyDescent="0.2">
      <c r="F294">
        <f t="shared" si="62"/>
        <v>1455</v>
      </c>
      <c r="G294" t="e">
        <f>1.2*SQRT(2*F294/(airplane!#REF!*airplane!$B$13))-airplane!#REF!</f>
        <v>#REF!</v>
      </c>
      <c r="H294" t="e">
        <f t="shared" si="63"/>
        <v>#REF!</v>
      </c>
      <c r="K294">
        <f t="shared" si="64"/>
        <v>486.26100000000002</v>
      </c>
      <c r="L294" t="e">
        <f t="shared" si="65"/>
        <v>#REF!</v>
      </c>
      <c r="O294" s="8">
        <f t="shared" si="66"/>
        <v>30.391312500000002</v>
      </c>
      <c r="P294" s="8" t="e">
        <f t="shared" si="70"/>
        <v>#REF!</v>
      </c>
      <c r="Q294" s="8">
        <f t="shared" si="70"/>
        <v>5.2</v>
      </c>
      <c r="R294" s="8">
        <f t="shared" si="70"/>
        <v>0.03</v>
      </c>
      <c r="S294" s="8">
        <f t="shared" si="70"/>
        <v>0.8</v>
      </c>
      <c r="T294" s="8">
        <f t="shared" si="70"/>
        <v>0.5</v>
      </c>
      <c r="U294" s="8" t="e">
        <f t="shared" si="70"/>
        <v>#REF!</v>
      </c>
      <c r="W294" s="8" t="e">
        <f t="shared" si="68"/>
        <v>#REF!</v>
      </c>
      <c r="Y294" t="e">
        <f t="shared" si="69"/>
        <v>#REF!</v>
      </c>
    </row>
    <row r="295" spans="6:25" x14ac:dyDescent="0.2">
      <c r="F295">
        <f t="shared" si="62"/>
        <v>1460</v>
      </c>
      <c r="G295" t="e">
        <f>1.2*SQRT(2*F295/(airplane!#REF!*airplane!$B$13))-airplane!#REF!</f>
        <v>#REF!</v>
      </c>
      <c r="H295" t="e">
        <f t="shared" si="63"/>
        <v>#REF!</v>
      </c>
      <c r="K295">
        <f t="shared" si="64"/>
        <v>487.93200000000002</v>
      </c>
      <c r="L295" t="e">
        <f t="shared" si="65"/>
        <v>#REF!</v>
      </c>
      <c r="O295" s="8">
        <f t="shared" si="66"/>
        <v>30.495750000000001</v>
      </c>
      <c r="P295" s="8" t="e">
        <f t="shared" si="70"/>
        <v>#REF!</v>
      </c>
      <c r="Q295" s="8">
        <f t="shared" si="70"/>
        <v>5.2</v>
      </c>
      <c r="R295" s="8">
        <f t="shared" si="70"/>
        <v>0.03</v>
      </c>
      <c r="S295" s="8">
        <f t="shared" si="70"/>
        <v>0.8</v>
      </c>
      <c r="T295" s="8">
        <f t="shared" si="70"/>
        <v>0.5</v>
      </c>
      <c r="U295" s="8" t="e">
        <f t="shared" si="70"/>
        <v>#REF!</v>
      </c>
      <c r="W295" s="8" t="e">
        <f t="shared" si="68"/>
        <v>#REF!</v>
      </c>
      <c r="Y295" t="e">
        <f t="shared" si="69"/>
        <v>#REF!</v>
      </c>
    </row>
    <row r="296" spans="6:25" x14ac:dyDescent="0.2">
      <c r="F296">
        <f t="shared" si="62"/>
        <v>1465</v>
      </c>
      <c r="G296" t="e">
        <f>1.2*SQRT(2*F296/(airplane!#REF!*airplane!$B$13))-airplane!#REF!</f>
        <v>#REF!</v>
      </c>
      <c r="H296" t="e">
        <f t="shared" si="63"/>
        <v>#REF!</v>
      </c>
      <c r="K296">
        <f t="shared" si="64"/>
        <v>489.60300000000001</v>
      </c>
      <c r="L296" t="e">
        <f t="shared" si="65"/>
        <v>#REF!</v>
      </c>
      <c r="O296" s="8">
        <f t="shared" si="66"/>
        <v>30.600187500000001</v>
      </c>
      <c r="P296" s="8" t="e">
        <f t="shared" si="70"/>
        <v>#REF!</v>
      </c>
      <c r="Q296" s="8">
        <f t="shared" si="70"/>
        <v>5.2</v>
      </c>
      <c r="R296" s="8">
        <f t="shared" si="70"/>
        <v>0.03</v>
      </c>
      <c r="S296" s="8">
        <f t="shared" si="70"/>
        <v>0.8</v>
      </c>
      <c r="T296" s="8">
        <f t="shared" si="70"/>
        <v>0.5</v>
      </c>
      <c r="U296" s="8" t="e">
        <f t="shared" si="70"/>
        <v>#REF!</v>
      </c>
      <c r="W296" s="8" t="e">
        <f t="shared" si="68"/>
        <v>#REF!</v>
      </c>
      <c r="Y296" t="e">
        <f t="shared" si="69"/>
        <v>#REF!</v>
      </c>
    </row>
    <row r="297" spans="6:25" x14ac:dyDescent="0.2">
      <c r="F297">
        <f t="shared" si="62"/>
        <v>1470</v>
      </c>
      <c r="G297" t="e">
        <f>1.2*SQRT(2*F297/(airplane!#REF!*airplane!$B$13))-airplane!#REF!</f>
        <v>#REF!</v>
      </c>
      <c r="H297" t="e">
        <f t="shared" si="63"/>
        <v>#REF!</v>
      </c>
      <c r="K297">
        <f t="shared" si="64"/>
        <v>491.274</v>
      </c>
      <c r="L297" t="e">
        <f t="shared" si="65"/>
        <v>#REF!</v>
      </c>
      <c r="O297" s="8">
        <f t="shared" si="66"/>
        <v>30.704625</v>
      </c>
      <c r="P297" s="8" t="e">
        <f t="shared" si="70"/>
        <v>#REF!</v>
      </c>
      <c r="Q297" s="8">
        <f t="shared" si="70"/>
        <v>5.2</v>
      </c>
      <c r="R297" s="8">
        <f t="shared" si="70"/>
        <v>0.03</v>
      </c>
      <c r="S297" s="8">
        <f t="shared" si="70"/>
        <v>0.8</v>
      </c>
      <c r="T297" s="8">
        <f t="shared" si="70"/>
        <v>0.5</v>
      </c>
      <c r="U297" s="8" t="e">
        <f t="shared" si="70"/>
        <v>#REF!</v>
      </c>
      <c r="W297" s="8" t="e">
        <f t="shared" si="68"/>
        <v>#REF!</v>
      </c>
      <c r="Y297" t="e">
        <f t="shared" si="69"/>
        <v>#REF!</v>
      </c>
    </row>
    <row r="298" spans="6:25" x14ac:dyDescent="0.2">
      <c r="F298">
        <f t="shared" si="62"/>
        <v>1475</v>
      </c>
      <c r="G298" t="e">
        <f>1.2*SQRT(2*F298/(airplane!#REF!*airplane!$B$13))-airplane!#REF!</f>
        <v>#REF!</v>
      </c>
      <c r="H298" t="e">
        <f t="shared" si="63"/>
        <v>#REF!</v>
      </c>
      <c r="K298">
        <f t="shared" si="64"/>
        <v>492.94499999999999</v>
      </c>
      <c r="L298" t="e">
        <f t="shared" si="65"/>
        <v>#REF!</v>
      </c>
      <c r="O298" s="8">
        <f t="shared" si="66"/>
        <v>30.8090625</v>
      </c>
      <c r="P298" s="8" t="e">
        <f t="shared" si="70"/>
        <v>#REF!</v>
      </c>
      <c r="Q298" s="8">
        <f t="shared" si="70"/>
        <v>5.2</v>
      </c>
      <c r="R298" s="8">
        <f t="shared" si="70"/>
        <v>0.03</v>
      </c>
      <c r="S298" s="8">
        <f t="shared" si="70"/>
        <v>0.8</v>
      </c>
      <c r="T298" s="8">
        <f t="shared" si="70"/>
        <v>0.5</v>
      </c>
      <c r="U298" s="8" t="e">
        <f t="shared" si="70"/>
        <v>#REF!</v>
      </c>
      <c r="W298" s="8" t="e">
        <f t="shared" si="68"/>
        <v>#REF!</v>
      </c>
      <c r="Y298" t="e">
        <f t="shared" si="69"/>
        <v>#REF!</v>
      </c>
    </row>
    <row r="299" spans="6:25" x14ac:dyDescent="0.2">
      <c r="F299">
        <f t="shared" si="62"/>
        <v>1480</v>
      </c>
      <c r="G299" t="e">
        <f>1.2*SQRT(2*F299/(airplane!#REF!*airplane!$B$13))-airplane!#REF!</f>
        <v>#REF!</v>
      </c>
      <c r="H299" t="e">
        <f t="shared" si="63"/>
        <v>#REF!</v>
      </c>
      <c r="K299">
        <f t="shared" si="64"/>
        <v>494.61599999999999</v>
      </c>
      <c r="L299" t="e">
        <f t="shared" si="65"/>
        <v>#REF!</v>
      </c>
      <c r="O299" s="8">
        <f t="shared" si="66"/>
        <v>30.913499999999999</v>
      </c>
      <c r="P299" s="8" t="e">
        <f t="shared" si="70"/>
        <v>#REF!</v>
      </c>
      <c r="Q299" s="8">
        <f t="shared" si="70"/>
        <v>5.2</v>
      </c>
      <c r="R299" s="8">
        <f t="shared" si="70"/>
        <v>0.03</v>
      </c>
      <c r="S299" s="8">
        <f t="shared" si="70"/>
        <v>0.8</v>
      </c>
      <c r="T299" s="8">
        <f t="shared" si="70"/>
        <v>0.5</v>
      </c>
      <c r="U299" s="8" t="e">
        <f t="shared" si="70"/>
        <v>#REF!</v>
      </c>
      <c r="W299" s="8" t="e">
        <f t="shared" si="68"/>
        <v>#REF!</v>
      </c>
      <c r="Y299" t="e">
        <f t="shared" si="69"/>
        <v>#REF!</v>
      </c>
    </row>
    <row r="300" spans="6:25" x14ac:dyDescent="0.2">
      <c r="F300">
        <f t="shared" si="62"/>
        <v>1485</v>
      </c>
      <c r="G300" t="e">
        <f>1.2*SQRT(2*F300/(airplane!#REF!*airplane!$B$13))-airplane!#REF!</f>
        <v>#REF!</v>
      </c>
      <c r="H300" t="e">
        <f t="shared" si="63"/>
        <v>#REF!</v>
      </c>
      <c r="K300">
        <f t="shared" si="64"/>
        <v>496.28699999999998</v>
      </c>
      <c r="L300" t="e">
        <f t="shared" si="65"/>
        <v>#REF!</v>
      </c>
      <c r="O300" s="8">
        <f t="shared" si="66"/>
        <v>31.017937499999999</v>
      </c>
      <c r="P300" s="8" t="e">
        <f t="shared" si="70"/>
        <v>#REF!</v>
      </c>
      <c r="Q300" s="8">
        <f t="shared" si="70"/>
        <v>5.2</v>
      </c>
      <c r="R300" s="8">
        <f t="shared" si="70"/>
        <v>0.03</v>
      </c>
      <c r="S300" s="8">
        <f t="shared" si="70"/>
        <v>0.8</v>
      </c>
      <c r="T300" s="8">
        <f t="shared" si="70"/>
        <v>0.5</v>
      </c>
      <c r="U300" s="8" t="e">
        <f t="shared" si="70"/>
        <v>#REF!</v>
      </c>
      <c r="W300" s="8" t="e">
        <f t="shared" si="68"/>
        <v>#REF!</v>
      </c>
      <c r="Y300" t="e">
        <f t="shared" si="69"/>
        <v>#REF!</v>
      </c>
    </row>
    <row r="301" spans="6:25" x14ac:dyDescent="0.2">
      <c r="F301">
        <f t="shared" si="62"/>
        <v>1490</v>
      </c>
      <c r="G301" t="e">
        <f>1.2*SQRT(2*F301/(airplane!#REF!*airplane!$B$13))-airplane!#REF!</f>
        <v>#REF!</v>
      </c>
      <c r="H301" t="e">
        <f t="shared" si="63"/>
        <v>#REF!</v>
      </c>
      <c r="K301">
        <f t="shared" si="64"/>
        <v>497.95799999999997</v>
      </c>
      <c r="L301" t="e">
        <f t="shared" si="65"/>
        <v>#REF!</v>
      </c>
      <c r="O301" s="8">
        <f t="shared" si="66"/>
        <v>31.122374999999998</v>
      </c>
      <c r="P301" s="8" t="e">
        <f t="shared" si="70"/>
        <v>#REF!</v>
      </c>
      <c r="Q301" s="8">
        <f t="shared" si="70"/>
        <v>5.2</v>
      </c>
      <c r="R301" s="8">
        <f t="shared" si="70"/>
        <v>0.03</v>
      </c>
      <c r="S301" s="8">
        <f t="shared" si="70"/>
        <v>0.8</v>
      </c>
      <c r="T301" s="8">
        <f t="shared" si="70"/>
        <v>0.5</v>
      </c>
      <c r="U301" s="8" t="e">
        <f t="shared" si="70"/>
        <v>#REF!</v>
      </c>
      <c r="W301" s="8" t="e">
        <f t="shared" si="68"/>
        <v>#REF!</v>
      </c>
      <c r="Y301" t="e">
        <f t="shared" si="69"/>
        <v>#REF!</v>
      </c>
    </row>
    <row r="302" spans="6:25" x14ac:dyDescent="0.2">
      <c r="F302">
        <f t="shared" si="62"/>
        <v>1495</v>
      </c>
      <c r="G302" t="e">
        <f>1.2*SQRT(2*F302/(airplane!#REF!*airplane!$B$13))-airplane!#REF!</f>
        <v>#REF!</v>
      </c>
      <c r="H302" t="e">
        <f t="shared" si="63"/>
        <v>#REF!</v>
      </c>
      <c r="K302">
        <f t="shared" si="64"/>
        <v>499.62900000000002</v>
      </c>
      <c r="L302" t="e">
        <f t="shared" si="65"/>
        <v>#REF!</v>
      </c>
      <c r="O302" s="8">
        <f t="shared" si="66"/>
        <v>31.226812500000001</v>
      </c>
      <c r="P302" s="8" t="e">
        <f t="shared" si="70"/>
        <v>#REF!</v>
      </c>
      <c r="Q302" s="8">
        <f t="shared" si="70"/>
        <v>5.2</v>
      </c>
      <c r="R302" s="8">
        <f t="shared" si="70"/>
        <v>0.03</v>
      </c>
      <c r="S302" s="8">
        <f t="shared" si="70"/>
        <v>0.8</v>
      </c>
      <c r="T302" s="8">
        <f t="shared" si="70"/>
        <v>0.5</v>
      </c>
      <c r="U302" s="8" t="e">
        <f t="shared" si="70"/>
        <v>#REF!</v>
      </c>
      <c r="W302" s="8" t="e">
        <f t="shared" si="68"/>
        <v>#REF!</v>
      </c>
      <c r="Y302" t="e">
        <f t="shared" si="69"/>
        <v>#REF!</v>
      </c>
    </row>
    <row r="303" spans="6:25" x14ac:dyDescent="0.2">
      <c r="F303">
        <f t="shared" si="62"/>
        <v>1500</v>
      </c>
      <c r="G303" t="e">
        <f>1.2*SQRT(2*F303/(airplane!#REF!*airplane!$B$13))-airplane!#REF!</f>
        <v>#REF!</v>
      </c>
      <c r="H303" t="e">
        <f t="shared" si="63"/>
        <v>#REF!</v>
      </c>
      <c r="K303">
        <f t="shared" si="64"/>
        <v>501.3</v>
      </c>
      <c r="L303" t="e">
        <f t="shared" si="65"/>
        <v>#REF!</v>
      </c>
      <c r="O303" s="8">
        <f t="shared" si="66"/>
        <v>31.331250000000001</v>
      </c>
      <c r="P303" s="8" t="e">
        <f t="shared" ref="P303:U318" si="71">P302</f>
        <v>#REF!</v>
      </c>
      <c r="Q303" s="8">
        <f t="shared" si="71"/>
        <v>5.2</v>
      </c>
      <c r="R303" s="8">
        <f t="shared" si="71"/>
        <v>0.03</v>
      </c>
      <c r="S303" s="8">
        <f t="shared" si="71"/>
        <v>0.8</v>
      </c>
      <c r="T303" s="8">
        <f t="shared" si="71"/>
        <v>0.5</v>
      </c>
      <c r="U303" s="8" t="e">
        <f t="shared" si="71"/>
        <v>#REF!</v>
      </c>
      <c r="W303" s="8" t="e">
        <f t="shared" si="68"/>
        <v>#REF!</v>
      </c>
      <c r="Y303" t="e">
        <f t="shared" si="69"/>
        <v>#REF!</v>
      </c>
    </row>
    <row r="304" spans="6:25" x14ac:dyDescent="0.2">
      <c r="F304">
        <f t="shared" si="62"/>
        <v>1505</v>
      </c>
      <c r="G304" t="e">
        <f>1.2*SQRT(2*F304/(airplane!#REF!*airplane!$B$13))-airplane!#REF!</f>
        <v>#REF!</v>
      </c>
      <c r="H304" t="e">
        <f t="shared" si="63"/>
        <v>#REF!</v>
      </c>
      <c r="K304">
        <f t="shared" si="64"/>
        <v>502.971</v>
      </c>
      <c r="L304" t="e">
        <f t="shared" si="65"/>
        <v>#REF!</v>
      </c>
      <c r="O304" s="8">
        <f t="shared" si="66"/>
        <v>31.4356875</v>
      </c>
      <c r="P304" s="8" t="e">
        <f t="shared" si="71"/>
        <v>#REF!</v>
      </c>
      <c r="Q304" s="8">
        <f t="shared" si="71"/>
        <v>5.2</v>
      </c>
      <c r="R304" s="8">
        <f t="shared" si="71"/>
        <v>0.03</v>
      </c>
      <c r="S304" s="8">
        <f t="shared" si="71"/>
        <v>0.8</v>
      </c>
      <c r="T304" s="8">
        <f t="shared" si="71"/>
        <v>0.5</v>
      </c>
      <c r="U304" s="8" t="e">
        <f t="shared" si="71"/>
        <v>#REF!</v>
      </c>
      <c r="W304" s="8" t="e">
        <f t="shared" si="68"/>
        <v>#REF!</v>
      </c>
      <c r="Y304" t="e">
        <f t="shared" si="69"/>
        <v>#REF!</v>
      </c>
    </row>
    <row r="305" spans="6:25" x14ac:dyDescent="0.2">
      <c r="F305">
        <f t="shared" si="62"/>
        <v>1510</v>
      </c>
      <c r="G305" t="e">
        <f>1.2*SQRT(2*F305/(airplane!#REF!*airplane!$B$13))-airplane!#REF!</f>
        <v>#REF!</v>
      </c>
      <c r="H305" t="e">
        <f t="shared" si="63"/>
        <v>#REF!</v>
      </c>
      <c r="K305">
        <f t="shared" si="64"/>
        <v>504.642</v>
      </c>
      <c r="L305" t="e">
        <f t="shared" si="65"/>
        <v>#REF!</v>
      </c>
      <c r="O305" s="8">
        <f t="shared" si="66"/>
        <v>31.540125</v>
      </c>
      <c r="P305" s="8" t="e">
        <f t="shared" si="71"/>
        <v>#REF!</v>
      </c>
      <c r="Q305" s="8">
        <f t="shared" si="71"/>
        <v>5.2</v>
      </c>
      <c r="R305" s="8">
        <f t="shared" si="71"/>
        <v>0.03</v>
      </c>
      <c r="S305" s="8">
        <f t="shared" si="71"/>
        <v>0.8</v>
      </c>
      <c r="T305" s="8">
        <f t="shared" si="71"/>
        <v>0.5</v>
      </c>
      <c r="U305" s="8" t="e">
        <f t="shared" si="71"/>
        <v>#REF!</v>
      </c>
      <c r="W305" s="8" t="e">
        <f t="shared" si="68"/>
        <v>#REF!</v>
      </c>
      <c r="Y305" t="e">
        <f t="shared" si="69"/>
        <v>#REF!</v>
      </c>
    </row>
    <row r="306" spans="6:25" x14ac:dyDescent="0.2">
      <c r="F306">
        <f t="shared" si="62"/>
        <v>1515</v>
      </c>
      <c r="G306" t="e">
        <f>1.2*SQRT(2*F306/(airplane!#REF!*airplane!$B$13))-airplane!#REF!</f>
        <v>#REF!</v>
      </c>
      <c r="H306" t="e">
        <f t="shared" si="63"/>
        <v>#REF!</v>
      </c>
      <c r="K306">
        <f t="shared" si="64"/>
        <v>506.31299999999999</v>
      </c>
      <c r="L306" t="e">
        <f t="shared" si="65"/>
        <v>#REF!</v>
      </c>
      <c r="O306" s="8">
        <f t="shared" si="66"/>
        <v>31.644562499999999</v>
      </c>
      <c r="P306" s="8" t="e">
        <f t="shared" si="71"/>
        <v>#REF!</v>
      </c>
      <c r="Q306" s="8">
        <f t="shared" si="71"/>
        <v>5.2</v>
      </c>
      <c r="R306" s="8">
        <f t="shared" si="71"/>
        <v>0.03</v>
      </c>
      <c r="S306" s="8">
        <f t="shared" si="71"/>
        <v>0.8</v>
      </c>
      <c r="T306" s="8">
        <f t="shared" si="71"/>
        <v>0.5</v>
      </c>
      <c r="U306" s="8" t="e">
        <f t="shared" si="71"/>
        <v>#REF!</v>
      </c>
      <c r="W306" s="8" t="e">
        <f t="shared" si="68"/>
        <v>#REF!</v>
      </c>
      <c r="Y306" t="e">
        <f t="shared" si="69"/>
        <v>#REF!</v>
      </c>
    </row>
    <row r="307" spans="6:25" x14ac:dyDescent="0.2">
      <c r="F307">
        <f t="shared" si="62"/>
        <v>1520</v>
      </c>
      <c r="G307" t="e">
        <f>1.2*SQRT(2*F307/(airplane!#REF!*airplane!$B$13))-airplane!#REF!</f>
        <v>#REF!</v>
      </c>
      <c r="H307" t="e">
        <f t="shared" si="63"/>
        <v>#REF!</v>
      </c>
      <c r="K307">
        <f t="shared" si="64"/>
        <v>507.98399999999998</v>
      </c>
      <c r="L307" t="e">
        <f t="shared" si="65"/>
        <v>#REF!</v>
      </c>
      <c r="O307" s="8">
        <f t="shared" si="66"/>
        <v>31.748999999999999</v>
      </c>
      <c r="P307" s="8" t="e">
        <f t="shared" si="71"/>
        <v>#REF!</v>
      </c>
      <c r="Q307" s="8">
        <f t="shared" si="71"/>
        <v>5.2</v>
      </c>
      <c r="R307" s="8">
        <f t="shared" si="71"/>
        <v>0.03</v>
      </c>
      <c r="S307" s="8">
        <f t="shared" si="71"/>
        <v>0.8</v>
      </c>
      <c r="T307" s="8">
        <f t="shared" si="71"/>
        <v>0.5</v>
      </c>
      <c r="U307" s="8" t="e">
        <f t="shared" si="71"/>
        <v>#REF!</v>
      </c>
      <c r="W307" s="8" t="e">
        <f t="shared" si="68"/>
        <v>#REF!</v>
      </c>
      <c r="Y307" t="e">
        <f t="shared" si="69"/>
        <v>#REF!</v>
      </c>
    </row>
    <row r="308" spans="6:25" x14ac:dyDescent="0.2">
      <c r="F308">
        <f t="shared" si="62"/>
        <v>1525</v>
      </c>
      <c r="G308" t="e">
        <f>1.2*SQRT(2*F308/(airplane!#REF!*airplane!$B$13))-airplane!#REF!</f>
        <v>#REF!</v>
      </c>
      <c r="H308" t="e">
        <f t="shared" si="63"/>
        <v>#REF!</v>
      </c>
      <c r="K308">
        <f t="shared" si="64"/>
        <v>509.65499999999997</v>
      </c>
      <c r="L308" t="e">
        <f t="shared" si="65"/>
        <v>#REF!</v>
      </c>
      <c r="O308" s="8">
        <f t="shared" si="66"/>
        <v>31.853437499999998</v>
      </c>
      <c r="P308" s="8" t="e">
        <f t="shared" si="71"/>
        <v>#REF!</v>
      </c>
      <c r="Q308" s="8">
        <f t="shared" si="71"/>
        <v>5.2</v>
      </c>
      <c r="R308" s="8">
        <f t="shared" si="71"/>
        <v>0.03</v>
      </c>
      <c r="S308" s="8">
        <f t="shared" si="71"/>
        <v>0.8</v>
      </c>
      <c r="T308" s="8">
        <f t="shared" si="71"/>
        <v>0.5</v>
      </c>
      <c r="U308" s="8" t="e">
        <f t="shared" si="71"/>
        <v>#REF!</v>
      </c>
      <c r="W308" s="8" t="e">
        <f t="shared" si="68"/>
        <v>#REF!</v>
      </c>
      <c r="Y308" t="e">
        <f t="shared" si="69"/>
        <v>#REF!</v>
      </c>
    </row>
    <row r="309" spans="6:25" x14ac:dyDescent="0.2">
      <c r="F309">
        <f t="shared" si="62"/>
        <v>1530</v>
      </c>
      <c r="G309" t="e">
        <f>1.2*SQRT(2*F309/(airplane!#REF!*airplane!$B$13))-airplane!#REF!</f>
        <v>#REF!</v>
      </c>
      <c r="H309" t="e">
        <f t="shared" si="63"/>
        <v>#REF!</v>
      </c>
      <c r="K309">
        <f t="shared" si="64"/>
        <v>511.32600000000002</v>
      </c>
      <c r="L309" t="e">
        <f t="shared" si="65"/>
        <v>#REF!</v>
      </c>
      <c r="O309" s="8">
        <f t="shared" si="66"/>
        <v>31.957875000000001</v>
      </c>
      <c r="P309" s="8" t="e">
        <f t="shared" si="71"/>
        <v>#REF!</v>
      </c>
      <c r="Q309" s="8">
        <f t="shared" si="71"/>
        <v>5.2</v>
      </c>
      <c r="R309" s="8">
        <f t="shared" si="71"/>
        <v>0.03</v>
      </c>
      <c r="S309" s="8">
        <f t="shared" si="71"/>
        <v>0.8</v>
      </c>
      <c r="T309" s="8">
        <f t="shared" si="71"/>
        <v>0.5</v>
      </c>
      <c r="U309" s="8" t="e">
        <f t="shared" si="71"/>
        <v>#REF!</v>
      </c>
      <c r="W309" s="8" t="e">
        <f t="shared" si="68"/>
        <v>#REF!</v>
      </c>
      <c r="Y309" t="e">
        <f t="shared" si="69"/>
        <v>#REF!</v>
      </c>
    </row>
    <row r="310" spans="6:25" x14ac:dyDescent="0.2">
      <c r="F310">
        <f t="shared" si="62"/>
        <v>1535</v>
      </c>
      <c r="G310" t="e">
        <f>1.2*SQRT(2*F310/(airplane!#REF!*airplane!$B$13))-airplane!#REF!</f>
        <v>#REF!</v>
      </c>
      <c r="H310" t="e">
        <f t="shared" si="63"/>
        <v>#REF!</v>
      </c>
      <c r="K310">
        <f t="shared" si="64"/>
        <v>512.99699999999996</v>
      </c>
      <c r="L310" t="e">
        <f t="shared" si="65"/>
        <v>#REF!</v>
      </c>
      <c r="O310" s="8">
        <f t="shared" si="66"/>
        <v>32.062312499999997</v>
      </c>
      <c r="P310" s="8" t="e">
        <f t="shared" si="71"/>
        <v>#REF!</v>
      </c>
      <c r="Q310" s="8">
        <f t="shared" si="71"/>
        <v>5.2</v>
      </c>
      <c r="R310" s="8">
        <f t="shared" si="71"/>
        <v>0.03</v>
      </c>
      <c r="S310" s="8">
        <f t="shared" si="71"/>
        <v>0.8</v>
      </c>
      <c r="T310" s="8">
        <f t="shared" si="71"/>
        <v>0.5</v>
      </c>
      <c r="U310" s="8" t="e">
        <f t="shared" si="71"/>
        <v>#REF!</v>
      </c>
      <c r="W310" s="8" t="e">
        <f t="shared" si="68"/>
        <v>#REF!</v>
      </c>
      <c r="Y310" t="e">
        <f t="shared" si="69"/>
        <v>#REF!</v>
      </c>
    </row>
    <row r="311" spans="6:25" x14ac:dyDescent="0.2">
      <c r="F311">
        <f t="shared" si="62"/>
        <v>1540</v>
      </c>
      <c r="G311" t="e">
        <f>1.2*SQRT(2*F311/(airplane!#REF!*airplane!$B$13))-airplane!#REF!</f>
        <v>#REF!</v>
      </c>
      <c r="H311" t="e">
        <f t="shared" si="63"/>
        <v>#REF!</v>
      </c>
      <c r="K311">
        <f t="shared" si="64"/>
        <v>514.66800000000001</v>
      </c>
      <c r="L311" t="e">
        <f t="shared" si="65"/>
        <v>#REF!</v>
      </c>
      <c r="O311" s="8">
        <f t="shared" si="66"/>
        <v>32.16675</v>
      </c>
      <c r="P311" s="8" t="e">
        <f t="shared" si="71"/>
        <v>#REF!</v>
      </c>
      <c r="Q311" s="8">
        <f t="shared" si="71"/>
        <v>5.2</v>
      </c>
      <c r="R311" s="8">
        <f t="shared" si="71"/>
        <v>0.03</v>
      </c>
      <c r="S311" s="8">
        <f t="shared" si="71"/>
        <v>0.8</v>
      </c>
      <c r="T311" s="8">
        <f t="shared" si="71"/>
        <v>0.5</v>
      </c>
      <c r="U311" s="8" t="e">
        <f t="shared" si="71"/>
        <v>#REF!</v>
      </c>
      <c r="W311" s="8" t="e">
        <f t="shared" si="68"/>
        <v>#REF!</v>
      </c>
      <c r="Y311" t="e">
        <f t="shared" si="69"/>
        <v>#REF!</v>
      </c>
    </row>
    <row r="312" spans="6:25" x14ac:dyDescent="0.2">
      <c r="F312">
        <f t="shared" si="62"/>
        <v>1545</v>
      </c>
      <c r="G312" t="e">
        <f>1.2*SQRT(2*F312/(airplane!#REF!*airplane!$B$13))-airplane!#REF!</f>
        <v>#REF!</v>
      </c>
      <c r="H312" t="e">
        <f t="shared" si="63"/>
        <v>#REF!</v>
      </c>
      <c r="K312">
        <f t="shared" si="64"/>
        <v>516.33899999999994</v>
      </c>
      <c r="L312" t="e">
        <f t="shared" si="65"/>
        <v>#REF!</v>
      </c>
      <c r="O312" s="8">
        <f t="shared" si="66"/>
        <v>32.271187499999996</v>
      </c>
      <c r="P312" s="8" t="e">
        <f t="shared" si="71"/>
        <v>#REF!</v>
      </c>
      <c r="Q312" s="8">
        <f t="shared" si="71"/>
        <v>5.2</v>
      </c>
      <c r="R312" s="8">
        <f t="shared" si="71"/>
        <v>0.03</v>
      </c>
      <c r="S312" s="8">
        <f t="shared" si="71"/>
        <v>0.8</v>
      </c>
      <c r="T312" s="8">
        <f t="shared" si="71"/>
        <v>0.5</v>
      </c>
      <c r="U312" s="8" t="e">
        <f t="shared" si="71"/>
        <v>#REF!</v>
      </c>
      <c r="W312" s="8" t="e">
        <f t="shared" si="68"/>
        <v>#REF!</v>
      </c>
      <c r="Y312" t="e">
        <f t="shared" si="69"/>
        <v>#REF!</v>
      </c>
    </row>
    <row r="313" spans="6:25" x14ac:dyDescent="0.2">
      <c r="F313">
        <f t="shared" si="62"/>
        <v>1550</v>
      </c>
      <c r="G313" t="e">
        <f>1.2*SQRT(2*F313/(airplane!#REF!*airplane!$B$13))-airplane!#REF!</f>
        <v>#REF!</v>
      </c>
      <c r="H313" t="e">
        <f t="shared" si="63"/>
        <v>#REF!</v>
      </c>
      <c r="K313">
        <f t="shared" si="64"/>
        <v>518.01</v>
      </c>
      <c r="L313" t="e">
        <f t="shared" si="65"/>
        <v>#REF!</v>
      </c>
      <c r="O313" s="8">
        <f t="shared" si="66"/>
        <v>32.375624999999999</v>
      </c>
      <c r="P313" s="8" t="e">
        <f t="shared" si="71"/>
        <v>#REF!</v>
      </c>
      <c r="Q313" s="8">
        <f t="shared" si="71"/>
        <v>5.2</v>
      </c>
      <c r="R313" s="8">
        <f t="shared" si="71"/>
        <v>0.03</v>
      </c>
      <c r="S313" s="8">
        <f t="shared" si="71"/>
        <v>0.8</v>
      </c>
      <c r="T313" s="8">
        <f t="shared" si="71"/>
        <v>0.5</v>
      </c>
      <c r="U313" s="8" t="e">
        <f t="shared" si="71"/>
        <v>#REF!</v>
      </c>
      <c r="W313" s="8" t="e">
        <f t="shared" si="68"/>
        <v>#REF!</v>
      </c>
      <c r="Y313" t="e">
        <f t="shared" si="69"/>
        <v>#REF!</v>
      </c>
    </row>
    <row r="314" spans="6:25" x14ac:dyDescent="0.2">
      <c r="F314">
        <f t="shared" si="62"/>
        <v>1555</v>
      </c>
      <c r="G314" t="e">
        <f>1.2*SQRT(2*F314/(airplane!#REF!*airplane!$B$13))-airplane!#REF!</f>
        <v>#REF!</v>
      </c>
      <c r="H314" t="e">
        <f t="shared" si="63"/>
        <v>#REF!</v>
      </c>
      <c r="K314">
        <f t="shared" si="64"/>
        <v>519.68100000000004</v>
      </c>
      <c r="L314" t="e">
        <f t="shared" si="65"/>
        <v>#REF!</v>
      </c>
      <c r="O314" s="8">
        <f t="shared" si="66"/>
        <v>32.480062500000003</v>
      </c>
      <c r="P314" s="8" t="e">
        <f t="shared" si="71"/>
        <v>#REF!</v>
      </c>
      <c r="Q314" s="8">
        <f t="shared" si="71"/>
        <v>5.2</v>
      </c>
      <c r="R314" s="8">
        <f t="shared" si="71"/>
        <v>0.03</v>
      </c>
      <c r="S314" s="8">
        <f t="shared" si="71"/>
        <v>0.8</v>
      </c>
      <c r="T314" s="8">
        <f t="shared" si="71"/>
        <v>0.5</v>
      </c>
      <c r="U314" s="8" t="e">
        <f t="shared" si="71"/>
        <v>#REF!</v>
      </c>
      <c r="W314" s="8" t="e">
        <f t="shared" si="68"/>
        <v>#REF!</v>
      </c>
      <c r="Y314" t="e">
        <f t="shared" si="69"/>
        <v>#REF!</v>
      </c>
    </row>
    <row r="315" spans="6:25" x14ac:dyDescent="0.2">
      <c r="F315">
        <f t="shared" si="62"/>
        <v>1560</v>
      </c>
      <c r="G315" t="e">
        <f>1.2*SQRT(2*F315/(airplane!#REF!*airplane!$B$13))-airplane!#REF!</f>
        <v>#REF!</v>
      </c>
      <c r="H315" t="e">
        <f t="shared" si="63"/>
        <v>#REF!</v>
      </c>
      <c r="K315">
        <f t="shared" si="64"/>
        <v>521.35199999999998</v>
      </c>
      <c r="L315" t="e">
        <f t="shared" si="65"/>
        <v>#REF!</v>
      </c>
      <c r="O315" s="8">
        <f t="shared" si="66"/>
        <v>32.584499999999998</v>
      </c>
      <c r="P315" s="8" t="e">
        <f t="shared" si="71"/>
        <v>#REF!</v>
      </c>
      <c r="Q315" s="8">
        <f t="shared" si="71"/>
        <v>5.2</v>
      </c>
      <c r="R315" s="8">
        <f t="shared" si="71"/>
        <v>0.03</v>
      </c>
      <c r="S315" s="8">
        <f t="shared" si="71"/>
        <v>0.8</v>
      </c>
      <c r="T315" s="8">
        <f t="shared" si="71"/>
        <v>0.5</v>
      </c>
      <c r="U315" s="8" t="e">
        <f t="shared" si="71"/>
        <v>#REF!</v>
      </c>
      <c r="W315" s="8" t="e">
        <f t="shared" si="68"/>
        <v>#REF!</v>
      </c>
      <c r="Y315" t="e">
        <f t="shared" si="69"/>
        <v>#REF!</v>
      </c>
    </row>
    <row r="316" spans="6:25" x14ac:dyDescent="0.2">
      <c r="F316">
        <f t="shared" si="62"/>
        <v>1565</v>
      </c>
      <c r="G316" t="e">
        <f>1.2*SQRT(2*F316/(airplane!#REF!*airplane!$B$13))-airplane!#REF!</f>
        <v>#REF!</v>
      </c>
      <c r="H316" t="e">
        <f t="shared" si="63"/>
        <v>#REF!</v>
      </c>
      <c r="K316">
        <f t="shared" si="64"/>
        <v>523.02300000000002</v>
      </c>
      <c r="L316" t="e">
        <f t="shared" si="65"/>
        <v>#REF!</v>
      </c>
      <c r="O316" s="8">
        <f t="shared" si="66"/>
        <v>32.688937500000002</v>
      </c>
      <c r="P316" s="8" t="e">
        <f t="shared" si="71"/>
        <v>#REF!</v>
      </c>
      <c r="Q316" s="8">
        <f t="shared" si="71"/>
        <v>5.2</v>
      </c>
      <c r="R316" s="8">
        <f t="shared" si="71"/>
        <v>0.03</v>
      </c>
      <c r="S316" s="8">
        <f t="shared" si="71"/>
        <v>0.8</v>
      </c>
      <c r="T316" s="8">
        <f t="shared" si="71"/>
        <v>0.5</v>
      </c>
      <c r="U316" s="8" t="e">
        <f t="shared" si="71"/>
        <v>#REF!</v>
      </c>
      <c r="W316" s="8" t="e">
        <f t="shared" si="68"/>
        <v>#REF!</v>
      </c>
      <c r="Y316" t="e">
        <f t="shared" si="69"/>
        <v>#REF!</v>
      </c>
    </row>
    <row r="317" spans="6:25" x14ac:dyDescent="0.2">
      <c r="F317">
        <f t="shared" si="62"/>
        <v>1570</v>
      </c>
      <c r="G317" t="e">
        <f>1.2*SQRT(2*F317/(airplane!#REF!*airplane!$B$13))-airplane!#REF!</f>
        <v>#REF!</v>
      </c>
      <c r="H317" t="e">
        <f t="shared" si="63"/>
        <v>#REF!</v>
      </c>
      <c r="K317">
        <f t="shared" si="64"/>
        <v>524.69399999999996</v>
      </c>
      <c r="L317" t="e">
        <f t="shared" si="65"/>
        <v>#REF!</v>
      </c>
      <c r="O317" s="8">
        <f t="shared" si="66"/>
        <v>32.793374999999997</v>
      </c>
      <c r="P317" s="8" t="e">
        <f t="shared" si="71"/>
        <v>#REF!</v>
      </c>
      <c r="Q317" s="8">
        <f t="shared" si="71"/>
        <v>5.2</v>
      </c>
      <c r="R317" s="8">
        <f t="shared" si="71"/>
        <v>0.03</v>
      </c>
      <c r="S317" s="8">
        <f t="shared" si="71"/>
        <v>0.8</v>
      </c>
      <c r="T317" s="8">
        <f t="shared" si="71"/>
        <v>0.5</v>
      </c>
      <c r="U317" s="8" t="e">
        <f t="shared" si="71"/>
        <v>#REF!</v>
      </c>
      <c r="W317" s="8" t="e">
        <f t="shared" si="68"/>
        <v>#REF!</v>
      </c>
      <c r="Y317" t="e">
        <f t="shared" si="69"/>
        <v>#REF!</v>
      </c>
    </row>
    <row r="318" spans="6:25" x14ac:dyDescent="0.2">
      <c r="F318">
        <f t="shared" si="62"/>
        <v>1575</v>
      </c>
      <c r="G318" t="e">
        <f>1.2*SQRT(2*F318/(airplane!#REF!*airplane!$B$13))-airplane!#REF!</f>
        <v>#REF!</v>
      </c>
      <c r="H318" t="e">
        <f t="shared" si="63"/>
        <v>#REF!</v>
      </c>
      <c r="K318">
        <f t="shared" si="64"/>
        <v>526.36500000000001</v>
      </c>
      <c r="L318" t="e">
        <f t="shared" si="65"/>
        <v>#REF!</v>
      </c>
      <c r="O318" s="8">
        <f t="shared" si="66"/>
        <v>32.897812500000001</v>
      </c>
      <c r="P318" s="8" t="e">
        <f t="shared" si="71"/>
        <v>#REF!</v>
      </c>
      <c r="Q318" s="8">
        <f t="shared" si="71"/>
        <v>5.2</v>
      </c>
      <c r="R318" s="8">
        <f t="shared" si="71"/>
        <v>0.03</v>
      </c>
      <c r="S318" s="8">
        <f t="shared" si="71"/>
        <v>0.8</v>
      </c>
      <c r="T318" s="8">
        <f t="shared" si="71"/>
        <v>0.5</v>
      </c>
      <c r="U318" s="8" t="e">
        <f t="shared" si="71"/>
        <v>#REF!</v>
      </c>
      <c r="W318" s="8" t="e">
        <f t="shared" si="68"/>
        <v>#REF!</v>
      </c>
      <c r="Y318" t="e">
        <f t="shared" si="69"/>
        <v>#REF!</v>
      </c>
    </row>
    <row r="319" spans="6:25" x14ac:dyDescent="0.2">
      <c r="F319">
        <f t="shared" si="62"/>
        <v>1580</v>
      </c>
      <c r="G319" t="e">
        <f>1.2*SQRT(2*F319/(airplane!#REF!*airplane!$B$13))-airplane!#REF!</f>
        <v>#REF!</v>
      </c>
      <c r="H319" t="e">
        <f t="shared" si="63"/>
        <v>#REF!</v>
      </c>
      <c r="K319">
        <f t="shared" si="64"/>
        <v>528.03599999999994</v>
      </c>
      <c r="L319" t="e">
        <f t="shared" si="65"/>
        <v>#REF!</v>
      </c>
      <c r="O319" s="8">
        <f t="shared" si="66"/>
        <v>33.002249999999997</v>
      </c>
      <c r="P319" s="8" t="e">
        <f t="shared" ref="P319:U334" si="72">P318</f>
        <v>#REF!</v>
      </c>
      <c r="Q319" s="8">
        <f t="shared" si="72"/>
        <v>5.2</v>
      </c>
      <c r="R319" s="8">
        <f t="shared" si="72"/>
        <v>0.03</v>
      </c>
      <c r="S319" s="8">
        <f t="shared" si="72"/>
        <v>0.8</v>
      </c>
      <c r="T319" s="8">
        <f t="shared" si="72"/>
        <v>0.5</v>
      </c>
      <c r="U319" s="8" t="e">
        <f t="shared" si="72"/>
        <v>#REF!</v>
      </c>
      <c r="W319" s="8" t="e">
        <f t="shared" si="68"/>
        <v>#REF!</v>
      </c>
      <c r="Y319" t="e">
        <f t="shared" si="69"/>
        <v>#REF!</v>
      </c>
    </row>
    <row r="320" spans="6:25" x14ac:dyDescent="0.2">
      <c r="F320">
        <f t="shared" si="62"/>
        <v>1585</v>
      </c>
      <c r="G320" t="e">
        <f>1.2*SQRT(2*F320/(airplane!#REF!*airplane!$B$13))-airplane!#REF!</f>
        <v>#REF!</v>
      </c>
      <c r="H320" t="e">
        <f t="shared" si="63"/>
        <v>#REF!</v>
      </c>
      <c r="K320">
        <f t="shared" si="64"/>
        <v>529.70699999999999</v>
      </c>
      <c r="L320" t="e">
        <f t="shared" si="65"/>
        <v>#REF!</v>
      </c>
      <c r="O320" s="8">
        <f t="shared" si="66"/>
        <v>33.1066875</v>
      </c>
      <c r="P320" s="8" t="e">
        <f t="shared" si="72"/>
        <v>#REF!</v>
      </c>
      <c r="Q320" s="8">
        <f t="shared" si="72"/>
        <v>5.2</v>
      </c>
      <c r="R320" s="8">
        <f t="shared" si="72"/>
        <v>0.03</v>
      </c>
      <c r="S320" s="8">
        <f t="shared" si="72"/>
        <v>0.8</v>
      </c>
      <c r="T320" s="8">
        <f t="shared" si="72"/>
        <v>0.5</v>
      </c>
      <c r="U320" s="8" t="e">
        <f t="shared" si="72"/>
        <v>#REF!</v>
      </c>
      <c r="W320" s="8" t="e">
        <f t="shared" si="68"/>
        <v>#REF!</v>
      </c>
      <c r="Y320" t="e">
        <f t="shared" si="69"/>
        <v>#REF!</v>
      </c>
    </row>
    <row r="321" spans="6:25" x14ac:dyDescent="0.2">
      <c r="F321">
        <f t="shared" si="62"/>
        <v>1590</v>
      </c>
      <c r="G321" t="e">
        <f>1.2*SQRT(2*F321/(airplane!#REF!*airplane!$B$13))-airplane!#REF!</f>
        <v>#REF!</v>
      </c>
      <c r="H321" t="e">
        <f t="shared" si="63"/>
        <v>#REF!</v>
      </c>
      <c r="K321">
        <f t="shared" si="64"/>
        <v>531.37800000000004</v>
      </c>
      <c r="L321" t="e">
        <f t="shared" si="65"/>
        <v>#REF!</v>
      </c>
      <c r="O321" s="8">
        <f t="shared" si="66"/>
        <v>33.211125000000003</v>
      </c>
      <c r="P321" s="8" t="e">
        <f t="shared" si="72"/>
        <v>#REF!</v>
      </c>
      <c r="Q321" s="8">
        <f t="shared" si="72"/>
        <v>5.2</v>
      </c>
      <c r="R321" s="8">
        <f t="shared" si="72"/>
        <v>0.03</v>
      </c>
      <c r="S321" s="8">
        <f t="shared" si="72"/>
        <v>0.8</v>
      </c>
      <c r="T321" s="8">
        <f t="shared" si="72"/>
        <v>0.5</v>
      </c>
      <c r="U321" s="8" t="e">
        <f t="shared" si="72"/>
        <v>#REF!</v>
      </c>
      <c r="W321" s="8" t="e">
        <f t="shared" si="68"/>
        <v>#REF!</v>
      </c>
      <c r="Y321" t="e">
        <f t="shared" si="69"/>
        <v>#REF!</v>
      </c>
    </row>
    <row r="322" spans="6:25" x14ac:dyDescent="0.2">
      <c r="F322">
        <f t="shared" si="62"/>
        <v>1595</v>
      </c>
      <c r="G322" t="e">
        <f>1.2*SQRT(2*F322/(airplane!#REF!*airplane!$B$13))-airplane!#REF!</f>
        <v>#REF!</v>
      </c>
      <c r="H322" t="e">
        <f t="shared" si="63"/>
        <v>#REF!</v>
      </c>
      <c r="K322">
        <f t="shared" si="64"/>
        <v>533.04899999999998</v>
      </c>
      <c r="L322" t="e">
        <f t="shared" si="65"/>
        <v>#REF!</v>
      </c>
      <c r="O322" s="8">
        <f t="shared" si="66"/>
        <v>33.315562499999999</v>
      </c>
      <c r="P322" s="8" t="e">
        <f t="shared" si="72"/>
        <v>#REF!</v>
      </c>
      <c r="Q322" s="8">
        <f t="shared" si="72"/>
        <v>5.2</v>
      </c>
      <c r="R322" s="8">
        <f t="shared" si="72"/>
        <v>0.03</v>
      </c>
      <c r="S322" s="8">
        <f t="shared" si="72"/>
        <v>0.8</v>
      </c>
      <c r="T322" s="8">
        <f t="shared" si="72"/>
        <v>0.5</v>
      </c>
      <c r="U322" s="8" t="e">
        <f t="shared" si="72"/>
        <v>#REF!</v>
      </c>
      <c r="W322" s="8" t="e">
        <f t="shared" si="68"/>
        <v>#REF!</v>
      </c>
      <c r="Y322" t="e">
        <f t="shared" si="69"/>
        <v>#REF!</v>
      </c>
    </row>
    <row r="323" spans="6:25" x14ac:dyDescent="0.2">
      <c r="F323">
        <f t="shared" si="62"/>
        <v>1600</v>
      </c>
      <c r="G323" t="e">
        <f>1.2*SQRT(2*F323/(airplane!#REF!*airplane!$B$13))-airplane!#REF!</f>
        <v>#REF!</v>
      </c>
      <c r="H323" t="e">
        <f t="shared" si="63"/>
        <v>#REF!</v>
      </c>
      <c r="K323">
        <f t="shared" si="64"/>
        <v>534.72</v>
      </c>
      <c r="L323" t="e">
        <f t="shared" si="65"/>
        <v>#REF!</v>
      </c>
      <c r="O323" s="8">
        <f t="shared" si="66"/>
        <v>33.42</v>
      </c>
      <c r="P323" s="8" t="e">
        <f t="shared" si="72"/>
        <v>#REF!</v>
      </c>
      <c r="Q323" s="8">
        <f t="shared" si="72"/>
        <v>5.2</v>
      </c>
      <c r="R323" s="8">
        <f t="shared" si="72"/>
        <v>0.03</v>
      </c>
      <c r="S323" s="8">
        <f t="shared" si="72"/>
        <v>0.8</v>
      </c>
      <c r="T323" s="8">
        <f t="shared" si="72"/>
        <v>0.5</v>
      </c>
      <c r="U323" s="8" t="e">
        <f t="shared" si="72"/>
        <v>#REF!</v>
      </c>
      <c r="W323" s="8" t="e">
        <f t="shared" si="68"/>
        <v>#REF!</v>
      </c>
      <c r="Y323" t="e">
        <f t="shared" si="69"/>
        <v>#REF!</v>
      </c>
    </row>
    <row r="324" spans="6:25" x14ac:dyDescent="0.2">
      <c r="F324">
        <f t="shared" si="62"/>
        <v>1605</v>
      </c>
      <c r="G324" t="e">
        <f>1.2*SQRT(2*F324/(airplane!#REF!*airplane!$B$13))-airplane!#REF!</f>
        <v>#REF!</v>
      </c>
      <c r="H324" t="e">
        <f t="shared" si="63"/>
        <v>#REF!</v>
      </c>
      <c r="K324">
        <f t="shared" si="64"/>
        <v>536.39099999999996</v>
      </c>
      <c r="L324" t="e">
        <f t="shared" si="65"/>
        <v>#REF!</v>
      </c>
      <c r="O324" s="8">
        <f t="shared" si="66"/>
        <v>33.524437499999998</v>
      </c>
      <c r="P324" s="8" t="e">
        <f t="shared" si="72"/>
        <v>#REF!</v>
      </c>
      <c r="Q324" s="8">
        <f t="shared" si="72"/>
        <v>5.2</v>
      </c>
      <c r="R324" s="8">
        <f t="shared" si="72"/>
        <v>0.03</v>
      </c>
      <c r="S324" s="8">
        <f t="shared" si="72"/>
        <v>0.8</v>
      </c>
      <c r="T324" s="8">
        <f t="shared" si="72"/>
        <v>0.5</v>
      </c>
      <c r="U324" s="8" t="e">
        <f t="shared" si="72"/>
        <v>#REF!</v>
      </c>
      <c r="W324" s="8" t="e">
        <f t="shared" si="68"/>
        <v>#REF!</v>
      </c>
      <c r="Y324" t="e">
        <f t="shared" si="69"/>
        <v>#REF!</v>
      </c>
    </row>
    <row r="325" spans="6:25" x14ac:dyDescent="0.2">
      <c r="F325">
        <f t="shared" ref="F325:F339" si="73">F324+5</f>
        <v>1610</v>
      </c>
      <c r="G325" t="e">
        <f>1.2*SQRT(2*F325/(airplane!#REF!*airplane!$B$13))-airplane!#REF!</f>
        <v>#REF!</v>
      </c>
      <c r="H325" t="e">
        <f t="shared" si="63"/>
        <v>#REF!</v>
      </c>
      <c r="K325">
        <f t="shared" si="64"/>
        <v>538.06200000000001</v>
      </c>
      <c r="L325" t="e">
        <f t="shared" si="65"/>
        <v>#REF!</v>
      </c>
      <c r="O325" s="8">
        <f t="shared" si="66"/>
        <v>33.628875000000001</v>
      </c>
      <c r="P325" s="8" t="e">
        <f t="shared" si="72"/>
        <v>#REF!</v>
      </c>
      <c r="Q325" s="8">
        <f t="shared" si="72"/>
        <v>5.2</v>
      </c>
      <c r="R325" s="8">
        <f t="shared" si="72"/>
        <v>0.03</v>
      </c>
      <c r="S325" s="8">
        <f t="shared" si="72"/>
        <v>0.8</v>
      </c>
      <c r="T325" s="8">
        <f t="shared" si="72"/>
        <v>0.5</v>
      </c>
      <c r="U325" s="8" t="e">
        <f t="shared" si="72"/>
        <v>#REF!</v>
      </c>
      <c r="W325" s="8" t="e">
        <f t="shared" si="68"/>
        <v>#REF!</v>
      </c>
      <c r="Y325" t="e">
        <f t="shared" si="69"/>
        <v>#REF!</v>
      </c>
    </row>
    <row r="326" spans="6:25" x14ac:dyDescent="0.2">
      <c r="F326">
        <f t="shared" si="73"/>
        <v>1615</v>
      </c>
      <c r="G326" t="e">
        <f>1.2*SQRT(2*F326/(airplane!#REF!*airplane!$B$13))-airplane!#REF!</f>
        <v>#REF!</v>
      </c>
      <c r="H326" t="e">
        <f t="shared" si="63"/>
        <v>#REF!</v>
      </c>
      <c r="K326">
        <f t="shared" si="64"/>
        <v>539.73299999999995</v>
      </c>
      <c r="L326" t="e">
        <f t="shared" si="65"/>
        <v>#REF!</v>
      </c>
      <c r="O326" s="8">
        <f t="shared" si="66"/>
        <v>33.733312499999997</v>
      </c>
      <c r="P326" s="8" t="e">
        <f t="shared" si="72"/>
        <v>#REF!</v>
      </c>
      <c r="Q326" s="8">
        <f t="shared" si="72"/>
        <v>5.2</v>
      </c>
      <c r="R326" s="8">
        <f t="shared" si="72"/>
        <v>0.03</v>
      </c>
      <c r="S326" s="8">
        <f t="shared" si="72"/>
        <v>0.8</v>
      </c>
      <c r="T326" s="8">
        <f t="shared" si="72"/>
        <v>0.5</v>
      </c>
      <c r="U326" s="8" t="e">
        <f t="shared" si="72"/>
        <v>#REF!</v>
      </c>
      <c r="W326" s="8" t="e">
        <f t="shared" si="68"/>
        <v>#REF!</v>
      </c>
      <c r="Y326" t="e">
        <f t="shared" si="69"/>
        <v>#REF!</v>
      </c>
    </row>
    <row r="327" spans="6:25" x14ac:dyDescent="0.2">
      <c r="F327">
        <f t="shared" si="73"/>
        <v>1620</v>
      </c>
      <c r="G327" t="e">
        <f>1.2*SQRT(2*F327/(airplane!#REF!*airplane!$B$13))-airplane!#REF!</f>
        <v>#REF!</v>
      </c>
      <c r="H327" t="e">
        <f t="shared" si="63"/>
        <v>#REF!</v>
      </c>
      <c r="K327">
        <f t="shared" si="64"/>
        <v>541.404</v>
      </c>
      <c r="L327" t="e">
        <f t="shared" si="65"/>
        <v>#REF!</v>
      </c>
      <c r="O327" s="8">
        <f t="shared" si="66"/>
        <v>33.83775</v>
      </c>
      <c r="P327" s="8" t="e">
        <f t="shared" si="72"/>
        <v>#REF!</v>
      </c>
      <c r="Q327" s="8">
        <f t="shared" si="72"/>
        <v>5.2</v>
      </c>
      <c r="R327" s="8">
        <f t="shared" si="72"/>
        <v>0.03</v>
      </c>
      <c r="S327" s="8">
        <f t="shared" si="72"/>
        <v>0.8</v>
      </c>
      <c r="T327" s="8">
        <f t="shared" si="72"/>
        <v>0.5</v>
      </c>
      <c r="U327" s="8" t="e">
        <f t="shared" si="72"/>
        <v>#REF!</v>
      </c>
      <c r="W327" s="8" t="e">
        <f t="shared" si="68"/>
        <v>#REF!</v>
      </c>
      <c r="Y327" t="e">
        <f t="shared" si="69"/>
        <v>#REF!</v>
      </c>
    </row>
    <row r="328" spans="6:25" x14ac:dyDescent="0.2">
      <c r="F328">
        <f t="shared" si="73"/>
        <v>1625</v>
      </c>
      <c r="G328" t="e">
        <f>1.2*SQRT(2*F328/(airplane!#REF!*airplane!$B$13))-airplane!#REF!</f>
        <v>#REF!</v>
      </c>
      <c r="H328" t="e">
        <f t="shared" si="63"/>
        <v>#REF!</v>
      </c>
      <c r="K328">
        <f t="shared" si="64"/>
        <v>543.07500000000005</v>
      </c>
      <c r="L328" t="e">
        <f t="shared" si="65"/>
        <v>#REF!</v>
      </c>
      <c r="O328" s="8">
        <f t="shared" si="66"/>
        <v>33.942187500000003</v>
      </c>
      <c r="P328" s="8" t="e">
        <f t="shared" si="72"/>
        <v>#REF!</v>
      </c>
      <c r="Q328" s="8">
        <f t="shared" si="72"/>
        <v>5.2</v>
      </c>
      <c r="R328" s="8">
        <f t="shared" si="72"/>
        <v>0.03</v>
      </c>
      <c r="S328" s="8">
        <f t="shared" si="72"/>
        <v>0.8</v>
      </c>
      <c r="T328" s="8">
        <f t="shared" si="72"/>
        <v>0.5</v>
      </c>
      <c r="U328" s="8" t="e">
        <f t="shared" si="72"/>
        <v>#REF!</v>
      </c>
      <c r="W328" s="8" t="e">
        <f t="shared" si="68"/>
        <v>#REF!</v>
      </c>
      <c r="Y328" t="e">
        <f t="shared" si="69"/>
        <v>#REF!</v>
      </c>
    </row>
    <row r="329" spans="6:25" x14ac:dyDescent="0.2">
      <c r="F329">
        <f t="shared" si="73"/>
        <v>1630</v>
      </c>
      <c r="G329" t="e">
        <f>1.2*SQRT(2*F329/(airplane!#REF!*airplane!$B$13))-airplane!#REF!</f>
        <v>#REF!</v>
      </c>
      <c r="H329" t="e">
        <f t="shared" si="63"/>
        <v>#REF!</v>
      </c>
      <c r="K329">
        <f t="shared" si="64"/>
        <v>544.74599999999998</v>
      </c>
      <c r="L329" t="e">
        <f t="shared" si="65"/>
        <v>#REF!</v>
      </c>
      <c r="O329" s="8">
        <f t="shared" si="66"/>
        <v>34.046624999999999</v>
      </c>
      <c r="P329" s="8" t="e">
        <f t="shared" si="72"/>
        <v>#REF!</v>
      </c>
      <c r="Q329" s="8">
        <f t="shared" si="72"/>
        <v>5.2</v>
      </c>
      <c r="R329" s="8">
        <f t="shared" si="72"/>
        <v>0.03</v>
      </c>
      <c r="S329" s="8">
        <f t="shared" si="72"/>
        <v>0.8</v>
      </c>
      <c r="T329" s="8">
        <f t="shared" si="72"/>
        <v>0.5</v>
      </c>
      <c r="U329" s="8" t="e">
        <f t="shared" si="72"/>
        <v>#REF!</v>
      </c>
      <c r="W329" s="8" t="e">
        <f t="shared" si="68"/>
        <v>#REF!</v>
      </c>
      <c r="Y329" t="e">
        <f t="shared" si="69"/>
        <v>#REF!</v>
      </c>
    </row>
    <row r="330" spans="6:25" x14ac:dyDescent="0.2">
      <c r="F330">
        <f t="shared" si="73"/>
        <v>1635</v>
      </c>
      <c r="G330" t="e">
        <f>1.2*SQRT(2*F330/(airplane!#REF!*airplane!$B$13))-airplane!#REF!</f>
        <v>#REF!</v>
      </c>
      <c r="H330" t="e">
        <f t="shared" si="63"/>
        <v>#REF!</v>
      </c>
      <c r="K330">
        <f t="shared" si="64"/>
        <v>546.41700000000003</v>
      </c>
      <c r="L330" t="e">
        <f t="shared" si="65"/>
        <v>#REF!</v>
      </c>
      <c r="O330" s="8">
        <f t="shared" si="66"/>
        <v>34.151062500000002</v>
      </c>
      <c r="P330" s="8" t="e">
        <f t="shared" si="72"/>
        <v>#REF!</v>
      </c>
      <c r="Q330" s="8">
        <f t="shared" si="72"/>
        <v>5.2</v>
      </c>
      <c r="R330" s="8">
        <f t="shared" si="72"/>
        <v>0.03</v>
      </c>
      <c r="S330" s="8">
        <f t="shared" si="72"/>
        <v>0.8</v>
      </c>
      <c r="T330" s="8">
        <f t="shared" si="72"/>
        <v>0.5</v>
      </c>
      <c r="U330" s="8" t="e">
        <f t="shared" si="72"/>
        <v>#REF!</v>
      </c>
      <c r="W330" s="8" t="e">
        <f t="shared" si="68"/>
        <v>#REF!</v>
      </c>
      <c r="Y330" t="e">
        <f t="shared" si="69"/>
        <v>#REF!</v>
      </c>
    </row>
    <row r="331" spans="6:25" x14ac:dyDescent="0.2">
      <c r="F331">
        <f t="shared" si="73"/>
        <v>1640</v>
      </c>
      <c r="G331" t="e">
        <f>1.2*SQRT(2*F331/(airplane!#REF!*airplane!$B$13))-airplane!#REF!</f>
        <v>#REF!</v>
      </c>
      <c r="H331" t="e">
        <f t="shared" si="63"/>
        <v>#REF!</v>
      </c>
      <c r="K331">
        <f t="shared" si="64"/>
        <v>548.08799999999997</v>
      </c>
      <c r="L331" t="e">
        <f t="shared" si="65"/>
        <v>#REF!</v>
      </c>
      <c r="O331" s="8">
        <f t="shared" si="66"/>
        <v>34.255499999999998</v>
      </c>
      <c r="P331" s="8" t="e">
        <f t="shared" si="72"/>
        <v>#REF!</v>
      </c>
      <c r="Q331" s="8">
        <f t="shared" si="72"/>
        <v>5.2</v>
      </c>
      <c r="R331" s="8">
        <f t="shared" si="72"/>
        <v>0.03</v>
      </c>
      <c r="S331" s="8">
        <f t="shared" si="72"/>
        <v>0.8</v>
      </c>
      <c r="T331" s="8">
        <f t="shared" si="72"/>
        <v>0.5</v>
      </c>
      <c r="U331" s="8" t="e">
        <f t="shared" si="72"/>
        <v>#REF!</v>
      </c>
      <c r="W331" s="8" t="e">
        <f t="shared" si="68"/>
        <v>#REF!</v>
      </c>
      <c r="Y331" t="e">
        <f t="shared" si="69"/>
        <v>#REF!</v>
      </c>
    </row>
    <row r="332" spans="6:25" x14ac:dyDescent="0.2">
      <c r="F332">
        <f t="shared" si="73"/>
        <v>1645</v>
      </c>
      <c r="G332" t="e">
        <f>1.2*SQRT(2*F332/(airplane!#REF!*airplane!$B$13))-airplane!#REF!</f>
        <v>#REF!</v>
      </c>
      <c r="H332" t="e">
        <f t="shared" si="63"/>
        <v>#REF!</v>
      </c>
      <c r="K332">
        <f t="shared" si="64"/>
        <v>549.75900000000001</v>
      </c>
      <c r="L332" t="e">
        <f t="shared" si="65"/>
        <v>#REF!</v>
      </c>
      <c r="O332" s="8">
        <f t="shared" si="66"/>
        <v>34.359937500000001</v>
      </c>
      <c r="P332" s="8" t="e">
        <f t="shared" si="72"/>
        <v>#REF!</v>
      </c>
      <c r="Q332" s="8">
        <f t="shared" si="72"/>
        <v>5.2</v>
      </c>
      <c r="R332" s="8">
        <f t="shared" si="72"/>
        <v>0.03</v>
      </c>
      <c r="S332" s="8">
        <f t="shared" si="72"/>
        <v>0.8</v>
      </c>
      <c r="T332" s="8">
        <f t="shared" si="72"/>
        <v>0.5</v>
      </c>
      <c r="U332" s="8" t="e">
        <f t="shared" si="72"/>
        <v>#REF!</v>
      </c>
      <c r="W332" s="8" t="e">
        <f t="shared" si="68"/>
        <v>#REF!</v>
      </c>
      <c r="Y332" t="e">
        <f t="shared" si="69"/>
        <v>#REF!</v>
      </c>
    </row>
    <row r="333" spans="6:25" x14ac:dyDescent="0.2">
      <c r="F333">
        <f t="shared" si="73"/>
        <v>1650</v>
      </c>
      <c r="G333" t="e">
        <f>1.2*SQRT(2*F333/(airplane!#REF!*airplane!$B$13))-airplane!#REF!</f>
        <v>#REF!</v>
      </c>
      <c r="H333" t="e">
        <f t="shared" si="63"/>
        <v>#REF!</v>
      </c>
      <c r="K333">
        <f t="shared" si="64"/>
        <v>551.42999999999995</v>
      </c>
      <c r="L333" t="e">
        <f t="shared" si="65"/>
        <v>#REF!</v>
      </c>
      <c r="O333" s="8">
        <f t="shared" si="66"/>
        <v>34.464374999999997</v>
      </c>
      <c r="P333" s="8" t="e">
        <f t="shared" si="72"/>
        <v>#REF!</v>
      </c>
      <c r="Q333" s="8">
        <f t="shared" si="72"/>
        <v>5.2</v>
      </c>
      <c r="R333" s="8">
        <f t="shared" si="72"/>
        <v>0.03</v>
      </c>
      <c r="S333" s="8">
        <f t="shared" si="72"/>
        <v>0.8</v>
      </c>
      <c r="T333" s="8">
        <f t="shared" si="72"/>
        <v>0.5</v>
      </c>
      <c r="U333" s="8" t="e">
        <f t="shared" si="72"/>
        <v>#REF!</v>
      </c>
      <c r="W333" s="8" t="e">
        <f t="shared" si="68"/>
        <v>#REF!</v>
      </c>
      <c r="Y333" t="e">
        <f t="shared" si="69"/>
        <v>#REF!</v>
      </c>
    </row>
    <row r="334" spans="6:25" x14ac:dyDescent="0.2">
      <c r="F334">
        <f t="shared" si="73"/>
        <v>1655</v>
      </c>
      <c r="G334" t="e">
        <f>1.2*SQRT(2*F334/(airplane!#REF!*airplane!$B$13))-airplane!#REF!</f>
        <v>#REF!</v>
      </c>
      <c r="H334" t="e">
        <f t="shared" si="63"/>
        <v>#REF!</v>
      </c>
      <c r="K334">
        <f t="shared" si="64"/>
        <v>553.101</v>
      </c>
      <c r="L334" t="e">
        <f t="shared" si="65"/>
        <v>#REF!</v>
      </c>
      <c r="O334" s="8">
        <f t="shared" si="66"/>
        <v>34.5688125</v>
      </c>
      <c r="P334" s="8" t="e">
        <f t="shared" si="72"/>
        <v>#REF!</v>
      </c>
      <c r="Q334" s="8">
        <f t="shared" si="72"/>
        <v>5.2</v>
      </c>
      <c r="R334" s="8">
        <f t="shared" si="72"/>
        <v>0.03</v>
      </c>
      <c r="S334" s="8">
        <f t="shared" si="72"/>
        <v>0.8</v>
      </c>
      <c r="T334" s="8">
        <f t="shared" si="72"/>
        <v>0.5</v>
      </c>
      <c r="U334" s="8" t="e">
        <f t="shared" si="72"/>
        <v>#REF!</v>
      </c>
      <c r="W334" s="8" t="e">
        <f t="shared" si="68"/>
        <v>#REF!</v>
      </c>
      <c r="Y334" t="e">
        <f t="shared" si="69"/>
        <v>#REF!</v>
      </c>
    </row>
    <row r="335" spans="6:25" x14ac:dyDescent="0.2">
      <c r="F335">
        <f t="shared" si="73"/>
        <v>1660</v>
      </c>
      <c r="G335" t="e">
        <f>1.2*SQRT(2*F335/(airplane!#REF!*airplane!$B$13))-airplane!#REF!</f>
        <v>#REF!</v>
      </c>
      <c r="H335" t="e">
        <f t="shared" ref="H335:H339" si="74">Y335</f>
        <v>#REF!</v>
      </c>
      <c r="K335">
        <f t="shared" ref="K335:K339" si="75">F335*0.3342</f>
        <v>554.77200000000005</v>
      </c>
      <c r="L335" t="e">
        <f t="shared" ref="L335:L339" si="76">H335*4.448</f>
        <v>#REF!</v>
      </c>
      <c r="O335" s="8">
        <f t="shared" ref="O335:O339" si="77">K335/16</f>
        <v>34.673250000000003</v>
      </c>
      <c r="P335" s="8" t="e">
        <f t="shared" ref="P335:U339" si="78">P334</f>
        <v>#REF!</v>
      </c>
      <c r="Q335" s="8">
        <f t="shared" si="78"/>
        <v>5.2</v>
      </c>
      <c r="R335" s="8">
        <f t="shared" si="78"/>
        <v>0.03</v>
      </c>
      <c r="S335" s="8">
        <f t="shared" si="78"/>
        <v>0.8</v>
      </c>
      <c r="T335" s="8">
        <f t="shared" si="78"/>
        <v>0.5</v>
      </c>
      <c r="U335" s="8" t="e">
        <f t="shared" si="78"/>
        <v>#REF!</v>
      </c>
      <c r="W335" s="8" t="e">
        <f t="shared" ref="W335:W339" si="79">149.048255755414 + -54.8076469211868 * TANH(0.5 * ((-1.90311837493387) + -2.90092544214518 * O335 + 2.39505098582308 * P335 + -0.0283389134105036 * Q335 + 5.19308047170936 * R335 + -0.0705176187957977 * S335 + -3.27116421887395 * T335 + 0.487399857872412 * U335)) + 33.0866673975606 * TANH(0.5 * ((-10.9668713929341) + 2.35524027768271 * O335 + 3.73791895311835 * P335 + 0.0550541094921953 * Q335 + 5.9452766643223 * R335 + -0.0800115435216866 * S335 + -0.0158182141911049 * T335 + 0.347472887456459 * U335)) + 28.3453260854724 * TANH(0.5 * (4.25176964573387 + -0.66460275837987 * O335 + 1.29537751335798 * P335 + -0.130256031902394 * Q335 + 31.2667602760926 * R335 + -1.24048544610401 * S335 + 0.0937927006240642 * T335 + -0.0566650624068167 * U335)) + 6.79870987971588 * TANH(0.5 * (10.0518228768354 + 5.50509550241032 * O335 + -3.83803539356733 * P335 + -0.465217054676259 * Q335 + -26.6617416441195 * R335 + 1.69864364271823 * S335 + 1.31308464511239 * T335 + -0.408787412840148 * U335)) + 34.8668869080431 * TANH(0.5 * (8.22077312844118 + 5.58131964160515 * O335 + -5.45167953353492 * P335 + 0.131357302073037 * Q335 + -3.02895908030327 * R335 + 0.620182457511558 * S335 + 0.516840709792139 * T335 + -0.426084796098354 * U335)) + -38.9742336884865 * TANH(0.5 * ((-6.63509223591402) + -3.81651288586513 * O335 + 3.96461447865925 * P335 + -0.0427755407034191 * Q335 + 1.12271394672456 * R335 + 0.0774782141523358 * S335 + -1.00839111713208 * T335 + 0.432613997233709 * U335)) + 94.7572230191964 * TANH(0.5 * (2.61370613563095 + 2.08158608465853 * O335 + -5.30494797629013 * P335 + -0.0107060857549542 * Q335 + -3.17349866436297 * R335 + 0.259803966881259 * S335 + 0.165932316676154 * T335 + -0.103542416733828 * U335)) + 19.6842352112259 * TANH(0.5 * ((-11.3180358678866) + -6.05406376734185 * O335 + 6.26161664490292 * P335 + -0.0149996825471037 * Q335 + 12.6493036152436 * R335 + -1.26783941440917 * S335 + -1.22533297933495 * T335 + 0.454263469706135 * U335)) + 33.3825353084738 * TANH(0.5 * (3.02832658290986 + -4.98369928277894 * O335 + -5.38839891768436 * P335 + 2.00089047251944 * Q335 + 518.862002410857 * R335 + 5.25176474025537 * S335 + -17.6499237483562 * T335 + 0.479515709156452 * U335)) + 8.33789006875588 * TANH(0.5 * (5.21393347551219 + -2.63059327387901 * O335 + 4.88843846109308 * P335 + -0.746655568511994 * Q335 + 25.471194142492 * R335 + -5.03554280328379 * S335 + 0.903364963978358 * T335 + -0.050418064604326 * U335))</f>
        <v>#REF!</v>
      </c>
      <c r="Y335" t="e">
        <f t="shared" ref="Y335:Y339" si="80">W335/4.448</f>
        <v>#REF!</v>
      </c>
    </row>
    <row r="336" spans="6:25" x14ac:dyDescent="0.2">
      <c r="F336">
        <f t="shared" si="73"/>
        <v>1665</v>
      </c>
      <c r="G336" t="e">
        <f>1.2*SQRT(2*F336/(airplane!#REF!*airplane!$B$13))-airplane!#REF!</f>
        <v>#REF!</v>
      </c>
      <c r="H336" t="e">
        <f t="shared" si="74"/>
        <v>#REF!</v>
      </c>
      <c r="K336">
        <f t="shared" si="75"/>
        <v>556.44299999999998</v>
      </c>
      <c r="L336" t="e">
        <f t="shared" si="76"/>
        <v>#REF!</v>
      </c>
      <c r="O336" s="8">
        <f t="shared" si="77"/>
        <v>34.777687499999999</v>
      </c>
      <c r="P336" s="8" t="e">
        <f t="shared" si="78"/>
        <v>#REF!</v>
      </c>
      <c r="Q336" s="8">
        <f t="shared" si="78"/>
        <v>5.2</v>
      </c>
      <c r="R336" s="8">
        <f t="shared" si="78"/>
        <v>0.03</v>
      </c>
      <c r="S336" s="8">
        <f t="shared" si="78"/>
        <v>0.8</v>
      </c>
      <c r="T336" s="8">
        <f t="shared" si="78"/>
        <v>0.5</v>
      </c>
      <c r="U336" s="8" t="e">
        <f t="shared" si="78"/>
        <v>#REF!</v>
      </c>
      <c r="W336" s="8" t="e">
        <f t="shared" si="79"/>
        <v>#REF!</v>
      </c>
      <c r="Y336" t="e">
        <f t="shared" si="80"/>
        <v>#REF!</v>
      </c>
    </row>
    <row r="337" spans="6:25" x14ac:dyDescent="0.2">
      <c r="F337">
        <f t="shared" si="73"/>
        <v>1670</v>
      </c>
      <c r="G337" t="e">
        <f>1.2*SQRT(2*F337/(airplane!#REF!*airplane!$B$13))-airplane!#REF!</f>
        <v>#REF!</v>
      </c>
      <c r="H337" t="e">
        <f t="shared" si="74"/>
        <v>#REF!</v>
      </c>
      <c r="K337">
        <f t="shared" si="75"/>
        <v>558.11400000000003</v>
      </c>
      <c r="L337" t="e">
        <f t="shared" si="76"/>
        <v>#REF!</v>
      </c>
      <c r="O337" s="8">
        <f t="shared" si="77"/>
        <v>34.882125000000002</v>
      </c>
      <c r="P337" s="8" t="e">
        <f t="shared" si="78"/>
        <v>#REF!</v>
      </c>
      <c r="Q337" s="8">
        <f t="shared" si="78"/>
        <v>5.2</v>
      </c>
      <c r="R337" s="8">
        <f t="shared" si="78"/>
        <v>0.03</v>
      </c>
      <c r="S337" s="8">
        <f t="shared" si="78"/>
        <v>0.8</v>
      </c>
      <c r="T337" s="8">
        <f t="shared" si="78"/>
        <v>0.5</v>
      </c>
      <c r="U337" s="8" t="e">
        <f t="shared" si="78"/>
        <v>#REF!</v>
      </c>
      <c r="W337" s="8" t="e">
        <f t="shared" si="79"/>
        <v>#REF!</v>
      </c>
      <c r="Y337" t="e">
        <f t="shared" si="80"/>
        <v>#REF!</v>
      </c>
    </row>
    <row r="338" spans="6:25" x14ac:dyDescent="0.2">
      <c r="F338">
        <f t="shared" si="73"/>
        <v>1675</v>
      </c>
      <c r="G338" t="e">
        <f>1.2*SQRT(2*F338/(airplane!#REF!*airplane!$B$13))-airplane!#REF!</f>
        <v>#REF!</v>
      </c>
      <c r="H338" t="e">
        <f t="shared" si="74"/>
        <v>#REF!</v>
      </c>
      <c r="K338">
        <f t="shared" si="75"/>
        <v>559.78499999999997</v>
      </c>
      <c r="L338" t="e">
        <f t="shared" si="76"/>
        <v>#REF!</v>
      </c>
      <c r="O338" s="8">
        <f t="shared" si="77"/>
        <v>34.986562499999998</v>
      </c>
      <c r="P338" s="8" t="e">
        <f t="shared" si="78"/>
        <v>#REF!</v>
      </c>
      <c r="Q338" s="8">
        <f t="shared" si="78"/>
        <v>5.2</v>
      </c>
      <c r="R338" s="8">
        <f t="shared" si="78"/>
        <v>0.03</v>
      </c>
      <c r="S338" s="8">
        <f t="shared" si="78"/>
        <v>0.8</v>
      </c>
      <c r="T338" s="8">
        <f t="shared" si="78"/>
        <v>0.5</v>
      </c>
      <c r="U338" s="8" t="e">
        <f t="shared" si="78"/>
        <v>#REF!</v>
      </c>
      <c r="W338" s="8" t="e">
        <f t="shared" si="79"/>
        <v>#REF!</v>
      </c>
      <c r="Y338" t="e">
        <f t="shared" si="80"/>
        <v>#REF!</v>
      </c>
    </row>
    <row r="339" spans="6:25" x14ac:dyDescent="0.2">
      <c r="F339">
        <f t="shared" si="73"/>
        <v>1680</v>
      </c>
      <c r="G339" t="e">
        <f>1.2*SQRT(2*F339/(airplane!#REF!*airplane!$B$13))-airplane!#REF!</f>
        <v>#REF!</v>
      </c>
      <c r="H339" t="e">
        <f t="shared" si="74"/>
        <v>#REF!</v>
      </c>
      <c r="K339">
        <f t="shared" si="75"/>
        <v>561.45600000000002</v>
      </c>
      <c r="L339" t="e">
        <f t="shared" si="76"/>
        <v>#REF!</v>
      </c>
      <c r="O339" s="8">
        <f t="shared" si="77"/>
        <v>35.091000000000001</v>
      </c>
      <c r="P339" s="8" t="e">
        <f t="shared" si="78"/>
        <v>#REF!</v>
      </c>
      <c r="Q339" s="8">
        <f t="shared" si="78"/>
        <v>5.2</v>
      </c>
      <c r="R339" s="8">
        <f t="shared" si="78"/>
        <v>0.03</v>
      </c>
      <c r="S339" s="8">
        <f t="shared" si="78"/>
        <v>0.8</v>
      </c>
      <c r="T339" s="8">
        <f t="shared" si="78"/>
        <v>0.5</v>
      </c>
      <c r="U339" s="8" t="e">
        <f t="shared" si="78"/>
        <v>#REF!</v>
      </c>
      <c r="W339" s="8" t="e">
        <f t="shared" si="79"/>
        <v>#REF!</v>
      </c>
      <c r="Y339" t="e">
        <f t="shared" si="80"/>
        <v>#REF!</v>
      </c>
    </row>
  </sheetData>
  <phoneticPr fontId="5" type="noConversion"/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3" shapeId="2050" r:id="rId3">
          <objectPr defaultSize="0" autoPict="0" r:id="rId4">
            <anchor moveWithCells="1" sizeWithCells="1">
              <from>
                <xdr:col>0</xdr:col>
                <xdr:colOff>431800</xdr:colOff>
                <xdr:row>5</xdr:row>
                <xdr:rowOff>0</xdr:rowOff>
              </from>
              <to>
                <xdr:col>4</xdr:col>
                <xdr:colOff>1054100</xdr:colOff>
                <xdr:row>10</xdr:row>
                <xdr:rowOff>88900</xdr:rowOff>
              </to>
            </anchor>
          </objectPr>
        </oleObject>
      </mc:Choice>
      <mc:Fallback>
        <oleObject progId="Equation.3" shapeId="2050" r:id="rId3"/>
      </mc:Fallback>
    </mc:AlternateContent>
    <mc:AlternateContent xmlns:mc="http://schemas.openxmlformats.org/markup-compatibility/2006">
      <mc:Choice Requires="x14">
        <oleObject progId="Equation.3" shapeId="2052" r:id="rId5">
          <objectPr defaultSize="0" autoPict="0" r:id="rId6">
            <anchor moveWithCells="1" sizeWithCells="1">
              <from>
                <xdr:col>0</xdr:col>
                <xdr:colOff>215900</xdr:colOff>
                <xdr:row>11</xdr:row>
                <xdr:rowOff>12700</xdr:rowOff>
              </from>
              <to>
                <xdr:col>5</xdr:col>
                <xdr:colOff>228600</xdr:colOff>
                <xdr:row>14</xdr:row>
                <xdr:rowOff>152400</xdr:rowOff>
              </to>
            </anchor>
          </objectPr>
        </oleObject>
      </mc:Choice>
      <mc:Fallback>
        <oleObject progId="Equation.3" shapeId="2052" r:id="rId5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95122-A02A-4CF8-99A4-AF7F7845B464}">
  <dimension ref="A1:Y73"/>
  <sheetViews>
    <sheetView topLeftCell="H13" zoomScaleNormal="100" workbookViewId="0">
      <selection activeCell="B5" sqref="B5"/>
    </sheetView>
  </sheetViews>
  <sheetFormatPr baseColWidth="10" defaultColWidth="8.83203125" defaultRowHeight="15" x14ac:dyDescent="0.2"/>
  <cols>
    <col min="1" max="1" width="26.5" bestFit="1" customWidth="1"/>
    <col min="2" max="2" width="12.5" bestFit="1" customWidth="1"/>
    <col min="3" max="3" width="11.1640625" bestFit="1" customWidth="1"/>
    <col min="4" max="4" width="17.83203125" bestFit="1" customWidth="1"/>
    <col min="5" max="8" width="16.1640625" customWidth="1"/>
    <col min="9" max="9" width="17.83203125" bestFit="1" customWidth="1"/>
    <col min="10" max="14" width="16.1640625" customWidth="1"/>
  </cols>
  <sheetData>
    <row r="1" spans="1:16" ht="16" thickBot="1" x14ac:dyDescent="0.25">
      <c r="A1" s="42" t="s">
        <v>136</v>
      </c>
      <c r="B1" s="56">
        <v>9842.52</v>
      </c>
      <c r="C1" s="52" t="s">
        <v>128</v>
      </c>
      <c r="D1" s="53" t="s">
        <v>138</v>
      </c>
      <c r="E1" s="53" t="s">
        <v>137</v>
      </c>
      <c r="F1" s="53" t="s">
        <v>139</v>
      </c>
      <c r="G1" s="54" t="s">
        <v>140</v>
      </c>
      <c r="H1" s="54" t="s">
        <v>141</v>
      </c>
      <c r="I1" s="54" t="s">
        <v>142</v>
      </c>
      <c r="J1" s="54" t="s">
        <v>143</v>
      </c>
      <c r="K1" s="55" t="s">
        <v>145</v>
      </c>
      <c r="L1" s="47" t="s">
        <v>148</v>
      </c>
      <c r="M1" s="47" t="s">
        <v>149</v>
      </c>
      <c r="N1" s="47" t="s">
        <v>147</v>
      </c>
      <c r="O1" s="47"/>
      <c r="P1" s="47"/>
    </row>
    <row r="2" spans="1:16" x14ac:dyDescent="0.2">
      <c r="A2" s="49" t="s">
        <v>135</v>
      </c>
      <c r="B2" s="22">
        <f>VLOOKUP(B1,Atmosphere!A3:B33,2,TRUE)</f>
        <v>1.78324E-3</v>
      </c>
      <c r="C2" s="59">
        <f t="shared" ref="C2:C33" si="0">D2*0.592484</f>
        <v>0</v>
      </c>
      <c r="D2" s="60">
        <v>0</v>
      </c>
      <c r="E2" s="60">
        <v>0</v>
      </c>
      <c r="F2" s="60">
        <f>$B$6+$B$8*E2^2</f>
        <v>0.03</v>
      </c>
      <c r="G2" s="60">
        <f>0.5*$B$2*D2^2*$B$4*F2</f>
        <v>0</v>
      </c>
      <c r="H2" s="60">
        <f>(0.5*$B$2*D2^2)*$B$4*$B$6</f>
        <v>0</v>
      </c>
      <c r="I2" s="60">
        <f>(0.5*$B$2*D2^2)*$B$4*E2^2/(PI()*$B$7*$B$5)</f>
        <v>0</v>
      </c>
      <c r="J2" s="60">
        <f t="shared" ref="J2:J33" si="1">H2+I2</f>
        <v>0</v>
      </c>
      <c r="K2" s="61">
        <f t="shared" ref="K2:K33" si="2">$J$63</f>
        <v>281.23825897186316</v>
      </c>
      <c r="L2" s="60"/>
      <c r="M2" t="e">
        <f>J2/D2</f>
        <v>#DIV/0!</v>
      </c>
      <c r="N2" t="e">
        <f>0.5*$B$2*D2^2*$B$4*B6+B8*B3^2/0.5*B2*D2^2*s</f>
        <v>#NAME?</v>
      </c>
    </row>
    <row r="3" spans="1:16" x14ac:dyDescent="0.2">
      <c r="A3" s="50" t="s">
        <v>133</v>
      </c>
      <c r="B3" s="48">
        <f>B14</f>
        <v>1322.7719999999999</v>
      </c>
      <c r="C3" s="59">
        <f t="shared" si="0"/>
        <v>2.9624199999999998</v>
      </c>
      <c r="D3" s="60">
        <v>5</v>
      </c>
      <c r="E3" s="60">
        <f>(2*$B$3)/(($B$2*D3^2)*$B$4)</f>
        <v>551.15467452406574</v>
      </c>
      <c r="F3" s="60">
        <f t="shared" ref="F3:F66" si="3">$B$6+$B$8*E3^2</f>
        <v>20661.026519791318</v>
      </c>
      <c r="G3" s="60">
        <f>0.5*$B$2*D3^2*$B$4*F3</f>
        <v>49586.492930024244</v>
      </c>
      <c r="H3" s="60">
        <f t="shared" ref="H3:H66" si="4">(0.5*$B$2*D3^2)*$B$4*$B$6</f>
        <v>7.2000042518494983E-2</v>
      </c>
      <c r="I3" s="60">
        <f t="shared" ref="I3:I66" si="5">(0.5*$B$2*D3^2)*$B$4*E3^2/(PI()*$B$7*$B$5)</f>
        <v>49586.42092998173</v>
      </c>
      <c r="J3" s="60">
        <f t="shared" si="1"/>
        <v>49586.492930024251</v>
      </c>
      <c r="K3" s="61">
        <f t="shared" si="2"/>
        <v>281.23825897186316</v>
      </c>
      <c r="L3" s="60">
        <f t="shared" ref="L3:L34" si="6">D3/J3</f>
        <v>1.0083391069934969E-4</v>
      </c>
      <c r="M3">
        <f t="shared" ref="M3:M66" si="7">J3/D3</f>
        <v>9917.2985860048502</v>
      </c>
      <c r="N3" s="60"/>
    </row>
    <row r="4" spans="1:16" x14ac:dyDescent="0.2">
      <c r="A4" s="50" t="s">
        <v>134</v>
      </c>
      <c r="B4" s="48">
        <f>airplane!B60*1.7</f>
        <v>107.66925000709568</v>
      </c>
      <c r="C4" s="59">
        <f t="shared" si="0"/>
        <v>5.9248399999999997</v>
      </c>
      <c r="D4" s="60">
        <v>10</v>
      </c>
      <c r="E4" s="60">
        <f t="shared" ref="E4:E34" si="8">(2*$B$3)/(($B$2*D4^2)*$B$4)</f>
        <v>137.78866863101644</v>
      </c>
      <c r="F4" s="60">
        <f>$B$6+$B$8*E4^2</f>
        <v>1291.3422824869574</v>
      </c>
      <c r="G4" s="60">
        <f t="shared" ref="G4:G63" si="9">0.5*$B$2*D4^2*$B$4*F4</f>
        <v>12396.893232665507</v>
      </c>
      <c r="H4" s="60">
        <f t="shared" si="4"/>
        <v>0.28800017007397993</v>
      </c>
      <c r="I4" s="60">
        <f t="shared" si="5"/>
        <v>12396.605232495433</v>
      </c>
      <c r="J4" s="60">
        <f t="shared" si="1"/>
        <v>12396.893232665507</v>
      </c>
      <c r="K4" s="61">
        <f t="shared" si="2"/>
        <v>281.23825897186316</v>
      </c>
      <c r="L4" s="60">
        <f t="shared" si="6"/>
        <v>8.06653716565877E-4</v>
      </c>
      <c r="M4">
        <f t="shared" si="7"/>
        <v>1239.6893232665507</v>
      </c>
    </row>
    <row r="5" spans="1:16" x14ac:dyDescent="0.2">
      <c r="A5" s="50" t="s">
        <v>95</v>
      </c>
      <c r="B5" s="48">
        <f>airplane!B6</f>
        <v>5.2</v>
      </c>
      <c r="C5" s="59">
        <f t="shared" si="0"/>
        <v>8.8872599999999995</v>
      </c>
      <c r="D5" s="60">
        <v>15</v>
      </c>
      <c r="E5" s="60">
        <f t="shared" si="8"/>
        <v>61.239408280451741</v>
      </c>
      <c r="F5" s="60">
        <f t="shared" si="3"/>
        <v>255.10403110853474</v>
      </c>
      <c r="G5" s="60">
        <f t="shared" si="9"/>
        <v>5510.2503259361911</v>
      </c>
      <c r="H5" s="60">
        <f t="shared" si="4"/>
        <v>0.64800038266645488</v>
      </c>
      <c r="I5" s="60">
        <f t="shared" si="5"/>
        <v>5509.6023255535247</v>
      </c>
      <c r="J5" s="60">
        <f t="shared" si="1"/>
        <v>5510.2503259361911</v>
      </c>
      <c r="K5" s="61">
        <f t="shared" si="2"/>
        <v>281.23825897186316</v>
      </c>
      <c r="L5" s="60">
        <f t="shared" si="6"/>
        <v>2.722199376205563E-3</v>
      </c>
      <c r="M5">
        <f t="shared" si="7"/>
        <v>367.3500217290794</v>
      </c>
    </row>
    <row r="6" spans="1:16" x14ac:dyDescent="0.2">
      <c r="A6" s="50" t="s">
        <v>96</v>
      </c>
      <c r="B6" s="48">
        <f>airplane!B7</f>
        <v>0.03</v>
      </c>
      <c r="C6" s="59">
        <f t="shared" si="0"/>
        <v>11.849679999999999</v>
      </c>
      <c r="D6" s="60">
        <v>20</v>
      </c>
      <c r="E6" s="60">
        <f t="shared" si="8"/>
        <v>34.447167157754109</v>
      </c>
      <c r="F6" s="60">
        <f t="shared" si="3"/>
        <v>80.73701765543484</v>
      </c>
      <c r="G6" s="60">
        <f t="shared" si="9"/>
        <v>3100.3033088041543</v>
      </c>
      <c r="H6" s="60">
        <f t="shared" si="4"/>
        <v>1.1520006802959197</v>
      </c>
      <c r="I6" s="60">
        <f t="shared" si="5"/>
        <v>3099.1513081238581</v>
      </c>
      <c r="J6" s="60">
        <f t="shared" si="1"/>
        <v>3100.3033088041539</v>
      </c>
      <c r="K6" s="61">
        <f t="shared" si="2"/>
        <v>281.23825897186316</v>
      </c>
      <c r="L6" s="60">
        <f t="shared" si="6"/>
        <v>6.4509817291761628E-3</v>
      </c>
      <c r="M6">
        <f t="shared" si="7"/>
        <v>155.01516544020768</v>
      </c>
    </row>
    <row r="7" spans="1:16" x14ac:dyDescent="0.2">
      <c r="A7" s="50" t="s">
        <v>97</v>
      </c>
      <c r="B7" s="48">
        <v>0.9</v>
      </c>
      <c r="C7" s="59">
        <f t="shared" si="0"/>
        <v>14.812100000000001</v>
      </c>
      <c r="D7" s="60">
        <v>25</v>
      </c>
      <c r="E7" s="60">
        <f t="shared" si="8"/>
        <v>22.046186980962627</v>
      </c>
      <c r="F7" s="60">
        <f t="shared" si="3"/>
        <v>33.087594431666105</v>
      </c>
      <c r="G7" s="60">
        <f t="shared" si="9"/>
        <v>1985.2568382622314</v>
      </c>
      <c r="H7" s="60">
        <f t="shared" si="4"/>
        <v>1.8000010629623746</v>
      </c>
      <c r="I7" s="60">
        <f t="shared" si="5"/>
        <v>1983.4568371992686</v>
      </c>
      <c r="J7" s="60">
        <f t="shared" si="1"/>
        <v>1985.256838262231</v>
      </c>
      <c r="K7" s="61">
        <f t="shared" si="2"/>
        <v>281.23825897186316</v>
      </c>
      <c r="L7" s="60">
        <f t="shared" si="6"/>
        <v>1.2592829057767371E-2</v>
      </c>
      <c r="M7">
        <f t="shared" si="7"/>
        <v>79.410273530489235</v>
      </c>
    </row>
    <row r="8" spans="1:16" ht="16" thickBot="1" x14ac:dyDescent="0.25">
      <c r="A8" s="51" t="s">
        <v>127</v>
      </c>
      <c r="B8" s="23">
        <f>1/(PI()*B7*B5)</f>
        <v>6.8014932945254417E-2</v>
      </c>
      <c r="C8" s="59">
        <f t="shared" si="0"/>
        <v>17.774519999999999</v>
      </c>
      <c r="D8" s="60">
        <v>30</v>
      </c>
      <c r="E8" s="60">
        <f t="shared" si="8"/>
        <v>15.309852070112935</v>
      </c>
      <c r="F8" s="60">
        <f t="shared" si="3"/>
        <v>15.972126944283421</v>
      </c>
      <c r="G8" s="60">
        <f t="shared" si="9"/>
        <v>1379.992582919047</v>
      </c>
      <c r="H8" s="60">
        <f t="shared" si="4"/>
        <v>2.5920015306658195</v>
      </c>
      <c r="I8" s="60">
        <f t="shared" si="5"/>
        <v>1377.4005813883812</v>
      </c>
      <c r="J8" s="60">
        <f t="shared" si="1"/>
        <v>1379.992582919047</v>
      </c>
      <c r="K8" s="61">
        <f t="shared" si="2"/>
        <v>281.23825897186316</v>
      </c>
      <c r="L8" s="60">
        <f t="shared" si="6"/>
        <v>2.173924727663544E-2</v>
      </c>
      <c r="M8">
        <f>J8/D8</f>
        <v>45.999752763968232</v>
      </c>
    </row>
    <row r="9" spans="1:16" ht="16" thickBot="1" x14ac:dyDescent="0.25">
      <c r="C9" s="59">
        <f t="shared" si="0"/>
        <v>20.736940000000001</v>
      </c>
      <c r="D9" s="60">
        <v>35</v>
      </c>
      <c r="E9" s="60">
        <f t="shared" si="8"/>
        <v>11.248054582123789</v>
      </c>
      <c r="F9" s="60">
        <f t="shared" si="3"/>
        <v>8.6351630653025033</v>
      </c>
      <c r="G9" s="60">
        <f t="shared" si="9"/>
        <v>1015.4957761646657</v>
      </c>
      <c r="H9" s="60">
        <f t="shared" si="4"/>
        <v>3.5280020834062547</v>
      </c>
      <c r="I9" s="60">
        <f t="shared" si="5"/>
        <v>1011.9677740812596</v>
      </c>
      <c r="J9" s="60">
        <f t="shared" si="1"/>
        <v>1015.4957761646658</v>
      </c>
      <c r="K9" s="61">
        <f t="shared" si="2"/>
        <v>281.23825897186316</v>
      </c>
      <c r="L9" s="60">
        <f t="shared" si="6"/>
        <v>3.4465923760104974E-2</v>
      </c>
      <c r="M9">
        <f t="shared" si="7"/>
        <v>29.014165033276168</v>
      </c>
    </row>
    <row r="10" spans="1:16" ht="16" thickBot="1" x14ac:dyDescent="0.25">
      <c r="A10" s="67" t="s">
        <v>144</v>
      </c>
      <c r="B10" s="68"/>
      <c r="C10" s="59">
        <f t="shared" si="0"/>
        <v>23.699359999999999</v>
      </c>
      <c r="D10" s="60">
        <v>40</v>
      </c>
      <c r="E10" s="60">
        <f t="shared" si="8"/>
        <v>8.6117917894385272</v>
      </c>
      <c r="F10" s="60">
        <f t="shared" si="3"/>
        <v>5.0741886034646777</v>
      </c>
      <c r="G10" s="60">
        <f t="shared" si="9"/>
        <v>779.3958297521483</v>
      </c>
      <c r="H10" s="60">
        <f t="shared" si="4"/>
        <v>4.6080027211836789</v>
      </c>
      <c r="I10" s="60">
        <f t="shared" si="5"/>
        <v>774.78782703096454</v>
      </c>
      <c r="J10" s="60">
        <f t="shared" si="1"/>
        <v>779.39582975214819</v>
      </c>
      <c r="K10" s="61">
        <f t="shared" si="2"/>
        <v>281.23825897186316</v>
      </c>
      <c r="L10" s="60">
        <f t="shared" si="6"/>
        <v>5.1321803983375436E-2</v>
      </c>
      <c r="M10">
        <f t="shared" si="7"/>
        <v>19.484895743803705</v>
      </c>
    </row>
    <row r="11" spans="1:16" x14ac:dyDescent="0.2">
      <c r="A11" s="42" t="s">
        <v>126</v>
      </c>
      <c r="B11" s="57" t="s">
        <v>39</v>
      </c>
      <c r="C11" s="59">
        <f t="shared" si="0"/>
        <v>26.66178</v>
      </c>
      <c r="D11" s="60">
        <v>45</v>
      </c>
      <c r="E11" s="60">
        <f t="shared" si="8"/>
        <v>6.8043786978279721</v>
      </c>
      <c r="F11" s="60">
        <f t="shared" si="3"/>
        <v>3.1790621124510468</v>
      </c>
      <c r="G11" s="60">
        <f t="shared" si="9"/>
        <v>618.01003961661195</v>
      </c>
      <c r="H11" s="60">
        <f t="shared" si="4"/>
        <v>5.8320034439980937</v>
      </c>
      <c r="I11" s="60">
        <f t="shared" si="5"/>
        <v>612.17803617261404</v>
      </c>
      <c r="J11" s="60">
        <f t="shared" si="1"/>
        <v>618.01003961661218</v>
      </c>
      <c r="K11" s="61">
        <f t="shared" si="2"/>
        <v>281.23825897186316</v>
      </c>
      <c r="L11" s="60">
        <f t="shared" si="6"/>
        <v>7.2814351087105531E-2</v>
      </c>
      <c r="M11">
        <f t="shared" si="7"/>
        <v>13.733556435924715</v>
      </c>
    </row>
    <row r="12" spans="1:16" ht="16" thickBot="1" x14ac:dyDescent="0.25">
      <c r="A12" s="40">
        <v>3000</v>
      </c>
      <c r="B12" s="58">
        <f>A12*3.28084</f>
        <v>9842.52</v>
      </c>
      <c r="C12" s="59">
        <f t="shared" si="0"/>
        <v>29.624200000000002</v>
      </c>
      <c r="D12" s="60">
        <v>50</v>
      </c>
      <c r="E12" s="60">
        <f t="shared" si="8"/>
        <v>5.5115467452406568</v>
      </c>
      <c r="F12" s="60">
        <f t="shared" si="3"/>
        <v>2.0960996519791313</v>
      </c>
      <c r="G12" s="60">
        <f t="shared" si="9"/>
        <v>503.06421355166668</v>
      </c>
      <c r="H12" s="60">
        <f t="shared" si="4"/>
        <v>7.2000042518494984</v>
      </c>
      <c r="I12" s="60">
        <f t="shared" si="5"/>
        <v>495.86420929981716</v>
      </c>
      <c r="J12" s="60">
        <f t="shared" si="1"/>
        <v>503.06421355166668</v>
      </c>
      <c r="K12" s="61">
        <f t="shared" si="2"/>
        <v>281.23825897186316</v>
      </c>
      <c r="L12" s="60">
        <f t="shared" si="6"/>
        <v>9.9390890174828148E-2</v>
      </c>
      <c r="M12">
        <f t="shared" si="7"/>
        <v>10.061284271033333</v>
      </c>
    </row>
    <row r="13" spans="1:16" x14ac:dyDescent="0.2">
      <c r="A13" s="42" t="s">
        <v>125</v>
      </c>
      <c r="B13" s="57" t="s">
        <v>124</v>
      </c>
      <c r="C13" s="59">
        <f t="shared" si="0"/>
        <v>32.586620000000003</v>
      </c>
      <c r="D13" s="60">
        <v>55</v>
      </c>
      <c r="E13" s="60">
        <f t="shared" si="8"/>
        <v>4.5549973101162458</v>
      </c>
      <c r="F13" s="60">
        <f t="shared" si="3"/>
        <v>1.4411738624268369</v>
      </c>
      <c r="G13" s="60">
        <f t="shared" si="9"/>
        <v>418.51713679747945</v>
      </c>
      <c r="H13" s="60">
        <f t="shared" si="4"/>
        <v>8.7120051447378923</v>
      </c>
      <c r="I13" s="60">
        <f t="shared" si="5"/>
        <v>409.80513165274158</v>
      </c>
      <c r="J13" s="60">
        <f t="shared" si="1"/>
        <v>418.51713679747945</v>
      </c>
      <c r="K13" s="61">
        <f t="shared" si="2"/>
        <v>281.23825897186316</v>
      </c>
      <c r="L13" s="60">
        <f t="shared" si="6"/>
        <v>0.13141636306905757</v>
      </c>
      <c r="M13">
        <f t="shared" si="7"/>
        <v>7.609402487226899</v>
      </c>
    </row>
    <row r="14" spans="1:16" ht="16" thickBot="1" x14ac:dyDescent="0.25">
      <c r="A14" s="40">
        <v>600</v>
      </c>
      <c r="B14" s="58">
        <f>A14*2.20462</f>
        <v>1322.7719999999999</v>
      </c>
      <c r="C14" s="59">
        <f t="shared" si="0"/>
        <v>35.549039999999998</v>
      </c>
      <c r="D14" s="60">
        <v>60</v>
      </c>
      <c r="E14" s="60">
        <f t="shared" si="8"/>
        <v>3.8274630175282338</v>
      </c>
      <c r="F14" s="60">
        <f t="shared" si="3"/>
        <v>1.0263829340177137</v>
      </c>
      <c r="G14" s="60">
        <f t="shared" si="9"/>
        <v>354.71815146975854</v>
      </c>
      <c r="H14" s="60">
        <f t="shared" si="4"/>
        <v>10.368006122663278</v>
      </c>
      <c r="I14" s="60">
        <f t="shared" si="5"/>
        <v>344.35014534709529</v>
      </c>
      <c r="J14" s="60">
        <f t="shared" si="1"/>
        <v>354.7181514697586</v>
      </c>
      <c r="K14" s="61">
        <f t="shared" si="2"/>
        <v>281.23825897186316</v>
      </c>
      <c r="L14" s="60">
        <f t="shared" si="6"/>
        <v>0.16914837808945699</v>
      </c>
      <c r="M14">
        <f t="shared" si="7"/>
        <v>5.9119691911626431</v>
      </c>
    </row>
    <row r="15" spans="1:16" x14ac:dyDescent="0.2">
      <c r="C15" s="59">
        <f t="shared" si="0"/>
        <v>38.51146</v>
      </c>
      <c r="D15" s="60">
        <v>65</v>
      </c>
      <c r="E15" s="60">
        <f t="shared" si="8"/>
        <v>3.26127026345601</v>
      </c>
      <c r="F15" s="60">
        <f t="shared" si="3"/>
        <v>0.75339891879805743</v>
      </c>
      <c r="G15" s="60">
        <f t="shared" si="9"/>
        <v>305.57878191924533</v>
      </c>
      <c r="H15" s="60">
        <f t="shared" si="4"/>
        <v>12.168007185625653</v>
      </c>
      <c r="I15" s="60">
        <f t="shared" si="5"/>
        <v>293.41077473361969</v>
      </c>
      <c r="J15" s="60">
        <f t="shared" si="1"/>
        <v>305.57878191924533</v>
      </c>
      <c r="K15" s="61">
        <f t="shared" si="2"/>
        <v>281.23825897186316</v>
      </c>
      <c r="L15" s="60">
        <f t="shared" si="6"/>
        <v>0.21271110380032018</v>
      </c>
      <c r="M15">
        <f t="shared" si="7"/>
        <v>4.7012120295268511</v>
      </c>
    </row>
    <row r="16" spans="1:16" x14ac:dyDescent="0.2">
      <c r="B16">
        <f>B4*B6</f>
        <v>3.2300775002128703</v>
      </c>
      <c r="C16" s="59">
        <f t="shared" si="0"/>
        <v>41.473880000000001</v>
      </c>
      <c r="D16" s="60">
        <v>70</v>
      </c>
      <c r="E16" s="60">
        <f t="shared" si="8"/>
        <v>2.8120136455309472</v>
      </c>
      <c r="F16" s="60">
        <f t="shared" si="3"/>
        <v>0.56782269158140652</v>
      </c>
      <c r="G16" s="60">
        <f t="shared" si="9"/>
        <v>267.10395185393992</v>
      </c>
      <c r="H16" s="60">
        <f t="shared" si="4"/>
        <v>14.112008333625019</v>
      </c>
      <c r="I16" s="60">
        <f t="shared" si="5"/>
        <v>252.99194352031489</v>
      </c>
      <c r="J16" s="60">
        <f t="shared" si="1"/>
        <v>267.10395185393992</v>
      </c>
      <c r="K16" s="61">
        <f t="shared" si="2"/>
        <v>281.23825897186316</v>
      </c>
      <c r="L16" s="60">
        <f t="shared" si="6"/>
        <v>0.26207025210273938</v>
      </c>
      <c r="M16">
        <f t="shared" si="7"/>
        <v>3.8157707407705703</v>
      </c>
    </row>
    <row r="17" spans="3:13" x14ac:dyDescent="0.2">
      <c r="C17" s="59">
        <f t="shared" si="0"/>
        <v>44.436300000000003</v>
      </c>
      <c r="D17" s="60">
        <v>75</v>
      </c>
      <c r="E17" s="60">
        <f t="shared" si="8"/>
        <v>2.4495763312180698</v>
      </c>
      <c r="F17" s="60">
        <f t="shared" si="3"/>
        <v>0.43811844977365566</v>
      </c>
      <c r="G17" s="60">
        <f t="shared" si="9"/>
        <v>236.58410258880238</v>
      </c>
      <c r="H17" s="60">
        <f t="shared" si="4"/>
        <v>16.200009566661372</v>
      </c>
      <c r="I17" s="60">
        <f t="shared" si="5"/>
        <v>220.384093022141</v>
      </c>
      <c r="J17" s="60">
        <f t="shared" si="1"/>
        <v>236.58410258880238</v>
      </c>
      <c r="K17" s="61">
        <f t="shared" si="2"/>
        <v>281.23825897186316</v>
      </c>
      <c r="L17" s="60">
        <f t="shared" si="6"/>
        <v>0.31701200198710977</v>
      </c>
      <c r="M17">
        <f t="shared" si="7"/>
        <v>3.1544547011840316</v>
      </c>
    </row>
    <row r="18" spans="3:13" x14ac:dyDescent="0.2">
      <c r="C18" s="59">
        <f t="shared" si="0"/>
        <v>47.398719999999997</v>
      </c>
      <c r="D18" s="60">
        <v>80</v>
      </c>
      <c r="E18" s="60">
        <f t="shared" si="8"/>
        <v>2.1529479473596318</v>
      </c>
      <c r="F18" s="60">
        <f t="shared" si="3"/>
        <v>0.34526178771654237</v>
      </c>
      <c r="G18" s="60">
        <f t="shared" si="9"/>
        <v>212.12896764247589</v>
      </c>
      <c r="H18" s="60">
        <f t="shared" si="4"/>
        <v>18.432010884734716</v>
      </c>
      <c r="I18" s="60">
        <f t="shared" si="5"/>
        <v>193.69695675774113</v>
      </c>
      <c r="J18" s="60">
        <f t="shared" si="1"/>
        <v>212.12896764247586</v>
      </c>
      <c r="K18" s="61">
        <f t="shared" si="2"/>
        <v>281.23825897186316</v>
      </c>
      <c r="L18" s="60">
        <f t="shared" si="6"/>
        <v>0.37712906864673357</v>
      </c>
      <c r="M18">
        <f t="shared" si="7"/>
        <v>2.6516120955309481</v>
      </c>
    </row>
    <row r="19" spans="3:13" x14ac:dyDescent="0.2">
      <c r="C19" s="59">
        <f t="shared" si="0"/>
        <v>50.361139999999999</v>
      </c>
      <c r="D19" s="60">
        <v>85</v>
      </c>
      <c r="E19" s="60">
        <f t="shared" si="8"/>
        <v>1.9071096004292933</v>
      </c>
      <c r="F19" s="60">
        <f t="shared" si="3"/>
        <v>0.27737487003018785</v>
      </c>
      <c r="G19" s="60">
        <f t="shared" si="9"/>
        <v>192.38732346425243</v>
      </c>
      <c r="H19" s="60">
        <f t="shared" si="4"/>
        <v>20.808012287845049</v>
      </c>
      <c r="I19" s="60">
        <f t="shared" si="5"/>
        <v>171.5793111764074</v>
      </c>
      <c r="J19" s="60">
        <f t="shared" si="1"/>
        <v>192.38732346425246</v>
      </c>
      <c r="K19" s="61">
        <f t="shared" si="2"/>
        <v>281.23825897186316</v>
      </c>
      <c r="L19" s="60">
        <f t="shared" si="6"/>
        <v>0.44181705150544326</v>
      </c>
      <c r="M19">
        <f t="shared" si="7"/>
        <v>2.2633802760500288</v>
      </c>
    </row>
    <row r="20" spans="3:13" x14ac:dyDescent="0.2">
      <c r="C20" s="59">
        <f t="shared" si="0"/>
        <v>53.323560000000001</v>
      </c>
      <c r="D20" s="60">
        <v>90</v>
      </c>
      <c r="E20" s="60">
        <f t="shared" si="8"/>
        <v>1.701094674456993</v>
      </c>
      <c r="F20" s="60">
        <f t="shared" si="3"/>
        <v>0.22681638202819043</v>
      </c>
      <c r="G20" s="60">
        <f t="shared" si="9"/>
        <v>176.37252281914587</v>
      </c>
      <c r="H20" s="60">
        <f t="shared" si="4"/>
        <v>23.328013775992375</v>
      </c>
      <c r="I20" s="60">
        <f t="shared" si="5"/>
        <v>153.04450904315351</v>
      </c>
      <c r="J20" s="60">
        <f t="shared" si="1"/>
        <v>176.3725228191459</v>
      </c>
      <c r="K20" s="61">
        <f t="shared" si="2"/>
        <v>281.23825897186316</v>
      </c>
      <c r="L20" s="60">
        <f t="shared" si="6"/>
        <v>0.51028356663178698</v>
      </c>
      <c r="M20">
        <f t="shared" si="7"/>
        <v>1.9596946979905101</v>
      </c>
    </row>
    <row r="21" spans="3:13" x14ac:dyDescent="0.2">
      <c r="C21" s="59">
        <f t="shared" si="0"/>
        <v>56.285980000000002</v>
      </c>
      <c r="D21" s="60">
        <v>95</v>
      </c>
      <c r="E21" s="60">
        <f t="shared" si="8"/>
        <v>1.5267442507591849</v>
      </c>
      <c r="F21" s="60">
        <f t="shared" si="3"/>
        <v>0.18853927241036608</v>
      </c>
      <c r="G21" s="60">
        <f t="shared" si="9"/>
        <v>163.35052208042799</v>
      </c>
      <c r="H21" s="60">
        <f t="shared" si="4"/>
        <v>25.992015349176686</v>
      </c>
      <c r="I21" s="60">
        <f t="shared" si="5"/>
        <v>137.35850673125134</v>
      </c>
      <c r="J21" s="60">
        <f t="shared" si="1"/>
        <v>163.35052208042802</v>
      </c>
      <c r="K21" s="61">
        <f t="shared" si="2"/>
        <v>281.23825897186316</v>
      </c>
      <c r="L21" s="60">
        <f t="shared" si="6"/>
        <v>0.58157145009444999</v>
      </c>
      <c r="M21">
        <f t="shared" si="7"/>
        <v>1.7194791797939792</v>
      </c>
    </row>
    <row r="22" spans="3:13" x14ac:dyDescent="0.2">
      <c r="C22" s="59">
        <f t="shared" si="0"/>
        <v>59.248400000000004</v>
      </c>
      <c r="D22" s="60">
        <v>100</v>
      </c>
      <c r="E22" s="60">
        <f t="shared" si="8"/>
        <v>1.3778866863101642</v>
      </c>
      <c r="F22" s="60">
        <f t="shared" si="3"/>
        <v>0.15913122824869572</v>
      </c>
      <c r="G22" s="60">
        <f t="shared" si="9"/>
        <v>152.76606933235232</v>
      </c>
      <c r="H22" s="60">
        <f t="shared" si="4"/>
        <v>28.800017007397994</v>
      </c>
      <c r="I22" s="60">
        <f t="shared" si="5"/>
        <v>123.96605232495429</v>
      </c>
      <c r="J22" s="60">
        <f t="shared" si="1"/>
        <v>152.76606933235229</v>
      </c>
      <c r="K22" s="61">
        <f t="shared" si="2"/>
        <v>281.23825897186316</v>
      </c>
      <c r="L22" s="60">
        <f t="shared" si="6"/>
        <v>0.65459562085376199</v>
      </c>
      <c r="M22">
        <f t="shared" si="7"/>
        <v>1.5276606933235228</v>
      </c>
    </row>
    <row r="23" spans="3:13" x14ac:dyDescent="0.2">
      <c r="C23" s="59">
        <f t="shared" si="0"/>
        <v>62.210819999999998</v>
      </c>
      <c r="D23" s="60">
        <v>105</v>
      </c>
      <c r="E23" s="60">
        <f t="shared" si="8"/>
        <v>1.2497838424581988</v>
      </c>
      <c r="F23" s="60">
        <f t="shared" si="3"/>
        <v>0.13623658105311737</v>
      </c>
      <c r="G23" s="60">
        <f t="shared" si="9"/>
        <v>144.19288253746294</v>
      </c>
      <c r="H23" s="60">
        <f t="shared" si="4"/>
        <v>31.752018750656287</v>
      </c>
      <c r="I23" s="60">
        <f t="shared" si="5"/>
        <v>112.44086378680662</v>
      </c>
      <c r="J23" s="60">
        <f t="shared" si="1"/>
        <v>144.19288253746291</v>
      </c>
      <c r="K23" s="61">
        <f t="shared" si="2"/>
        <v>281.23825897186316</v>
      </c>
      <c r="L23" s="60">
        <f t="shared" si="6"/>
        <v>0.72819128206775285</v>
      </c>
      <c r="M23">
        <f t="shared" si="7"/>
        <v>1.3732655479758371</v>
      </c>
    </row>
    <row r="24" spans="3:13" x14ac:dyDescent="0.2">
      <c r="C24" s="16">
        <f t="shared" si="0"/>
        <v>65.173240000000007</v>
      </c>
      <c r="D24" s="22">
        <v>110</v>
      </c>
      <c r="E24" s="22">
        <f t="shared" si="8"/>
        <v>1.1387493275290614</v>
      </c>
      <c r="F24" s="22">
        <f t="shared" si="3"/>
        <v>0.1181983664016773</v>
      </c>
      <c r="G24" s="22">
        <f t="shared" si="9"/>
        <v>137.29930349213697</v>
      </c>
      <c r="H24" s="22">
        <f t="shared" si="4"/>
        <v>34.848020578951569</v>
      </c>
      <c r="I24" s="22">
        <f t="shared" si="5"/>
        <v>102.45128291318539</v>
      </c>
      <c r="J24">
        <f t="shared" si="1"/>
        <v>137.29930349213697</v>
      </c>
      <c r="K24">
        <f t="shared" si="2"/>
        <v>281.23825897186316</v>
      </c>
      <c r="L24" s="60">
        <f t="shared" si="6"/>
        <v>0.8011693956357151</v>
      </c>
      <c r="M24">
        <f t="shared" si="7"/>
        <v>1.2481754862921544</v>
      </c>
    </row>
    <row r="25" spans="3:13" x14ac:dyDescent="0.2">
      <c r="C25" s="16">
        <f t="shared" si="0"/>
        <v>68.135660000000001</v>
      </c>
      <c r="D25" s="22">
        <v>115</v>
      </c>
      <c r="E25" s="22">
        <f t="shared" si="8"/>
        <v>1.0418802921059844</v>
      </c>
      <c r="F25" s="22">
        <f t="shared" si="3"/>
        <v>0.10383119885860657</v>
      </c>
      <c r="G25" s="22">
        <f t="shared" si="9"/>
        <v>131.82416791758016</v>
      </c>
      <c r="H25" s="22">
        <f t="shared" si="4"/>
        <v>38.088022492283848</v>
      </c>
      <c r="I25" s="22">
        <f t="shared" si="5"/>
        <v>93.736145425296286</v>
      </c>
      <c r="J25">
        <f t="shared" si="1"/>
        <v>131.82416791758013</v>
      </c>
      <c r="K25">
        <f t="shared" si="2"/>
        <v>281.23825897186316</v>
      </c>
      <c r="L25" s="60">
        <f t="shared" si="6"/>
        <v>0.8723741770317941</v>
      </c>
      <c r="M25">
        <f t="shared" si="7"/>
        <v>1.1462971123267838</v>
      </c>
    </row>
    <row r="26" spans="3:13" x14ac:dyDescent="0.2">
      <c r="C26" s="16">
        <f t="shared" si="0"/>
        <v>71.098079999999996</v>
      </c>
      <c r="D26" s="22">
        <v>120</v>
      </c>
      <c r="E26" s="22">
        <f t="shared" si="8"/>
        <v>0.95686575438205845</v>
      </c>
      <c r="F26" s="22">
        <f t="shared" si="3"/>
        <v>9.227393337610712E-2</v>
      </c>
      <c r="G26" s="22">
        <f t="shared" si="9"/>
        <v>127.55956082742695</v>
      </c>
      <c r="H26" s="22">
        <f t="shared" si="4"/>
        <v>41.472024490653112</v>
      </c>
      <c r="I26" s="22">
        <f t="shared" si="5"/>
        <v>86.087536336773823</v>
      </c>
      <c r="J26">
        <f t="shared" si="1"/>
        <v>127.55956082742694</v>
      </c>
      <c r="K26">
        <f t="shared" si="2"/>
        <v>281.23825897186316</v>
      </c>
      <c r="L26" s="60">
        <f t="shared" si="6"/>
        <v>0.94073701117822028</v>
      </c>
      <c r="M26">
        <f t="shared" si="7"/>
        <v>1.0629963402285578</v>
      </c>
    </row>
    <row r="27" spans="3:13" x14ac:dyDescent="0.2">
      <c r="C27" s="16">
        <f t="shared" si="0"/>
        <v>74.060500000000005</v>
      </c>
      <c r="D27" s="22">
        <v>125</v>
      </c>
      <c r="E27" s="22">
        <f t="shared" si="8"/>
        <v>0.88184747923850515</v>
      </c>
      <c r="F27" s="22">
        <f t="shared" si="3"/>
        <v>8.2892151090665764E-2</v>
      </c>
      <c r="G27" s="22">
        <f t="shared" si="9"/>
        <v>124.33830006203011</v>
      </c>
      <c r="H27" s="22">
        <f t="shared" si="4"/>
        <v>45.000026574059369</v>
      </c>
      <c r="I27" s="22">
        <f t="shared" si="5"/>
        <v>79.338273487970767</v>
      </c>
      <c r="J27">
        <f t="shared" si="1"/>
        <v>124.33830006203013</v>
      </c>
      <c r="K27">
        <f t="shared" si="2"/>
        <v>281.23825897186316</v>
      </c>
      <c r="L27" s="60">
        <f t="shared" si="6"/>
        <v>1.0053217708271689</v>
      </c>
      <c r="M27">
        <f t="shared" si="7"/>
        <v>0.99470640049624104</v>
      </c>
    </row>
    <row r="28" spans="3:13" x14ac:dyDescent="0.2">
      <c r="C28" s="16">
        <f t="shared" si="0"/>
        <v>77.022919999999999</v>
      </c>
      <c r="D28" s="22">
        <v>130</v>
      </c>
      <c r="E28" s="22">
        <f t="shared" si="8"/>
        <v>0.8153175658640025</v>
      </c>
      <c r="F28" s="22">
        <f t="shared" si="3"/>
        <v>7.5212432424878586E-2</v>
      </c>
      <c r="G28" s="22">
        <f t="shared" si="9"/>
        <v>122.02472242590753</v>
      </c>
      <c r="H28" s="22">
        <f t="shared" si="4"/>
        <v>48.672028742502611</v>
      </c>
      <c r="I28" s="22">
        <f t="shared" si="5"/>
        <v>73.352693683404922</v>
      </c>
      <c r="J28">
        <f t="shared" si="1"/>
        <v>122.02472242590753</v>
      </c>
      <c r="K28">
        <f t="shared" si="2"/>
        <v>281.23825897186316</v>
      </c>
      <c r="L28" s="60">
        <f t="shared" si="6"/>
        <v>1.0653578833497039</v>
      </c>
      <c r="M28">
        <f t="shared" si="7"/>
        <v>0.9386517109685194</v>
      </c>
    </row>
    <row r="29" spans="3:13" x14ac:dyDescent="0.2">
      <c r="C29" s="16">
        <f t="shared" si="0"/>
        <v>79.985340000000008</v>
      </c>
      <c r="D29" s="22">
        <v>135</v>
      </c>
      <c r="E29" s="22">
        <f t="shared" si="8"/>
        <v>0.75604207753644126</v>
      </c>
      <c r="F29" s="22">
        <f t="shared" si="3"/>
        <v>6.8877310030259833E-2</v>
      </c>
      <c r="G29" s="22">
        <f t="shared" si="9"/>
        <v>120.50781279293996</v>
      </c>
      <c r="H29" s="22">
        <f t="shared" si="4"/>
        <v>52.488030995982854</v>
      </c>
      <c r="I29" s="22">
        <f t="shared" si="5"/>
        <v>68.019781796957105</v>
      </c>
      <c r="J29">
        <f t="shared" si="1"/>
        <v>120.50781279293996</v>
      </c>
      <c r="K29">
        <f t="shared" si="2"/>
        <v>281.23825897186316</v>
      </c>
      <c r="L29" s="60">
        <f t="shared" si="6"/>
        <v>1.1202593165636567</v>
      </c>
      <c r="M29">
        <f t="shared" si="7"/>
        <v>0.89265046513288859</v>
      </c>
    </row>
    <row r="30" spans="3:13" x14ac:dyDescent="0.2">
      <c r="C30" s="16">
        <f t="shared" si="0"/>
        <v>82.947760000000002</v>
      </c>
      <c r="D30" s="22">
        <v>140</v>
      </c>
      <c r="E30" s="22">
        <f t="shared" si="8"/>
        <v>0.70300341138273681</v>
      </c>
      <c r="F30" s="22">
        <f t="shared" si="3"/>
        <v>6.3613918223837912E-2</v>
      </c>
      <c r="G30" s="22">
        <f t="shared" si="9"/>
        <v>119.69601921457881</v>
      </c>
      <c r="H30" s="22">
        <f t="shared" si="4"/>
        <v>56.448033334500074</v>
      </c>
      <c r="I30" s="22">
        <f t="shared" si="5"/>
        <v>63.247985880078723</v>
      </c>
      <c r="J30">
        <f t="shared" si="1"/>
        <v>119.6960192145788</v>
      </c>
      <c r="K30">
        <f t="shared" si="2"/>
        <v>281.23825897186316</v>
      </c>
      <c r="L30" s="60">
        <f t="shared" si="6"/>
        <v>1.1696295408874233</v>
      </c>
      <c r="M30">
        <f t="shared" si="7"/>
        <v>0.85497156581841993</v>
      </c>
    </row>
    <row r="31" spans="3:13" x14ac:dyDescent="0.2">
      <c r="C31" s="16">
        <f t="shared" si="0"/>
        <v>85.910179999999997</v>
      </c>
      <c r="D31" s="22">
        <v>145</v>
      </c>
      <c r="E31" s="22">
        <f t="shared" si="8"/>
        <v>0.65535633118200443</v>
      </c>
      <c r="F31" s="22">
        <f t="shared" si="3"/>
        <v>5.921186419512374E-2</v>
      </c>
      <c r="G31" s="22">
        <f t="shared" si="9"/>
        <v>119.51329726813957</v>
      </c>
      <c r="H31" s="22">
        <f t="shared" si="4"/>
        <v>60.552035758054281</v>
      </c>
      <c r="I31" s="22">
        <f t="shared" si="5"/>
        <v>58.961261510085286</v>
      </c>
      <c r="J31">
        <f t="shared" si="1"/>
        <v>119.51329726813957</v>
      </c>
      <c r="K31">
        <f t="shared" si="2"/>
        <v>281.23825897186316</v>
      </c>
      <c r="L31" s="60">
        <f t="shared" si="6"/>
        <v>1.2132541174450118</v>
      </c>
      <c r="M31">
        <f t="shared" si="7"/>
        <v>0.82422963633199697</v>
      </c>
    </row>
    <row r="32" spans="3:13" x14ac:dyDescent="0.2">
      <c r="C32" s="16">
        <f t="shared" si="0"/>
        <v>88.872600000000006</v>
      </c>
      <c r="D32" s="22">
        <v>150</v>
      </c>
      <c r="E32" s="22">
        <f t="shared" si="8"/>
        <v>0.61239408280451746</v>
      </c>
      <c r="F32" s="22">
        <f t="shared" si="3"/>
        <v>5.5507403110853476E-2</v>
      </c>
      <c r="G32" s="22">
        <f t="shared" si="9"/>
        <v>119.89606152218073</v>
      </c>
      <c r="H32" s="22">
        <f t="shared" si="4"/>
        <v>64.800038266645487</v>
      </c>
      <c r="I32" s="22">
        <f t="shared" si="5"/>
        <v>55.09602325553525</v>
      </c>
      <c r="J32">
        <f t="shared" si="1"/>
        <v>119.89606152218073</v>
      </c>
      <c r="K32">
        <f t="shared" si="2"/>
        <v>281.23825897186316</v>
      </c>
      <c r="L32" s="60">
        <f t="shared" si="6"/>
        <v>1.2510836310686491</v>
      </c>
      <c r="M32">
        <f t="shared" si="7"/>
        <v>0.79930707681453816</v>
      </c>
    </row>
    <row r="33" spans="3:25" x14ac:dyDescent="0.2">
      <c r="C33" s="16">
        <f t="shared" si="0"/>
        <v>91.83502</v>
      </c>
      <c r="D33" s="22">
        <v>155</v>
      </c>
      <c r="E33" s="22">
        <f t="shared" si="8"/>
        <v>0.57352203384398104</v>
      </c>
      <c r="F33" s="22">
        <f t="shared" si="3"/>
        <v>5.2371983441406658E-2</v>
      </c>
      <c r="G33" s="22">
        <f t="shared" si="9"/>
        <v>120.79081394037954</v>
      </c>
      <c r="H33" s="22">
        <f t="shared" si="4"/>
        <v>69.192040860273679</v>
      </c>
      <c r="I33" s="22">
        <f t="shared" si="5"/>
        <v>51.598773080105865</v>
      </c>
      <c r="J33">
        <f t="shared" si="1"/>
        <v>120.79081394037954</v>
      </c>
      <c r="K33">
        <f t="shared" si="2"/>
        <v>281.23825897186316</v>
      </c>
      <c r="L33" s="60">
        <f t="shared" si="6"/>
        <v>1.2832101626246644</v>
      </c>
      <c r="M33">
        <f t="shared" si="7"/>
        <v>0.77929557380890024</v>
      </c>
      <c r="Y33">
        <f ca="1">+Y30:AH33</f>
        <v>0</v>
      </c>
    </row>
    <row r="34" spans="3:25" x14ac:dyDescent="0.2">
      <c r="C34" s="16">
        <f t="shared" ref="C34:C63" si="10">D34*0.592484</f>
        <v>94.797439999999995</v>
      </c>
      <c r="D34" s="22">
        <v>160</v>
      </c>
      <c r="E34" s="22">
        <f t="shared" si="8"/>
        <v>0.53823698683990795</v>
      </c>
      <c r="F34" s="22">
        <f t="shared" si="3"/>
        <v>4.9703861732283895E-2</v>
      </c>
      <c r="G34" s="22">
        <f t="shared" si="9"/>
        <v>122.15228272837415</v>
      </c>
      <c r="H34" s="22">
        <f t="shared" si="4"/>
        <v>73.728043538938863</v>
      </c>
      <c r="I34" s="22">
        <f t="shared" si="5"/>
        <v>48.424239189435283</v>
      </c>
      <c r="J34">
        <f t="shared" ref="J34:J65" si="11">H34+I34</f>
        <v>122.15228272837415</v>
      </c>
      <c r="K34">
        <f t="shared" ref="K34:K65" si="12">$J$63</f>
        <v>281.23825897186316</v>
      </c>
      <c r="L34" s="60">
        <f t="shared" si="6"/>
        <v>1.3098404419980143</v>
      </c>
      <c r="M34">
        <f t="shared" si="7"/>
        <v>0.76345176705233841</v>
      </c>
    </row>
    <row r="35" spans="3:25" x14ac:dyDescent="0.2">
      <c r="C35" s="16">
        <f t="shared" si="10"/>
        <v>97.759860000000003</v>
      </c>
      <c r="D35" s="22">
        <v>165</v>
      </c>
      <c r="E35" s="22">
        <f t="shared" ref="E35:E63" si="13">(2*$B$3)/(($B$2*D35^2)*$B$4)</f>
        <v>0.50611081223513832</v>
      </c>
      <c r="F35" s="22">
        <f t="shared" si="3"/>
        <v>4.742189953613378E-2</v>
      </c>
      <c r="G35" s="22">
        <f t="shared" si="9"/>
        <v>123.94194981961232</v>
      </c>
      <c r="H35" s="22">
        <f t="shared" si="4"/>
        <v>78.40804630264104</v>
      </c>
      <c r="I35" s="22">
        <f t="shared" si="5"/>
        <v>45.533903516971264</v>
      </c>
      <c r="J35">
        <f t="shared" si="11"/>
        <v>123.9419498196123</v>
      </c>
      <c r="K35">
        <f t="shared" si="12"/>
        <v>281.23825897186316</v>
      </c>
      <c r="L35" s="60">
        <f t="shared" ref="L35:L66" si="14">D35/J35</f>
        <v>1.3312683900821669</v>
      </c>
      <c r="M35">
        <f t="shared" si="7"/>
        <v>0.75116333224007459</v>
      </c>
    </row>
    <row r="36" spans="3:25" x14ac:dyDescent="0.2">
      <c r="C36" s="16">
        <f t="shared" si="10"/>
        <v>100.72228</v>
      </c>
      <c r="D36" s="22">
        <v>170</v>
      </c>
      <c r="E36" s="22">
        <f t="shared" si="13"/>
        <v>0.47677740010732333</v>
      </c>
      <c r="F36" s="22">
        <f t="shared" si="3"/>
        <v>4.5460929376886741E-2</v>
      </c>
      <c r="G36" s="22">
        <f t="shared" si="9"/>
        <v>126.12687694548204</v>
      </c>
      <c r="H36" s="22">
        <f t="shared" si="4"/>
        <v>83.232049151380195</v>
      </c>
      <c r="I36" s="22">
        <f t="shared" si="5"/>
        <v>42.89482779410185</v>
      </c>
      <c r="J36">
        <f t="shared" si="11"/>
        <v>126.12687694548205</v>
      </c>
      <c r="K36">
        <f t="shared" si="12"/>
        <v>281.23825897186316</v>
      </c>
      <c r="L36" s="60">
        <f t="shared" si="14"/>
        <v>1.3478491192125686</v>
      </c>
      <c r="M36">
        <f t="shared" si="7"/>
        <v>0.74192280556165913</v>
      </c>
    </row>
    <row r="37" spans="3:25" x14ac:dyDescent="0.2">
      <c r="C37" s="16">
        <f t="shared" si="10"/>
        <v>103.68470000000001</v>
      </c>
      <c r="D37" s="22">
        <v>175</v>
      </c>
      <c r="E37" s="22">
        <f t="shared" si="13"/>
        <v>0.44992218328495159</v>
      </c>
      <c r="F37" s="22">
        <f t="shared" si="3"/>
        <v>4.3768260904484005E-2</v>
      </c>
      <c r="G37" s="22">
        <f t="shared" si="9"/>
        <v>128.67876304840675</v>
      </c>
      <c r="H37" s="22">
        <f t="shared" si="4"/>
        <v>88.200052085156358</v>
      </c>
      <c r="I37" s="22">
        <f t="shared" si="5"/>
        <v>40.478710963250386</v>
      </c>
      <c r="J37">
        <f t="shared" si="11"/>
        <v>128.67876304840675</v>
      </c>
      <c r="K37">
        <f t="shared" si="12"/>
        <v>281.23825897186316</v>
      </c>
      <c r="L37" s="60">
        <f t="shared" si="14"/>
        <v>1.3599757710926084</v>
      </c>
      <c r="M37">
        <f t="shared" si="7"/>
        <v>0.73530721741946714</v>
      </c>
    </row>
    <row r="38" spans="3:25" x14ac:dyDescent="0.2">
      <c r="C38" s="64">
        <f t="shared" si="10"/>
        <v>106.64712</v>
      </c>
      <c r="D38" s="64">
        <v>180</v>
      </c>
      <c r="E38" s="64">
        <f t="shared" si="13"/>
        <v>0.42527366861424826</v>
      </c>
      <c r="F38" s="64">
        <f t="shared" si="3"/>
        <v>4.2301023876761899E-2</v>
      </c>
      <c r="G38" s="64">
        <f t="shared" si="9"/>
        <v>131.57318236475786</v>
      </c>
      <c r="H38" s="64">
        <f t="shared" si="4"/>
        <v>93.312055103969499</v>
      </c>
      <c r="I38" s="64">
        <f t="shared" si="5"/>
        <v>38.261127260788378</v>
      </c>
      <c r="J38" s="64">
        <f t="shared" si="11"/>
        <v>131.57318236475788</v>
      </c>
      <c r="K38" s="64">
        <f t="shared" si="12"/>
        <v>281.23825897186316</v>
      </c>
      <c r="L38" s="66">
        <f t="shared" si="14"/>
        <v>1.3680599402163076</v>
      </c>
      <c r="M38">
        <f t="shared" si="7"/>
        <v>0.73096212424865492</v>
      </c>
    </row>
    <row r="39" spans="3:25" x14ac:dyDescent="0.2">
      <c r="C39" s="16">
        <f t="shared" si="10"/>
        <v>109.60954</v>
      </c>
      <c r="D39" s="22">
        <v>185</v>
      </c>
      <c r="E39" s="22">
        <f t="shared" si="13"/>
        <v>0.4025965482279516</v>
      </c>
      <c r="F39" s="22">
        <f t="shared" si="3"/>
        <v>4.1024131075073758E-2</v>
      </c>
      <c r="G39" s="22">
        <f t="shared" si="9"/>
        <v>134.78896465776975</v>
      </c>
      <c r="H39" s="22">
        <f t="shared" si="4"/>
        <v>98.568058207819632</v>
      </c>
      <c r="I39" s="22">
        <f t="shared" si="5"/>
        <v>36.220906449950128</v>
      </c>
      <c r="J39">
        <f t="shared" si="11"/>
        <v>134.78896465776975</v>
      </c>
      <c r="K39">
        <f t="shared" si="12"/>
        <v>281.23825897186316</v>
      </c>
      <c r="L39" s="60">
        <f t="shared" si="14"/>
        <v>1.372515921238185</v>
      </c>
      <c r="M39">
        <f t="shared" si="7"/>
        <v>0.7285889981501068</v>
      </c>
    </row>
    <row r="40" spans="3:25" x14ac:dyDescent="0.2">
      <c r="C40" s="16">
        <f t="shared" si="10"/>
        <v>112.57196</v>
      </c>
      <c r="D40" s="22">
        <v>190</v>
      </c>
      <c r="E40" s="22">
        <f t="shared" si="13"/>
        <v>0.38168606268979621</v>
      </c>
      <c r="F40" s="22">
        <f t="shared" si="3"/>
        <v>3.9908704525647876E-2</v>
      </c>
      <c r="G40" s="22">
        <f t="shared" si="9"/>
        <v>138.30768807951958</v>
      </c>
      <c r="H40" s="22">
        <f t="shared" si="4"/>
        <v>103.96806139670674</v>
      </c>
      <c r="I40" s="22">
        <f t="shared" si="5"/>
        <v>34.339626682812835</v>
      </c>
      <c r="J40">
        <f t="shared" si="11"/>
        <v>138.30768807951958</v>
      </c>
      <c r="K40">
        <f t="shared" si="12"/>
        <v>281.23825897186316</v>
      </c>
      <c r="L40" s="60">
        <f t="shared" si="14"/>
        <v>1.3737486515627395</v>
      </c>
      <c r="M40">
        <f t="shared" si="7"/>
        <v>0.72793520041852411</v>
      </c>
    </row>
    <row r="41" spans="3:25" x14ac:dyDescent="0.2">
      <c r="C41" s="16">
        <f t="shared" si="10"/>
        <v>115.53438</v>
      </c>
      <c r="D41" s="22">
        <v>195</v>
      </c>
      <c r="E41" s="22">
        <f t="shared" si="13"/>
        <v>0.36236336260622337</v>
      </c>
      <c r="F41" s="22">
        <f t="shared" si="3"/>
        <v>3.8930850849358732E-2</v>
      </c>
      <c r="G41" s="22">
        <f t="shared" si="9"/>
        <v>142.11326186325527</v>
      </c>
      <c r="H41" s="22">
        <f t="shared" si="4"/>
        <v>109.51206467063086</v>
      </c>
      <c r="I41" s="22">
        <f t="shared" si="5"/>
        <v>32.601197192624404</v>
      </c>
      <c r="J41">
        <f t="shared" si="11"/>
        <v>142.11326186325527</v>
      </c>
      <c r="K41">
        <f t="shared" si="12"/>
        <v>281.23825897186316</v>
      </c>
      <c r="L41" s="60">
        <f t="shared" si="14"/>
        <v>1.3721449880422392</v>
      </c>
      <c r="M41">
        <f t="shared" si="7"/>
        <v>0.728785958273104</v>
      </c>
    </row>
    <row r="42" spans="3:25" x14ac:dyDescent="0.2">
      <c r="C42" s="16">
        <f t="shared" si="10"/>
        <v>118.49680000000001</v>
      </c>
      <c r="D42" s="22">
        <v>200</v>
      </c>
      <c r="E42" s="22">
        <f t="shared" si="13"/>
        <v>0.34447167157754105</v>
      </c>
      <c r="F42" s="22">
        <f t="shared" si="3"/>
        <v>3.8070701765543481E-2</v>
      </c>
      <c r="G42" s="22">
        <f t="shared" si="9"/>
        <v>146.19158111083055</v>
      </c>
      <c r="H42" s="22">
        <f t="shared" si="4"/>
        <v>115.20006802959198</v>
      </c>
      <c r="I42" s="22">
        <f t="shared" si="5"/>
        <v>30.991513081238573</v>
      </c>
      <c r="J42">
        <f t="shared" si="11"/>
        <v>146.19158111083055</v>
      </c>
      <c r="K42">
        <f t="shared" si="12"/>
        <v>281.23825897186316</v>
      </c>
      <c r="L42" s="60">
        <f t="shared" si="14"/>
        <v>1.368067835919883</v>
      </c>
      <c r="M42">
        <f t="shared" si="7"/>
        <v>0.73095790555415274</v>
      </c>
    </row>
    <row r="43" spans="3:25" x14ac:dyDescent="0.2">
      <c r="C43" s="16">
        <f t="shared" si="10"/>
        <v>121.45922</v>
      </c>
      <c r="D43" s="22">
        <v>205</v>
      </c>
      <c r="E43" s="22">
        <f t="shared" si="13"/>
        <v>0.32787309608808196</v>
      </c>
      <c r="F43" s="22">
        <f t="shared" si="3"/>
        <v>3.7311657468480641E-2</v>
      </c>
      <c r="G43" s="22">
        <f t="shared" si="9"/>
        <v>150.53023978410866</v>
      </c>
      <c r="H43" s="22">
        <f t="shared" si="4"/>
        <v>121.03207147359007</v>
      </c>
      <c r="I43" s="22">
        <f t="shared" si="5"/>
        <v>29.498168310518579</v>
      </c>
      <c r="J43">
        <f t="shared" si="11"/>
        <v>150.53023978410863</v>
      </c>
      <c r="K43">
        <f t="shared" si="12"/>
        <v>281.23825897186316</v>
      </c>
      <c r="L43" s="60">
        <f t="shared" si="14"/>
        <v>1.3618526104390203</v>
      </c>
      <c r="M43">
        <f t="shared" si="7"/>
        <v>0.73429385260540792</v>
      </c>
    </row>
    <row r="44" spans="3:25" x14ac:dyDescent="0.2">
      <c r="C44" s="16">
        <f t="shared" si="10"/>
        <v>124.42164</v>
      </c>
      <c r="D44" s="22">
        <v>210</v>
      </c>
      <c r="E44" s="22">
        <f t="shared" si="13"/>
        <v>0.31244596061454971</v>
      </c>
      <c r="F44" s="22">
        <f t="shared" si="3"/>
        <v>3.6639786315819836E-2</v>
      </c>
      <c r="G44" s="22">
        <f t="shared" si="9"/>
        <v>155.11829094932682</v>
      </c>
      <c r="H44" s="22">
        <f t="shared" si="4"/>
        <v>127.00807500262515</v>
      </c>
      <c r="I44" s="22">
        <f t="shared" si="5"/>
        <v>28.110215946701654</v>
      </c>
      <c r="J44">
        <f t="shared" si="11"/>
        <v>155.11829094932679</v>
      </c>
      <c r="K44">
        <f t="shared" si="12"/>
        <v>281.23825897186316</v>
      </c>
      <c r="L44" s="60">
        <f t="shared" si="14"/>
        <v>1.3538055294111104</v>
      </c>
      <c r="M44">
        <f t="shared" si="7"/>
        <v>0.73865852833012757</v>
      </c>
    </row>
    <row r="45" spans="3:25" x14ac:dyDescent="0.2">
      <c r="C45" s="16">
        <f t="shared" si="10"/>
        <v>127.38406000000001</v>
      </c>
      <c r="D45" s="22">
        <v>215</v>
      </c>
      <c r="E45" s="22">
        <f t="shared" si="13"/>
        <v>0.29808257140295608</v>
      </c>
      <c r="F45" s="22">
        <f t="shared" si="3"/>
        <v>3.6043345757706083E-2</v>
      </c>
      <c r="G45" s="22">
        <f t="shared" si="9"/>
        <v>159.9460455880232</v>
      </c>
      <c r="H45" s="22">
        <f t="shared" si="4"/>
        <v>133.12807861669722</v>
      </c>
      <c r="I45" s="22">
        <f t="shared" si="5"/>
        <v>26.81796697132598</v>
      </c>
      <c r="J45">
        <f t="shared" si="11"/>
        <v>159.9460455880232</v>
      </c>
      <c r="K45">
        <f t="shared" si="12"/>
        <v>281.23825897186316</v>
      </c>
      <c r="L45" s="60">
        <f t="shared" si="14"/>
        <v>1.344203285611578</v>
      </c>
      <c r="M45">
        <f t="shared" si="7"/>
        <v>0.74393509575824746</v>
      </c>
    </row>
    <row r="46" spans="3:25" x14ac:dyDescent="0.2">
      <c r="C46">
        <f t="shared" si="10"/>
        <v>130.34648000000001</v>
      </c>
      <c r="D46">
        <v>220</v>
      </c>
      <c r="E46">
        <f t="shared" si="13"/>
        <v>0.28468733188226536</v>
      </c>
      <c r="F46">
        <f t="shared" si="3"/>
        <v>3.5512397900104832E-2</v>
      </c>
      <c r="G46">
        <f t="shared" si="9"/>
        <v>165.00490304410263</v>
      </c>
      <c r="H46">
        <f t="shared" si="4"/>
        <v>139.39208231580628</v>
      </c>
      <c r="I46">
        <f t="shared" si="5"/>
        <v>25.612820728296349</v>
      </c>
      <c r="J46">
        <f t="shared" si="11"/>
        <v>165.00490304410263</v>
      </c>
      <c r="K46">
        <f t="shared" si="12"/>
        <v>281.23825897186316</v>
      </c>
      <c r="L46" s="60">
        <f t="shared" si="14"/>
        <v>1.3332937139522347</v>
      </c>
      <c r="M46">
        <f t="shared" si="7"/>
        <v>0.75002228656410286</v>
      </c>
    </row>
    <row r="47" spans="3:25" x14ac:dyDescent="0.2">
      <c r="C47" s="16">
        <f t="shared" si="10"/>
        <v>133.30889999999999</v>
      </c>
      <c r="D47" s="64">
        <v>225</v>
      </c>
      <c r="E47" s="64">
        <f t="shared" si="13"/>
        <v>0.27217514791311886</v>
      </c>
      <c r="F47" s="64">
        <f t="shared" si="3"/>
        <v>3.5038499379921671E-2</v>
      </c>
      <c r="G47" s="64">
        <f t="shared" si="9"/>
        <v>170.28720754685688</v>
      </c>
      <c r="H47" s="64">
        <f t="shared" si="4"/>
        <v>145.80008609995232</v>
      </c>
      <c r="I47" s="64">
        <f t="shared" si="5"/>
        <v>24.487121446904553</v>
      </c>
      <c r="J47">
        <f t="shared" si="11"/>
        <v>170.28720754685688</v>
      </c>
      <c r="K47">
        <f t="shared" si="12"/>
        <v>281.23825897186316</v>
      </c>
      <c r="L47" s="60">
        <f t="shared" si="14"/>
        <v>1.3212971381780874</v>
      </c>
      <c r="M47">
        <f t="shared" si="7"/>
        <v>0.75683203354158612</v>
      </c>
    </row>
    <row r="48" spans="3:25" x14ac:dyDescent="0.2">
      <c r="C48" s="16">
        <f t="shared" si="10"/>
        <v>136.27132</v>
      </c>
      <c r="D48" s="22">
        <v>230</v>
      </c>
      <c r="E48" s="22">
        <f t="shared" si="13"/>
        <v>0.26047007302649611</v>
      </c>
      <c r="F48" s="22">
        <f t="shared" si="3"/>
        <v>3.4614449928662909E-2</v>
      </c>
      <c r="G48" s="22">
        <f t="shared" si="9"/>
        <v>175.78612632545946</v>
      </c>
      <c r="H48" s="22">
        <f t="shared" si="4"/>
        <v>152.35208996913539</v>
      </c>
      <c r="I48" s="22">
        <f t="shared" si="5"/>
        <v>23.434036356324071</v>
      </c>
      <c r="J48">
        <f t="shared" si="11"/>
        <v>175.78612632545946</v>
      </c>
      <c r="K48">
        <f t="shared" si="12"/>
        <v>281.23825897186316</v>
      </c>
      <c r="L48" s="60">
        <f t="shared" si="14"/>
        <v>1.3084081480592284</v>
      </c>
      <c r="M48">
        <f t="shared" si="7"/>
        <v>0.76428750576286719</v>
      </c>
    </row>
    <row r="49" spans="3:13" x14ac:dyDescent="0.2">
      <c r="C49" s="16">
        <f t="shared" si="10"/>
        <v>139.23374000000001</v>
      </c>
      <c r="D49" s="22">
        <v>235</v>
      </c>
      <c r="E49" s="22">
        <f t="shared" si="13"/>
        <v>0.2495041532476531</v>
      </c>
      <c r="F49" s="22">
        <f t="shared" si="3"/>
        <v>3.4234087539696E-2</v>
      </c>
      <c r="G49" s="22">
        <f t="shared" si="9"/>
        <v>181.49554567979803</v>
      </c>
      <c r="H49" s="22">
        <f t="shared" si="4"/>
        <v>159.04809392335542</v>
      </c>
      <c r="I49" s="22">
        <f t="shared" si="5"/>
        <v>22.447451756442607</v>
      </c>
      <c r="J49">
        <f t="shared" si="11"/>
        <v>181.49554567979803</v>
      </c>
      <c r="K49">
        <f t="shared" si="12"/>
        <v>281.23825897186316</v>
      </c>
      <c r="L49" s="60">
        <f t="shared" si="14"/>
        <v>1.294797616766842</v>
      </c>
      <c r="M49">
        <f t="shared" si="7"/>
        <v>0.77232147097786397</v>
      </c>
    </row>
    <row r="50" spans="3:13" x14ac:dyDescent="0.2">
      <c r="C50" s="16">
        <f t="shared" si="10"/>
        <v>142.19615999999999</v>
      </c>
      <c r="D50" s="22">
        <v>240</v>
      </c>
      <c r="E50" s="22">
        <f t="shared" si="13"/>
        <v>0.23921643859551461</v>
      </c>
      <c r="F50" s="22">
        <f t="shared" si="3"/>
        <v>3.3892120836006692E-2</v>
      </c>
      <c r="G50" s="22">
        <f t="shared" si="9"/>
        <v>187.40998204680591</v>
      </c>
      <c r="H50" s="22">
        <f t="shared" si="4"/>
        <v>165.88809796261245</v>
      </c>
      <c r="I50" s="22">
        <f t="shared" si="5"/>
        <v>21.521884084193456</v>
      </c>
      <c r="J50">
        <f t="shared" si="11"/>
        <v>187.40998204680591</v>
      </c>
      <c r="K50">
        <f t="shared" si="12"/>
        <v>281.23825897186316</v>
      </c>
      <c r="L50" s="60">
        <f t="shared" si="14"/>
        <v>1.2806148177318519</v>
      </c>
      <c r="M50">
        <f t="shared" si="7"/>
        <v>0.78087492519502466</v>
      </c>
    </row>
    <row r="51" spans="3:13" x14ac:dyDescent="0.2">
      <c r="C51" s="16">
        <f t="shared" si="10"/>
        <v>145.15858</v>
      </c>
      <c r="D51" s="22">
        <v>245</v>
      </c>
      <c r="E51" s="22">
        <f t="shared" si="13"/>
        <v>0.22955213432905697</v>
      </c>
      <c r="F51" s="22">
        <f t="shared" si="3"/>
        <v>3.3583991280842357E-2</v>
      </c>
      <c r="G51" s="22">
        <f t="shared" si="9"/>
        <v>193.52450563958521</v>
      </c>
      <c r="H51" s="22">
        <f t="shared" si="4"/>
        <v>172.87210208690644</v>
      </c>
      <c r="I51" s="22">
        <f t="shared" si="5"/>
        <v>20.652403552678773</v>
      </c>
      <c r="J51">
        <f t="shared" si="11"/>
        <v>193.52450563958521</v>
      </c>
      <c r="K51">
        <f t="shared" si="12"/>
        <v>281.23825897186316</v>
      </c>
      <c r="L51" s="60">
        <f t="shared" si="14"/>
        <v>1.2659895406542536</v>
      </c>
      <c r="M51">
        <f t="shared" si="7"/>
        <v>0.78989594138606212</v>
      </c>
    </row>
    <row r="52" spans="3:13" x14ac:dyDescent="0.2">
      <c r="C52" s="16">
        <f t="shared" si="10"/>
        <v>148.12100000000001</v>
      </c>
      <c r="D52" s="22">
        <v>250</v>
      </c>
      <c r="E52" s="22">
        <f t="shared" si="13"/>
        <v>0.22046186980962629</v>
      </c>
      <c r="F52" s="22">
        <f t="shared" si="3"/>
        <v>3.3305759443166612E-2</v>
      </c>
      <c r="G52" s="22">
        <f t="shared" si="9"/>
        <v>199.83467466823018</v>
      </c>
      <c r="H52" s="22">
        <f t="shared" si="4"/>
        <v>180.00010629623748</v>
      </c>
      <c r="I52" s="22">
        <f t="shared" si="5"/>
        <v>19.834568371992692</v>
      </c>
      <c r="J52">
        <f t="shared" si="11"/>
        <v>199.83467466823018</v>
      </c>
      <c r="K52">
        <f t="shared" si="12"/>
        <v>281.23825897186316</v>
      </c>
      <c r="L52" s="60">
        <f t="shared" si="14"/>
        <v>1.2510341381697414</v>
      </c>
      <c r="M52">
        <f t="shared" si="7"/>
        <v>0.79933869867292073</v>
      </c>
    </row>
    <row r="53" spans="3:13" x14ac:dyDescent="0.2">
      <c r="C53" s="16">
        <f t="shared" si="10"/>
        <v>151.08341999999999</v>
      </c>
      <c r="D53" s="22">
        <v>255</v>
      </c>
      <c r="E53" s="22">
        <f t="shared" si="13"/>
        <v>0.2119010667143659</v>
      </c>
      <c r="F53" s="22">
        <f t="shared" si="3"/>
        <v>3.3054010741113429E-2</v>
      </c>
      <c r="G53" s="22">
        <f t="shared" si="9"/>
        <v>206.33647849909516</v>
      </c>
      <c r="H53" s="22">
        <f t="shared" si="4"/>
        <v>187.27211059060545</v>
      </c>
      <c r="I53" s="22">
        <f t="shared" si="5"/>
        <v>19.064367908489704</v>
      </c>
      <c r="J53">
        <f t="shared" si="11"/>
        <v>206.33647849909516</v>
      </c>
      <c r="K53">
        <f t="shared" si="12"/>
        <v>281.23825897186316</v>
      </c>
      <c r="L53" s="60">
        <f t="shared" si="14"/>
        <v>1.2358454591010102</v>
      </c>
      <c r="M53">
        <f t="shared" si="7"/>
        <v>0.80916266078076537</v>
      </c>
    </row>
    <row r="54" spans="3:13" x14ac:dyDescent="0.2">
      <c r="C54" s="16">
        <f t="shared" si="10"/>
        <v>154.04584</v>
      </c>
      <c r="D54" s="22">
        <v>260</v>
      </c>
      <c r="E54" s="22">
        <f t="shared" si="13"/>
        <v>0.20382939146600063</v>
      </c>
      <c r="F54" s="22">
        <f t="shared" si="3"/>
        <v>3.2825777026554911E-2</v>
      </c>
      <c r="G54" s="22">
        <f t="shared" si="9"/>
        <v>213.02628839086168</v>
      </c>
      <c r="H54" s="22">
        <f t="shared" si="4"/>
        <v>194.68811497001045</v>
      </c>
      <c r="I54" s="22">
        <f t="shared" si="5"/>
        <v>18.338173420851231</v>
      </c>
      <c r="J54">
        <f t="shared" si="11"/>
        <v>213.02628839086168</v>
      </c>
      <c r="K54">
        <f t="shared" si="12"/>
        <v>281.23825897186316</v>
      </c>
      <c r="L54" s="60">
        <f t="shared" si="14"/>
        <v>1.2205066424616606</v>
      </c>
      <c r="M54">
        <f t="shared" si="7"/>
        <v>0.8193318784263911</v>
      </c>
    </row>
    <row r="55" spans="3:13" x14ac:dyDescent="0.2">
      <c r="C55" s="16">
        <f t="shared" si="10"/>
        <v>157.00826000000001</v>
      </c>
      <c r="D55" s="22">
        <v>265</v>
      </c>
      <c r="E55" s="22">
        <f t="shared" si="13"/>
        <v>0.19621027928945023</v>
      </c>
      <c r="F55" s="22">
        <f t="shared" si="3"/>
        <v>3.2618471107121516E-2</v>
      </c>
      <c r="G55" s="22">
        <f t="shared" si="9"/>
        <v>219.90081467474494</v>
      </c>
      <c r="H55" s="22">
        <f t="shared" si="4"/>
        <v>202.24811943445243</v>
      </c>
      <c r="I55" s="22">
        <f t="shared" si="5"/>
        <v>17.652695240292534</v>
      </c>
      <c r="J55">
        <f t="shared" si="11"/>
        <v>219.90081467474496</v>
      </c>
      <c r="K55">
        <f t="shared" si="12"/>
        <v>281.23825897186316</v>
      </c>
      <c r="L55" s="60">
        <f t="shared" si="14"/>
        <v>1.2050887596390272</v>
      </c>
      <c r="M55">
        <f t="shared" si="7"/>
        <v>0.82981439499903764</v>
      </c>
    </row>
    <row r="56" spans="3:13" x14ac:dyDescent="0.2">
      <c r="C56" s="16">
        <f t="shared" si="10"/>
        <v>159.97068000000002</v>
      </c>
      <c r="D56" s="22">
        <v>270</v>
      </c>
      <c r="E56" s="22">
        <f t="shared" si="13"/>
        <v>0.18901051938411031</v>
      </c>
      <c r="F56" s="22">
        <f t="shared" si="3"/>
        <v>3.2429831876891239E-2</v>
      </c>
      <c r="G56" s="22">
        <f t="shared" si="9"/>
        <v>226.95706943317069</v>
      </c>
      <c r="H56" s="22">
        <f t="shared" si="4"/>
        <v>209.95212398393141</v>
      </c>
      <c r="I56" s="22">
        <f t="shared" si="5"/>
        <v>17.004945449239276</v>
      </c>
      <c r="J56">
        <f t="shared" si="11"/>
        <v>226.95706943317069</v>
      </c>
      <c r="K56">
        <f t="shared" si="12"/>
        <v>281.23825897186316</v>
      </c>
      <c r="L56" s="60">
        <f t="shared" si="14"/>
        <v>1.1896523015314298</v>
      </c>
      <c r="M56">
        <f t="shared" si="7"/>
        <v>0.84058173864137287</v>
      </c>
    </row>
    <row r="57" spans="3:13" x14ac:dyDescent="0.2">
      <c r="C57" s="16">
        <f t="shared" si="10"/>
        <v>162.9331</v>
      </c>
      <c r="D57" s="22">
        <v>275</v>
      </c>
      <c r="E57" s="22">
        <f t="shared" si="13"/>
        <v>0.18219989240464982</v>
      </c>
      <c r="F57" s="22">
        <f t="shared" si="3"/>
        <v>3.2257878179882939E-2</v>
      </c>
      <c r="G57" s="22">
        <f t="shared" si="9"/>
        <v>234.192333884557</v>
      </c>
      <c r="H57" s="22">
        <f t="shared" si="4"/>
        <v>217.80012861844733</v>
      </c>
      <c r="I57" s="22">
        <f t="shared" si="5"/>
        <v>16.392205266109659</v>
      </c>
      <c r="J57">
        <f t="shared" si="11"/>
        <v>234.192333884557</v>
      </c>
      <c r="K57">
        <f t="shared" si="12"/>
        <v>281.23825897186316</v>
      </c>
      <c r="L57" s="60">
        <f t="shared" si="14"/>
        <v>1.1742485137688528</v>
      </c>
      <c r="M57">
        <f t="shared" si="7"/>
        <v>0.85160848685293455</v>
      </c>
    </row>
    <row r="58" spans="3:13" x14ac:dyDescent="0.2">
      <c r="C58" s="16">
        <f t="shared" si="10"/>
        <v>165.89552</v>
      </c>
      <c r="D58" s="22">
        <v>280</v>
      </c>
      <c r="E58" s="22">
        <f t="shared" si="13"/>
        <v>0.1757508528456842</v>
      </c>
      <c r="F58" s="22">
        <f t="shared" si="3"/>
        <v>3.2100869888989865E-2</v>
      </c>
      <c r="G58" s="22">
        <f t="shared" si="9"/>
        <v>241.60412980801993</v>
      </c>
      <c r="H58" s="22">
        <f t="shared" si="4"/>
        <v>225.7921333380003</v>
      </c>
      <c r="I58" s="22">
        <f t="shared" si="5"/>
        <v>15.811996470019681</v>
      </c>
      <c r="J58">
        <f t="shared" si="11"/>
        <v>241.60412980801999</v>
      </c>
      <c r="K58">
        <f t="shared" si="12"/>
        <v>281.23825897186316</v>
      </c>
      <c r="L58" s="60">
        <f t="shared" si="14"/>
        <v>1.1589205872535771</v>
      </c>
      <c r="M58">
        <f t="shared" si="7"/>
        <v>0.86287189217149995</v>
      </c>
    </row>
    <row r="59" spans="3:13" x14ac:dyDescent="0.2">
      <c r="C59" s="16">
        <f t="shared" si="10"/>
        <v>168.85794000000001</v>
      </c>
      <c r="D59" s="22">
        <v>285</v>
      </c>
      <c r="E59" s="22">
        <f t="shared" si="13"/>
        <v>0.16963825008435385</v>
      </c>
      <c r="F59" s="22">
        <f t="shared" si="3"/>
        <v>3.1957274968029206E-2</v>
      </c>
      <c r="G59" s="22">
        <f t="shared" si="9"/>
        <v>249.19019444606258</v>
      </c>
      <c r="H59" s="22">
        <f t="shared" si="4"/>
        <v>233.92813814259023</v>
      </c>
      <c r="I59" s="22">
        <f t="shared" si="5"/>
        <v>15.262056303472368</v>
      </c>
      <c r="J59">
        <f t="shared" si="11"/>
        <v>249.19019444606261</v>
      </c>
      <c r="K59">
        <f t="shared" si="12"/>
        <v>281.23825897186316</v>
      </c>
      <c r="L59" s="60">
        <f t="shared" si="14"/>
        <v>1.1437047137169294</v>
      </c>
      <c r="M59">
        <f t="shared" si="7"/>
        <v>0.87435155945986875</v>
      </c>
    </row>
    <row r="60" spans="3:13" x14ac:dyDescent="0.2">
      <c r="C60" s="16">
        <f t="shared" si="10"/>
        <v>171.82035999999999</v>
      </c>
      <c r="D60" s="22">
        <v>290</v>
      </c>
      <c r="E60" s="22">
        <f t="shared" si="13"/>
        <v>0.16383908279550111</v>
      </c>
      <c r="F60" s="22">
        <f t="shared" si="3"/>
        <v>3.1825741512195235E-2</v>
      </c>
      <c r="G60" s="22">
        <f t="shared" si="9"/>
        <v>256.94845840973846</v>
      </c>
      <c r="H60" s="22">
        <f t="shared" si="4"/>
        <v>242.20814303221712</v>
      </c>
      <c r="I60" s="22">
        <f t="shared" si="5"/>
        <v>14.740315377521322</v>
      </c>
      <c r="J60">
        <f t="shared" si="11"/>
        <v>256.94845840973846</v>
      </c>
      <c r="K60">
        <f t="shared" si="12"/>
        <v>281.23825897186316</v>
      </c>
      <c r="L60" s="60">
        <f t="shared" si="14"/>
        <v>1.1286310172663363</v>
      </c>
      <c r="M60">
        <f t="shared" si="7"/>
        <v>0.88602916693013267</v>
      </c>
    </row>
    <row r="61" spans="3:13" x14ac:dyDescent="0.2">
      <c r="C61" s="16">
        <f t="shared" si="10"/>
        <v>174.78278</v>
      </c>
      <c r="D61" s="22">
        <v>295</v>
      </c>
      <c r="E61" s="22">
        <f t="shared" si="13"/>
        <v>0.15833228225339432</v>
      </c>
      <c r="F61" s="22">
        <f t="shared" si="3"/>
        <v>3.1705073944713814E-2</v>
      </c>
      <c r="G61" s="22">
        <f t="shared" si="9"/>
        <v>264.87702618268736</v>
      </c>
      <c r="H61" s="22">
        <f t="shared" si="4"/>
        <v>250.63214800688107</v>
      </c>
      <c r="I61" s="22">
        <f t="shared" si="5"/>
        <v>14.244878175806296</v>
      </c>
      <c r="J61">
        <f t="shared" si="11"/>
        <v>264.87702618268736</v>
      </c>
      <c r="K61">
        <f t="shared" si="12"/>
        <v>281.23825897186316</v>
      </c>
      <c r="L61" s="60">
        <f t="shared" si="14"/>
        <v>1.1137243733495279</v>
      </c>
      <c r="M61">
        <f t="shared" si="7"/>
        <v>0.89788822434809279</v>
      </c>
    </row>
    <row r="62" spans="3:13" x14ac:dyDescent="0.2">
      <c r="C62" s="16">
        <f t="shared" si="10"/>
        <v>177.74520000000001</v>
      </c>
      <c r="D62" s="22">
        <v>300</v>
      </c>
      <c r="E62" s="22">
        <f t="shared" si="13"/>
        <v>0.15309852070112936</v>
      </c>
      <c r="F62" s="22">
        <f t="shared" si="3"/>
        <v>3.1594212694428345E-2</v>
      </c>
      <c r="G62" s="22">
        <f t="shared" si="9"/>
        <v>272.97415888046578</v>
      </c>
      <c r="H62" s="22">
        <f t="shared" si="4"/>
        <v>259.20015306658195</v>
      </c>
      <c r="I62" s="22">
        <f t="shared" si="5"/>
        <v>13.774005813883813</v>
      </c>
      <c r="J62">
        <f t="shared" si="11"/>
        <v>272.97415888046578</v>
      </c>
      <c r="K62">
        <f t="shared" si="12"/>
        <v>281.23825897186316</v>
      </c>
      <c r="L62" s="60">
        <f t="shared" si="14"/>
        <v>1.0990051264572949</v>
      </c>
      <c r="M62">
        <f t="shared" si="7"/>
        <v>0.90991386293488596</v>
      </c>
    </row>
    <row r="63" spans="3:13" x14ac:dyDescent="0.2">
      <c r="C63" s="62">
        <f t="shared" si="10"/>
        <v>180.70761999999999</v>
      </c>
      <c r="D63" s="63">
        <v>305</v>
      </c>
      <c r="E63" s="63">
        <f t="shared" si="13"/>
        <v>0.14812004152756403</v>
      </c>
      <c r="F63" s="63">
        <f t="shared" si="3"/>
        <v>3.1492216797794466E-2</v>
      </c>
      <c r="G63" s="63">
        <f t="shared" si="9"/>
        <v>281.23825897186316</v>
      </c>
      <c r="H63" s="63">
        <f t="shared" si="4"/>
        <v>267.91215821131982</v>
      </c>
      <c r="I63" s="63">
        <f t="shared" si="5"/>
        <v>13.32610076054333</v>
      </c>
      <c r="J63">
        <f t="shared" si="11"/>
        <v>281.23825897186316</v>
      </c>
      <c r="K63">
        <f t="shared" si="12"/>
        <v>281.23825897186316</v>
      </c>
      <c r="L63" s="60">
        <f t="shared" si="14"/>
        <v>1.0844897174196848</v>
      </c>
      <c r="M63">
        <f t="shared" si="7"/>
        <v>0.92209265236676441</v>
      </c>
    </row>
    <row r="64" spans="3:13" x14ac:dyDescent="0.2">
      <c r="C64" s="16">
        <f t="shared" ref="C64:C73" si="15">D64*0.592484</f>
        <v>183.67004</v>
      </c>
      <c r="D64" s="22">
        <v>310</v>
      </c>
      <c r="E64" s="22">
        <f t="shared" ref="E64:E73" si="16">(2*$B$3)/(($B$2*D64^2)*$B$4)</f>
        <v>0.14338050846099526</v>
      </c>
      <c r="F64" s="22">
        <f t="shared" si="3"/>
        <v>3.1398248965087916E-2</v>
      </c>
      <c r="G64" s="22">
        <f t="shared" ref="G64:G73" si="17">0.5*$B$2*D64^2*$B$4*F64</f>
        <v>289.6678567111212</v>
      </c>
      <c r="H64" s="22">
        <f t="shared" si="4"/>
        <v>276.76816344109471</v>
      </c>
      <c r="I64" s="22">
        <f t="shared" si="5"/>
        <v>12.899693270026466</v>
      </c>
      <c r="J64">
        <f t="shared" si="11"/>
        <v>289.6678567111212</v>
      </c>
      <c r="K64">
        <f t="shared" si="12"/>
        <v>281.23825897186316</v>
      </c>
      <c r="L64" s="60">
        <f t="shared" si="14"/>
        <v>1.0701912304655727</v>
      </c>
      <c r="M64">
        <f t="shared" si="7"/>
        <v>0.93441244100361676</v>
      </c>
    </row>
    <row r="65" spans="3:13" x14ac:dyDescent="0.2">
      <c r="C65" s="16">
        <f t="shared" si="15"/>
        <v>186.63246000000001</v>
      </c>
      <c r="D65" s="22">
        <v>315</v>
      </c>
      <c r="E65" s="22">
        <f t="shared" si="16"/>
        <v>0.1388648713842443</v>
      </c>
      <c r="F65" s="22">
        <f t="shared" si="3"/>
        <v>3.1311562729050828E-2</v>
      </c>
      <c r="G65" s="22">
        <f t="shared" si="17"/>
        <v>298.26159806555177</v>
      </c>
      <c r="H65" s="22">
        <f t="shared" si="4"/>
        <v>285.76816875590663</v>
      </c>
      <c r="I65" s="22">
        <f t="shared" si="5"/>
        <v>12.493429309645181</v>
      </c>
      <c r="J65">
        <f t="shared" si="11"/>
        <v>298.26159806555182</v>
      </c>
      <c r="K65">
        <f t="shared" si="12"/>
        <v>281.23825897186316</v>
      </c>
      <c r="L65" s="60">
        <f t="shared" si="14"/>
        <v>1.0561198694133243</v>
      </c>
      <c r="M65">
        <f t="shared" si="7"/>
        <v>0.94686221608111687</v>
      </c>
    </row>
    <row r="66" spans="3:13" x14ac:dyDescent="0.2">
      <c r="C66" s="16">
        <f t="shared" si="15"/>
        <v>189.59487999999999</v>
      </c>
      <c r="D66" s="22">
        <v>320</v>
      </c>
      <c r="E66" s="22">
        <f t="shared" si="16"/>
        <v>0.13455924670997699</v>
      </c>
      <c r="F66" s="22">
        <f t="shared" si="3"/>
        <v>3.1231491358267742E-2</v>
      </c>
      <c r="G66" s="22">
        <f t="shared" si="17"/>
        <v>307.0182339531143</v>
      </c>
      <c r="H66" s="22">
        <f t="shared" si="4"/>
        <v>294.91217415575545</v>
      </c>
      <c r="I66" s="22">
        <f t="shared" si="5"/>
        <v>12.106059797358821</v>
      </c>
      <c r="J66">
        <f t="shared" ref="J66:J73" si="18">H66+I66</f>
        <v>307.01823395311425</v>
      </c>
      <c r="K66">
        <f t="shared" ref="K66:K73" si="19">$J$63</f>
        <v>281.23825897186316</v>
      </c>
      <c r="L66" s="60">
        <f t="shared" si="14"/>
        <v>1.042283371510984</v>
      </c>
      <c r="M66">
        <f t="shared" si="7"/>
        <v>0.95943198110348205</v>
      </c>
    </row>
    <row r="67" spans="3:13" x14ac:dyDescent="0.2">
      <c r="C67" s="16">
        <f t="shared" si="15"/>
        <v>192.5573</v>
      </c>
      <c r="D67" s="22">
        <v>325</v>
      </c>
      <c r="E67" s="22">
        <f t="shared" si="16"/>
        <v>0.1304508105382404</v>
      </c>
      <c r="F67" s="22">
        <f t="shared" ref="F67:F73" si="20">$B$6+$B$8*E67^2</f>
        <v>3.1157438270076891E-2</v>
      </c>
      <c r="G67" s="22">
        <f t="shared" si="17"/>
        <v>315.93661062998609</v>
      </c>
      <c r="H67" s="22">
        <f t="shared" ref="H67:H73" si="21">(0.5*$B$2*D67^2)*$B$4*$B$6</f>
        <v>304.2001796406413</v>
      </c>
      <c r="I67" s="22">
        <f t="shared" ref="I67:I73" si="22">(0.5*$B$2*D67^2)*$B$4*E67^2/(PI()*$B$7*$B$5)</f>
        <v>11.736430989344786</v>
      </c>
      <c r="J67">
        <f t="shared" si="18"/>
        <v>315.93661062998609</v>
      </c>
      <c r="K67">
        <f t="shared" si="19"/>
        <v>281.23825897186316</v>
      </c>
      <c r="L67" s="60">
        <f t="shared" ref="L67:L73" si="23">D67/J67</f>
        <v>1.028687366595284</v>
      </c>
      <c r="M67">
        <f t="shared" ref="M67:M73" si="24">J67/D67</f>
        <v>0.97211264809226494</v>
      </c>
    </row>
    <row r="68" spans="3:13" x14ac:dyDescent="0.2">
      <c r="C68" s="16">
        <f t="shared" si="15"/>
        <v>195.51972000000001</v>
      </c>
      <c r="D68" s="22">
        <v>330</v>
      </c>
      <c r="E68" s="22">
        <f t="shared" si="16"/>
        <v>0.12652770305878458</v>
      </c>
      <c r="F68" s="22">
        <f t="shared" si="20"/>
        <v>3.1088868721008359E-2</v>
      </c>
      <c r="G68" s="22">
        <f t="shared" si="17"/>
        <v>325.015661089807</v>
      </c>
      <c r="H68" s="22">
        <f t="shared" si="21"/>
        <v>313.63218521056416</v>
      </c>
      <c r="I68" s="22">
        <f t="shared" si="22"/>
        <v>11.383475879242816</v>
      </c>
      <c r="J68">
        <f t="shared" si="18"/>
        <v>325.015661089807</v>
      </c>
      <c r="K68">
        <f t="shared" si="19"/>
        <v>281.23825897186316</v>
      </c>
      <c r="L68" s="60">
        <f t="shared" si="23"/>
        <v>1.0153356884203057</v>
      </c>
      <c r="M68">
        <f t="shared" si="24"/>
        <v>0.98489594269638481</v>
      </c>
    </row>
    <row r="69" spans="3:13" x14ac:dyDescent="0.2">
      <c r="C69" s="16">
        <f t="shared" si="15"/>
        <v>198.48214000000002</v>
      </c>
      <c r="D69" s="22">
        <v>335</v>
      </c>
      <c r="E69" s="22">
        <f t="shared" si="16"/>
        <v>0.12277894286568629</v>
      </c>
      <c r="F69" s="22">
        <f t="shared" si="20"/>
        <v>3.1025302588366735E-2</v>
      </c>
      <c r="G69" s="22">
        <f t="shared" si="17"/>
        <v>334.25439735471571</v>
      </c>
      <c r="H69" s="22">
        <f t="shared" si="21"/>
        <v>323.20819086552399</v>
      </c>
      <c r="I69" s="22">
        <f t="shared" si="22"/>
        <v>11.046206489191745</v>
      </c>
      <c r="J69">
        <f t="shared" si="18"/>
        <v>334.25439735471571</v>
      </c>
      <c r="K69">
        <f t="shared" si="19"/>
        <v>281.23825897186316</v>
      </c>
      <c r="L69" s="60">
        <f t="shared" si="23"/>
        <v>1.0022306442373983</v>
      </c>
      <c r="M69">
        <f t="shared" si="24"/>
        <v>0.99777432046183789</v>
      </c>
    </row>
    <row r="70" spans="3:13" x14ac:dyDescent="0.2">
      <c r="C70" s="16">
        <f t="shared" si="15"/>
        <v>201.44456</v>
      </c>
      <c r="D70" s="22">
        <v>340</v>
      </c>
      <c r="E70" s="22">
        <f t="shared" si="16"/>
        <v>0.11919435002683083</v>
      </c>
      <c r="F70" s="22">
        <f t="shared" si="20"/>
        <v>3.0966308086055421E-2</v>
      </c>
      <c r="G70" s="22">
        <f t="shared" si="17"/>
        <v>343.65190355404627</v>
      </c>
      <c r="H70" s="22">
        <f t="shared" si="21"/>
        <v>332.92819660552078</v>
      </c>
      <c r="I70" s="22">
        <f t="shared" si="22"/>
        <v>10.723706948525463</v>
      </c>
      <c r="J70">
        <f t="shared" si="18"/>
        <v>343.65190355404627</v>
      </c>
      <c r="K70">
        <f t="shared" si="19"/>
        <v>281.23825897186316</v>
      </c>
      <c r="L70" s="60">
        <f t="shared" si="23"/>
        <v>0.98937324799810999</v>
      </c>
      <c r="M70">
        <f t="shared" si="24"/>
        <v>1.0107408928060184</v>
      </c>
    </row>
    <row r="71" spans="3:13" x14ac:dyDescent="0.2">
      <c r="C71" s="16">
        <f t="shared" si="15"/>
        <v>204.40698</v>
      </c>
      <c r="D71" s="22">
        <v>345</v>
      </c>
      <c r="E71" s="22">
        <f t="shared" si="16"/>
        <v>0.11576447690066494</v>
      </c>
      <c r="F71" s="22">
        <f t="shared" si="20"/>
        <v>3.091149628220502E-2</v>
      </c>
      <c r="G71" s="22">
        <f t="shared" si="17"/>
        <v>353.20732970003201</v>
      </c>
      <c r="H71" s="22">
        <f t="shared" si="21"/>
        <v>342.7922024305546</v>
      </c>
      <c r="I71" s="22">
        <f t="shared" si="22"/>
        <v>10.415127269477365</v>
      </c>
      <c r="J71">
        <f t="shared" si="18"/>
        <v>353.20732970003195</v>
      </c>
      <c r="K71">
        <f t="shared" si="19"/>
        <v>281.23825897186316</v>
      </c>
      <c r="L71" s="60">
        <f t="shared" si="23"/>
        <v>0.97676342190576237</v>
      </c>
      <c r="M71">
        <f t="shared" si="24"/>
        <v>1.0237893614493681</v>
      </c>
    </row>
    <row r="72" spans="3:13" x14ac:dyDescent="0.2">
      <c r="C72" s="16">
        <f t="shared" si="15"/>
        <v>207.36940000000001</v>
      </c>
      <c r="D72" s="22">
        <v>350</v>
      </c>
      <c r="E72" s="22">
        <f t="shared" si="16"/>
        <v>0.1124805458212379</v>
      </c>
      <c r="F72" s="22">
        <f t="shared" si="20"/>
        <v>3.086051630653025E-2</v>
      </c>
      <c r="G72" s="22">
        <f t="shared" si="17"/>
        <v>362.91988608143805</v>
      </c>
      <c r="H72" s="22">
        <f t="shared" si="21"/>
        <v>352.80020834062543</v>
      </c>
      <c r="I72" s="22">
        <f t="shared" si="22"/>
        <v>10.119677740812596</v>
      </c>
      <c r="J72">
        <f t="shared" si="18"/>
        <v>362.91988608143805</v>
      </c>
      <c r="K72">
        <f t="shared" si="19"/>
        <v>281.23825897186316</v>
      </c>
      <c r="L72" s="60">
        <f t="shared" si="23"/>
        <v>0.96440017045927628</v>
      </c>
      <c r="M72">
        <f t="shared" si="24"/>
        <v>1.0369139602326802</v>
      </c>
    </row>
    <row r="73" spans="3:13" ht="16" thickBot="1" x14ac:dyDescent="0.25">
      <c r="C73" s="18">
        <f t="shared" si="15"/>
        <v>210.33181999999999</v>
      </c>
      <c r="D73" s="23">
        <v>355</v>
      </c>
      <c r="E73" s="23">
        <f t="shared" si="16"/>
        <v>0.10933439288317115</v>
      </c>
      <c r="F73" s="23">
        <f t="shared" si="20"/>
        <v>3.0813051152333893E-2</v>
      </c>
      <c r="G73" s="23">
        <f t="shared" si="17"/>
        <v>372.78883820599344</v>
      </c>
      <c r="H73" s="23">
        <f t="shared" si="21"/>
        <v>362.95221433573323</v>
      </c>
      <c r="I73" s="23">
        <f t="shared" si="22"/>
        <v>9.8366238702602136</v>
      </c>
      <c r="J73">
        <f t="shared" si="18"/>
        <v>372.78883820599344</v>
      </c>
      <c r="K73">
        <f t="shared" si="19"/>
        <v>281.23825897186316</v>
      </c>
      <c r="L73" s="60">
        <f t="shared" si="23"/>
        <v>0.95228173061296484</v>
      </c>
      <c r="M73">
        <f t="shared" si="24"/>
        <v>1.0501094033971645</v>
      </c>
    </row>
  </sheetData>
  <mergeCells count="1">
    <mergeCell ref="A10:B10"/>
  </mergeCells>
  <conditionalFormatting sqref="D2:D73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{87DBACCC-DBF4-43C0-8FD8-6E5C3281D351}</x14:id>
        </ext>
      </extLst>
    </cfRule>
  </conditionalFormatting>
  <conditionalFormatting sqref="E24:E73">
    <cfRule type="dataBar" priority="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{8FEE2B6E-E0E3-43E9-89D9-940D02260232}</x14:id>
        </ext>
      </extLst>
    </cfRule>
  </conditionalFormatting>
  <conditionalFormatting sqref="F24:F73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{D9FE4D24-12B0-4190-8ACD-D1C39BA4FD12}</x14:id>
        </ext>
      </extLst>
    </cfRule>
  </conditionalFormatting>
  <conditionalFormatting sqref="G24:G73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{70604123-4A9C-4015-8156-30873CA311CE}</x14:id>
        </ext>
      </extLst>
    </cfRule>
  </conditionalFormatting>
  <conditionalFormatting sqref="H24:H73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{7720DFB9-4897-449D-B382-0F45E6F481A0}</x14:id>
        </ext>
      </extLst>
    </cfRule>
  </conditionalFormatting>
  <conditionalFormatting sqref="L3:L73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{76F93353-8693-440B-83BD-53683CC0C96C}</x14:id>
        </ext>
      </extLst>
    </cfRule>
  </conditionalFormatting>
  <pageMargins left="0.7" right="0.7" top="0.75" bottom="0.75" header="0.3" footer="0.3"/>
  <pageSetup orientation="portrait" horizontalDpi="300" verticalDpi="30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7DBACCC-DBF4-43C0-8FD8-6E5C3281D35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D2:D73</xm:sqref>
        </x14:conditionalFormatting>
        <x14:conditionalFormatting xmlns:xm="http://schemas.microsoft.com/office/excel/2006/main">
          <x14:cfRule type="dataBar" id="{8FEE2B6E-E0E3-43E9-89D9-940D0226023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E24:E73</xm:sqref>
        </x14:conditionalFormatting>
        <x14:conditionalFormatting xmlns:xm="http://schemas.microsoft.com/office/excel/2006/main">
          <x14:cfRule type="dataBar" id="{D9FE4D24-12B0-4190-8ACD-D1C39BA4FD1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F24:F73</xm:sqref>
        </x14:conditionalFormatting>
        <x14:conditionalFormatting xmlns:xm="http://schemas.microsoft.com/office/excel/2006/main">
          <x14:cfRule type="dataBar" id="{70604123-4A9C-4015-8156-30873CA311C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G24:G73</xm:sqref>
        </x14:conditionalFormatting>
        <x14:conditionalFormatting xmlns:xm="http://schemas.microsoft.com/office/excel/2006/main">
          <x14:cfRule type="dataBar" id="{7720DFB9-4897-449D-B382-0F45E6F481A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H24:H73</xm:sqref>
        </x14:conditionalFormatting>
        <x14:conditionalFormatting xmlns:xm="http://schemas.microsoft.com/office/excel/2006/main">
          <x14:cfRule type="dataBar" id="{76F93353-8693-440B-83BD-53683CC0C96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L3:L73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DCC41-1383-4866-BE01-5BB9AE4A541E}">
  <dimension ref="A1:Y73"/>
  <sheetViews>
    <sheetView tabSelected="1" topLeftCell="I17" zoomScale="90" zoomScaleNormal="90" workbookViewId="0">
      <selection activeCell="B41" sqref="B41"/>
    </sheetView>
  </sheetViews>
  <sheetFormatPr baseColWidth="10" defaultColWidth="8.83203125" defaultRowHeight="15" x14ac:dyDescent="0.2"/>
  <cols>
    <col min="1" max="1" width="26.5" bestFit="1" customWidth="1"/>
    <col min="2" max="2" width="12.5" bestFit="1" customWidth="1"/>
    <col min="3" max="3" width="11.1640625" bestFit="1" customWidth="1"/>
    <col min="4" max="4" width="17.83203125" bestFit="1" customWidth="1"/>
    <col min="5" max="8" width="16.1640625" customWidth="1"/>
    <col min="9" max="9" width="17.83203125" bestFit="1" customWidth="1"/>
    <col min="10" max="14" width="16.1640625" customWidth="1"/>
  </cols>
  <sheetData>
    <row r="1" spans="1:16" ht="16" thickBot="1" x14ac:dyDescent="0.25">
      <c r="A1" s="42" t="s">
        <v>136</v>
      </c>
      <c r="B1" s="56">
        <v>0</v>
      </c>
      <c r="C1" s="65" t="s">
        <v>128</v>
      </c>
      <c r="D1" s="53" t="s">
        <v>138</v>
      </c>
      <c r="E1" s="53" t="s">
        <v>137</v>
      </c>
      <c r="F1" s="53" t="s">
        <v>139</v>
      </c>
      <c r="G1" s="54" t="s">
        <v>140</v>
      </c>
      <c r="H1" s="54" t="s">
        <v>141</v>
      </c>
      <c r="I1" s="54" t="s">
        <v>142</v>
      </c>
      <c r="J1" s="54" t="s">
        <v>143</v>
      </c>
      <c r="K1" s="55" t="s">
        <v>145</v>
      </c>
      <c r="L1" s="47" t="s">
        <v>148</v>
      </c>
      <c r="M1" s="47" t="s">
        <v>149</v>
      </c>
      <c r="N1" s="47" t="s">
        <v>147</v>
      </c>
      <c r="O1" s="47"/>
      <c r="P1" s="47"/>
    </row>
    <row r="2" spans="1:16" x14ac:dyDescent="0.2">
      <c r="A2" s="49" t="s">
        <v>135</v>
      </c>
      <c r="B2" s="22">
        <f>VLOOKUP(B1,Atmosphere!A3:B33,2,TRUE)</f>
        <v>2.3771700000000001E-3</v>
      </c>
      <c r="C2" s="59">
        <f t="shared" ref="C2:C65" si="0">D2*0.592484</f>
        <v>0</v>
      </c>
      <c r="D2" s="60">
        <v>0</v>
      </c>
      <c r="E2" s="60">
        <v>0</v>
      </c>
      <c r="F2" s="60">
        <f>$B$6+$B$8*E2^2</f>
        <v>0.03</v>
      </c>
      <c r="G2" s="60">
        <f>0.5*$B$2*D2^2*$B$4*F2</f>
        <v>0</v>
      </c>
      <c r="H2" s="60">
        <f>(0.5*$B$2*D2^2)*$B$4*$B$6</f>
        <v>0</v>
      </c>
      <c r="I2" s="60">
        <f>(0.5*$B$2*D2^2)*$B$4*E2^2/(PI()*$B$7*$B$5)</f>
        <v>0</v>
      </c>
      <c r="J2" s="60">
        <f t="shared" ref="J2:J33" si="1">H2+I2</f>
        <v>0</v>
      </c>
      <c r="K2" s="61">
        <f t="shared" ref="K2:K65" si="2">$J$63</f>
        <v>397.84233756580733</v>
      </c>
      <c r="L2" s="60"/>
      <c r="M2" t="e">
        <f>J2/D2</f>
        <v>#DIV/0!</v>
      </c>
      <c r="N2" t="e">
        <f>0.5*$B$2*D2^2*$B$4*B6+B8*B3^2/0.5*B2*D2^2*s</f>
        <v>#NAME?</v>
      </c>
    </row>
    <row r="3" spans="1:16" x14ac:dyDescent="0.2">
      <c r="A3" s="50" t="s">
        <v>133</v>
      </c>
      <c r="B3" s="48">
        <f>B14</f>
        <v>1322.7719999999999</v>
      </c>
      <c r="C3" s="59">
        <f t="shared" si="0"/>
        <v>2.9624199999999998</v>
      </c>
      <c r="D3" s="60">
        <v>5</v>
      </c>
      <c r="E3" s="60">
        <f>(2*$B$3)/(($B$2*D3^2)*$B$4)</f>
        <v>379.92707546234027</v>
      </c>
      <c r="F3" s="60">
        <f t="shared" ref="F3:F66" si="3">$B$6+$B$8*E3^2</f>
        <v>9817.6171112677166</v>
      </c>
      <c r="G3" s="60">
        <f>0.5*$B$2*D3^2*$B$4*F3</f>
        <v>34181.478131566029</v>
      </c>
      <c r="H3" s="60">
        <f t="shared" ref="H3:H66" si="4">(0.5*$B$2*D3^2)*$B$4*$B$6</f>
        <v>0.10444941296091843</v>
      </c>
      <c r="I3" s="60">
        <f t="shared" ref="I3:I66" si="5">(0.5*$B$2*D3^2)*$B$4*E3^2/(PI()*$B$7*$B$5)</f>
        <v>34181.373682153062</v>
      </c>
      <c r="J3" s="60">
        <f t="shared" si="1"/>
        <v>34181.478131566022</v>
      </c>
      <c r="K3" s="61">
        <f t="shared" si="2"/>
        <v>397.84233756580733</v>
      </c>
      <c r="L3" s="60">
        <f t="shared" ref="L3:L34" si="6">D3/J3</f>
        <v>1.4627805095949271E-4</v>
      </c>
      <c r="M3">
        <f t="shared" ref="M3:M66" si="7">J3/D3</f>
        <v>6836.2956263132046</v>
      </c>
      <c r="N3" s="60"/>
    </row>
    <row r="4" spans="1:16" x14ac:dyDescent="0.2">
      <c r="A4" s="50" t="s">
        <v>134</v>
      </c>
      <c r="B4" s="48">
        <f>airplane!B60*1.85</f>
        <v>117.16947794889826</v>
      </c>
      <c r="C4" s="59">
        <f t="shared" si="0"/>
        <v>5.9248399999999997</v>
      </c>
      <c r="D4" s="60">
        <v>10</v>
      </c>
      <c r="E4" s="60">
        <f t="shared" ref="E4:E67" si="8">(2*$B$3)/(($B$2*D4^2)*$B$4)</f>
        <v>94.981768865585067</v>
      </c>
      <c r="F4" s="60">
        <f>$B$6+$B$8*E4^2</f>
        <v>613.62919445423222</v>
      </c>
      <c r="G4" s="60">
        <f t="shared" ref="G4:G67" si="9">0.5*$B$2*D4^2*$B$4*F4</f>
        <v>8545.7612181901095</v>
      </c>
      <c r="H4" s="60">
        <f t="shared" si="4"/>
        <v>0.41779765184367373</v>
      </c>
      <c r="I4" s="60">
        <f t="shared" si="5"/>
        <v>8545.3434205382655</v>
      </c>
      <c r="J4" s="60">
        <f t="shared" si="1"/>
        <v>8545.7612181901095</v>
      </c>
      <c r="K4" s="61">
        <f t="shared" si="2"/>
        <v>397.84233756580733</v>
      </c>
      <c r="L4" s="60">
        <f t="shared" si="6"/>
        <v>1.1701707717639554E-3</v>
      </c>
      <c r="M4">
        <f t="shared" si="7"/>
        <v>854.57612181901095</v>
      </c>
    </row>
    <row r="5" spans="1:16" x14ac:dyDescent="0.2">
      <c r="A5" s="50" t="s">
        <v>95</v>
      </c>
      <c r="B5" s="48">
        <f>airplane!B6</f>
        <v>5.2</v>
      </c>
      <c r="C5" s="59">
        <f t="shared" si="0"/>
        <v>8.8872599999999995</v>
      </c>
      <c r="D5" s="60">
        <v>15</v>
      </c>
      <c r="E5" s="60">
        <f t="shared" si="8"/>
        <v>42.214119495815588</v>
      </c>
      <c r="F5" s="60">
        <f t="shared" si="3"/>
        <v>121.23477915145328</v>
      </c>
      <c r="G5" s="60">
        <f t="shared" si="9"/>
        <v>3798.8704538447664</v>
      </c>
      <c r="H5" s="60">
        <f t="shared" si="4"/>
        <v>0.94004471664826583</v>
      </c>
      <c r="I5" s="60">
        <f t="shared" si="5"/>
        <v>3797.9304091281183</v>
      </c>
      <c r="J5" s="60">
        <f t="shared" si="1"/>
        <v>3798.8704538447664</v>
      </c>
      <c r="K5" s="61">
        <f t="shared" si="2"/>
        <v>397.84233756580733</v>
      </c>
      <c r="L5" s="60">
        <f t="shared" si="6"/>
        <v>3.9485421212031007E-3</v>
      </c>
      <c r="M5">
        <f t="shared" si="7"/>
        <v>253.25803025631777</v>
      </c>
    </row>
    <row r="6" spans="1:16" x14ac:dyDescent="0.2">
      <c r="A6" s="50" t="s">
        <v>96</v>
      </c>
      <c r="B6" s="48">
        <f>airplane!B7</f>
        <v>0.03</v>
      </c>
      <c r="C6" s="59">
        <f t="shared" si="0"/>
        <v>11.849679999999999</v>
      </c>
      <c r="D6" s="60">
        <v>20</v>
      </c>
      <c r="E6" s="60">
        <f t="shared" si="8"/>
        <v>23.745442216396267</v>
      </c>
      <c r="F6" s="60">
        <f t="shared" si="3"/>
        <v>38.379949653389517</v>
      </c>
      <c r="G6" s="60">
        <f t="shared" si="9"/>
        <v>2138.0070457419415</v>
      </c>
      <c r="H6" s="60">
        <f t="shared" si="4"/>
        <v>1.6711906073746949</v>
      </c>
      <c r="I6" s="60">
        <f t="shared" si="5"/>
        <v>2136.3358551345664</v>
      </c>
      <c r="J6" s="60">
        <f t="shared" si="1"/>
        <v>2138.0070457419411</v>
      </c>
      <c r="K6" s="61">
        <f t="shared" si="2"/>
        <v>397.84233756580733</v>
      </c>
      <c r="L6" s="60">
        <f t="shared" si="6"/>
        <v>9.3545061228081719E-3</v>
      </c>
      <c r="M6">
        <f t="shared" si="7"/>
        <v>106.90035228709705</v>
      </c>
    </row>
    <row r="7" spans="1:16" x14ac:dyDescent="0.2">
      <c r="A7" s="50" t="s">
        <v>97</v>
      </c>
      <c r="B7" s="48">
        <v>0.9</v>
      </c>
      <c r="C7" s="59">
        <f t="shared" si="0"/>
        <v>14.812100000000001</v>
      </c>
      <c r="D7" s="60">
        <v>25</v>
      </c>
      <c r="E7" s="60">
        <f t="shared" si="8"/>
        <v>15.197083018493611</v>
      </c>
      <c r="F7" s="60">
        <f t="shared" si="3"/>
        <v>15.738139378028345</v>
      </c>
      <c r="G7" s="60">
        <f t="shared" si="9"/>
        <v>1369.8661826101454</v>
      </c>
      <c r="H7" s="60">
        <f t="shared" si="4"/>
        <v>2.6112353240229607</v>
      </c>
      <c r="I7" s="60">
        <f t="shared" si="5"/>
        <v>1367.2549472861224</v>
      </c>
      <c r="J7" s="60">
        <f t="shared" si="1"/>
        <v>1369.8661826101454</v>
      </c>
      <c r="K7" s="61">
        <f t="shared" si="2"/>
        <v>397.84233756580733</v>
      </c>
      <c r="L7" s="60">
        <f t="shared" si="6"/>
        <v>1.8249957782274E-2</v>
      </c>
      <c r="M7">
        <f t="shared" si="7"/>
        <v>54.794647304405814</v>
      </c>
    </row>
    <row r="8" spans="1:16" ht="16" thickBot="1" x14ac:dyDescent="0.25">
      <c r="A8" s="51" t="s">
        <v>127</v>
      </c>
      <c r="B8" s="23">
        <f>1/(PI()*B7*B5)</f>
        <v>6.8014932945254417E-2</v>
      </c>
      <c r="C8" s="59">
        <f t="shared" si="0"/>
        <v>17.774519999999999</v>
      </c>
      <c r="D8" s="60">
        <v>30</v>
      </c>
      <c r="E8" s="60">
        <f t="shared" si="8"/>
        <v>10.553529873953897</v>
      </c>
      <c r="F8" s="60">
        <f t="shared" si="3"/>
        <v>7.6052986969658303</v>
      </c>
      <c r="G8" s="60">
        <f t="shared" si="9"/>
        <v>953.24278114862261</v>
      </c>
      <c r="H8" s="60">
        <f t="shared" si="4"/>
        <v>3.7601788665930633</v>
      </c>
      <c r="I8" s="60">
        <f t="shared" si="5"/>
        <v>949.48260228202957</v>
      </c>
      <c r="J8" s="60">
        <f t="shared" si="1"/>
        <v>953.24278114862261</v>
      </c>
      <c r="K8" s="61">
        <f t="shared" si="2"/>
        <v>397.84233756580733</v>
      </c>
      <c r="L8" s="60">
        <f t="shared" si="6"/>
        <v>3.1471520784926481E-2</v>
      </c>
      <c r="M8">
        <f>J8/D8</f>
        <v>31.774759371620753</v>
      </c>
    </row>
    <row r="9" spans="1:16" ht="16" thickBot="1" x14ac:dyDescent="0.25">
      <c r="C9" s="59">
        <f t="shared" si="0"/>
        <v>20.736940000000001</v>
      </c>
      <c r="D9" s="60">
        <v>35</v>
      </c>
      <c r="E9" s="60">
        <f t="shared" si="8"/>
        <v>7.7536137849457196</v>
      </c>
      <c r="F9" s="60">
        <f t="shared" si="3"/>
        <v>4.118957564043197</v>
      </c>
      <c r="G9" s="60">
        <f t="shared" si="9"/>
        <v>702.69707597290267</v>
      </c>
      <c r="H9" s="60">
        <f t="shared" si="4"/>
        <v>5.1180212350850027</v>
      </c>
      <c r="I9" s="60">
        <f t="shared" si="5"/>
        <v>697.5790547378175</v>
      </c>
      <c r="J9" s="60">
        <f t="shared" si="1"/>
        <v>702.69707597290255</v>
      </c>
      <c r="K9" s="61">
        <f t="shared" si="2"/>
        <v>397.84233756580733</v>
      </c>
      <c r="L9" s="60">
        <f t="shared" si="6"/>
        <v>4.9808091134492881E-2</v>
      </c>
      <c r="M9">
        <f t="shared" si="7"/>
        <v>20.077059313511501</v>
      </c>
    </row>
    <row r="10" spans="1:16" ht="16" thickBot="1" x14ac:dyDescent="0.25">
      <c r="A10" s="67" t="s">
        <v>144</v>
      </c>
      <c r="B10" s="68"/>
      <c r="C10" s="59">
        <f t="shared" si="0"/>
        <v>23.699359999999999</v>
      </c>
      <c r="D10" s="60">
        <v>40</v>
      </c>
      <c r="E10" s="60">
        <f t="shared" si="8"/>
        <v>5.9363605540990667</v>
      </c>
      <c r="F10" s="60">
        <f t="shared" si="3"/>
        <v>2.4268718533368445</v>
      </c>
      <c r="G10" s="60">
        <f t="shared" si="9"/>
        <v>540.76872621314033</v>
      </c>
      <c r="H10" s="60">
        <f t="shared" si="4"/>
        <v>6.6847624294987797</v>
      </c>
      <c r="I10" s="60">
        <f t="shared" si="5"/>
        <v>534.08396378364159</v>
      </c>
      <c r="J10" s="60">
        <f t="shared" si="1"/>
        <v>540.76872621314033</v>
      </c>
      <c r="K10" s="61">
        <f t="shared" si="2"/>
        <v>397.84233756580733</v>
      </c>
      <c r="L10" s="60">
        <f t="shared" si="6"/>
        <v>7.396877456303616E-2</v>
      </c>
      <c r="M10">
        <f t="shared" si="7"/>
        <v>13.519218155328508</v>
      </c>
    </row>
    <row r="11" spans="1:16" x14ac:dyDescent="0.2">
      <c r="A11" s="42" t="s">
        <v>126</v>
      </c>
      <c r="B11" s="57" t="s">
        <v>39</v>
      </c>
      <c r="C11" s="59">
        <f t="shared" si="0"/>
        <v>26.66178</v>
      </c>
      <c r="D11" s="60">
        <v>45</v>
      </c>
      <c r="E11" s="60">
        <f t="shared" si="8"/>
        <v>4.6904577217572871</v>
      </c>
      <c r="F11" s="60">
        <f t="shared" si="3"/>
        <v>1.5263552981660897</v>
      </c>
      <c r="G11" s="60">
        <f t="shared" si="9"/>
        <v>430.45267013073635</v>
      </c>
      <c r="H11" s="60">
        <f t="shared" si="4"/>
        <v>8.4604024498343922</v>
      </c>
      <c r="I11" s="60">
        <f t="shared" si="5"/>
        <v>421.99226768090199</v>
      </c>
      <c r="J11" s="60">
        <f t="shared" si="1"/>
        <v>430.45267013073641</v>
      </c>
      <c r="K11" s="61">
        <f t="shared" si="2"/>
        <v>397.84233756580733</v>
      </c>
      <c r="L11" s="60">
        <f t="shared" si="6"/>
        <v>0.10454111014419465</v>
      </c>
      <c r="M11">
        <f t="shared" si="7"/>
        <v>9.5656148917941426</v>
      </c>
    </row>
    <row r="12" spans="1:16" ht="16" thickBot="1" x14ac:dyDescent="0.25">
      <c r="A12" s="40">
        <v>3000</v>
      </c>
      <c r="B12" s="58">
        <f>A12*3.28084</f>
        <v>9842.52</v>
      </c>
      <c r="C12" s="59">
        <f t="shared" si="0"/>
        <v>29.624200000000002</v>
      </c>
      <c r="D12" s="60">
        <v>50</v>
      </c>
      <c r="E12" s="60">
        <f t="shared" si="8"/>
        <v>3.7992707546234028</v>
      </c>
      <c r="F12" s="60">
        <f t="shared" si="3"/>
        <v>1.0117587111267716</v>
      </c>
      <c r="G12" s="60">
        <f t="shared" si="9"/>
        <v>352.25867811762248</v>
      </c>
      <c r="H12" s="60">
        <f t="shared" si="4"/>
        <v>10.444941296091843</v>
      </c>
      <c r="I12" s="60">
        <f t="shared" si="5"/>
        <v>341.8137368215306</v>
      </c>
      <c r="J12" s="60">
        <f t="shared" si="1"/>
        <v>352.25867811762242</v>
      </c>
      <c r="K12" s="61">
        <f t="shared" si="2"/>
        <v>397.84233756580733</v>
      </c>
      <c r="L12" s="60">
        <f t="shared" si="6"/>
        <v>0.14194114469283434</v>
      </c>
      <c r="M12">
        <f t="shared" si="7"/>
        <v>7.0451735623524483</v>
      </c>
    </row>
    <row r="13" spans="1:16" x14ac:dyDescent="0.2">
      <c r="A13" s="42" t="s">
        <v>125</v>
      </c>
      <c r="B13" s="57" t="s">
        <v>124</v>
      </c>
      <c r="C13" s="59">
        <f t="shared" si="0"/>
        <v>32.586620000000003</v>
      </c>
      <c r="D13" s="60">
        <v>55</v>
      </c>
      <c r="E13" s="60">
        <f t="shared" si="8"/>
        <v>3.1398931856391754</v>
      </c>
      <c r="F13" s="60">
        <f t="shared" si="3"/>
        <v>0.70055440962145432</v>
      </c>
      <c r="G13" s="60">
        <f t="shared" si="9"/>
        <v>295.12907055631291</v>
      </c>
      <c r="H13" s="60">
        <f t="shared" si="4"/>
        <v>12.63837896827113</v>
      </c>
      <c r="I13" s="60">
        <f t="shared" si="5"/>
        <v>282.49069158804178</v>
      </c>
      <c r="J13" s="60">
        <f t="shared" si="1"/>
        <v>295.12907055631291</v>
      </c>
      <c r="K13" s="61">
        <f t="shared" si="2"/>
        <v>397.84233756580733</v>
      </c>
      <c r="L13" s="60">
        <f t="shared" si="6"/>
        <v>0.18635914075264087</v>
      </c>
      <c r="M13">
        <f t="shared" si="7"/>
        <v>5.365983101023871</v>
      </c>
    </row>
    <row r="14" spans="1:16" ht="16" thickBot="1" x14ac:dyDescent="0.25">
      <c r="A14" s="40">
        <v>600</v>
      </c>
      <c r="B14" s="58">
        <f>A14*2.20462</f>
        <v>1322.7719999999999</v>
      </c>
      <c r="C14" s="59">
        <f t="shared" si="0"/>
        <v>35.549039999999998</v>
      </c>
      <c r="D14" s="60">
        <v>60</v>
      </c>
      <c r="E14" s="60">
        <f t="shared" si="8"/>
        <v>2.6383824684884742</v>
      </c>
      <c r="F14" s="60">
        <f t="shared" si="3"/>
        <v>0.50345616856036435</v>
      </c>
      <c r="G14" s="60">
        <f t="shared" si="9"/>
        <v>252.41136603687963</v>
      </c>
      <c r="H14" s="60">
        <f t="shared" si="4"/>
        <v>15.040715466372253</v>
      </c>
      <c r="I14" s="60">
        <f t="shared" si="5"/>
        <v>237.37065057050739</v>
      </c>
      <c r="J14" s="60">
        <f t="shared" si="1"/>
        <v>252.41136603687966</v>
      </c>
      <c r="K14" s="61">
        <f t="shared" si="2"/>
        <v>397.84233756580733</v>
      </c>
      <c r="L14" s="60">
        <f t="shared" si="6"/>
        <v>0.23770720368920883</v>
      </c>
      <c r="M14">
        <f t="shared" si="7"/>
        <v>4.2068561006146608</v>
      </c>
    </row>
    <row r="15" spans="1:16" x14ac:dyDescent="0.2">
      <c r="C15" s="59">
        <f t="shared" si="0"/>
        <v>38.51146</v>
      </c>
      <c r="D15" s="60">
        <v>65</v>
      </c>
      <c r="E15" s="60">
        <f t="shared" si="8"/>
        <v>2.2480892039191733</v>
      </c>
      <c r="F15" s="60">
        <f t="shared" si="3"/>
        <v>0.37374101436461316</v>
      </c>
      <c r="G15" s="60">
        <f t="shared" si="9"/>
        <v>219.90859979721807</v>
      </c>
      <c r="H15" s="60">
        <f t="shared" si="4"/>
        <v>17.651950790395215</v>
      </c>
      <c r="I15" s="60">
        <f t="shared" si="5"/>
        <v>202.2566490068229</v>
      </c>
      <c r="J15" s="60">
        <f t="shared" si="1"/>
        <v>219.9085997972181</v>
      </c>
      <c r="K15" s="61">
        <f t="shared" si="2"/>
        <v>397.84233756580733</v>
      </c>
      <c r="L15" s="60">
        <f t="shared" si="6"/>
        <v>0.29557734467836971</v>
      </c>
      <c r="M15">
        <f t="shared" si="7"/>
        <v>3.3832092276495094</v>
      </c>
    </row>
    <row r="16" spans="1:16" x14ac:dyDescent="0.2">
      <c r="B16">
        <f>B4*B6</f>
        <v>3.5150843384669477</v>
      </c>
      <c r="C16" s="59">
        <f t="shared" si="0"/>
        <v>41.473880000000001</v>
      </c>
      <c r="D16" s="60">
        <v>70</v>
      </c>
      <c r="E16" s="60">
        <f t="shared" si="8"/>
        <v>1.9384034462364299</v>
      </c>
      <c r="F16" s="60">
        <f t="shared" si="3"/>
        <v>0.28555984775269982</v>
      </c>
      <c r="G16" s="60">
        <f t="shared" si="9"/>
        <v>194.86684862479444</v>
      </c>
      <c r="H16" s="60">
        <f t="shared" si="4"/>
        <v>20.472084940340011</v>
      </c>
      <c r="I16" s="60">
        <f t="shared" si="5"/>
        <v>174.39476368445438</v>
      </c>
      <c r="J16" s="60">
        <f t="shared" si="1"/>
        <v>194.86684862479439</v>
      </c>
      <c r="K16" s="61">
        <f t="shared" si="2"/>
        <v>397.84233756580733</v>
      </c>
      <c r="L16" s="60">
        <f t="shared" si="6"/>
        <v>0.35921964404926171</v>
      </c>
      <c r="M16">
        <f t="shared" si="7"/>
        <v>2.7838121232113484</v>
      </c>
    </row>
    <row r="17" spans="3:13" x14ac:dyDescent="0.2">
      <c r="C17" s="59">
        <f t="shared" si="0"/>
        <v>44.436300000000003</v>
      </c>
      <c r="D17" s="60">
        <v>75</v>
      </c>
      <c r="E17" s="60">
        <f t="shared" si="8"/>
        <v>1.6885647798326235</v>
      </c>
      <c r="F17" s="60">
        <f t="shared" si="3"/>
        <v>0.22392764664232526</v>
      </c>
      <c r="G17" s="60">
        <f t="shared" si="9"/>
        <v>175.41833428133137</v>
      </c>
      <c r="H17" s="60">
        <f t="shared" si="4"/>
        <v>23.501117916206645</v>
      </c>
      <c r="I17" s="60">
        <f t="shared" si="5"/>
        <v>151.91721636512472</v>
      </c>
      <c r="J17" s="60">
        <f t="shared" si="1"/>
        <v>175.41833428133137</v>
      </c>
      <c r="K17" s="61">
        <f t="shared" si="2"/>
        <v>397.84233756580733</v>
      </c>
      <c r="L17" s="60">
        <f t="shared" si="6"/>
        <v>0.42754937964304773</v>
      </c>
      <c r="M17">
        <f t="shared" si="7"/>
        <v>2.3389111237510849</v>
      </c>
    </row>
    <row r="18" spans="3:13" x14ac:dyDescent="0.2">
      <c r="C18" s="59">
        <f t="shared" si="0"/>
        <v>47.398719999999997</v>
      </c>
      <c r="D18" s="60">
        <v>80</v>
      </c>
      <c r="E18" s="60">
        <f t="shared" si="8"/>
        <v>1.4840901385247667</v>
      </c>
      <c r="F18" s="60">
        <f t="shared" si="3"/>
        <v>0.17980449083355279</v>
      </c>
      <c r="G18" s="60">
        <f t="shared" si="9"/>
        <v>160.26004066390553</v>
      </c>
      <c r="H18" s="60">
        <f t="shared" si="4"/>
        <v>26.739049717995119</v>
      </c>
      <c r="I18" s="60">
        <f t="shared" si="5"/>
        <v>133.5209909459104</v>
      </c>
      <c r="J18" s="60">
        <f t="shared" si="1"/>
        <v>160.26004066390553</v>
      </c>
      <c r="K18" s="61">
        <f t="shared" si="2"/>
        <v>397.84233756580733</v>
      </c>
      <c r="L18" s="60">
        <f t="shared" si="6"/>
        <v>0.49918869150778866</v>
      </c>
      <c r="M18">
        <f t="shared" si="7"/>
        <v>2.003250508298819</v>
      </c>
    </row>
    <row r="19" spans="3:13" x14ac:dyDescent="0.2">
      <c r="C19" s="59">
        <f t="shared" si="0"/>
        <v>50.361139999999999</v>
      </c>
      <c r="D19" s="60">
        <v>85</v>
      </c>
      <c r="E19" s="60">
        <f t="shared" si="8"/>
        <v>1.3146265586932189</v>
      </c>
      <c r="F19" s="60">
        <f t="shared" si="3"/>
        <v>0.14754633099780551</v>
      </c>
      <c r="G19" s="60">
        <f t="shared" si="9"/>
        <v>148.46052976492015</v>
      </c>
      <c r="H19" s="60">
        <f t="shared" si="4"/>
        <v>30.185880345705428</v>
      </c>
      <c r="I19" s="60">
        <f t="shared" si="5"/>
        <v>118.27464941921475</v>
      </c>
      <c r="J19" s="60">
        <f t="shared" si="1"/>
        <v>148.46052976492018</v>
      </c>
      <c r="K19" s="61">
        <f t="shared" si="2"/>
        <v>397.84233756580733</v>
      </c>
      <c r="L19" s="60">
        <f t="shared" si="6"/>
        <v>0.57254275014775469</v>
      </c>
      <c r="M19">
        <f t="shared" si="7"/>
        <v>1.7465944678225904</v>
      </c>
    </row>
    <row r="20" spans="3:13" x14ac:dyDescent="0.2">
      <c r="C20" s="59">
        <f t="shared" si="0"/>
        <v>53.323560000000001</v>
      </c>
      <c r="D20" s="60">
        <v>90</v>
      </c>
      <c r="E20" s="60">
        <f t="shared" si="8"/>
        <v>1.1726144304393218</v>
      </c>
      <c r="F20" s="60">
        <f t="shared" si="3"/>
        <v>0.12352220613538061</v>
      </c>
      <c r="G20" s="60">
        <f t="shared" si="9"/>
        <v>139.33967671956307</v>
      </c>
      <c r="H20" s="60">
        <f t="shared" si="4"/>
        <v>33.841609799337569</v>
      </c>
      <c r="I20" s="60">
        <f t="shared" si="5"/>
        <v>105.4980669202255</v>
      </c>
      <c r="J20" s="60">
        <f t="shared" si="1"/>
        <v>139.33967671956307</v>
      </c>
      <c r="K20" s="61">
        <f t="shared" si="2"/>
        <v>397.84233756580733</v>
      </c>
      <c r="L20" s="60">
        <f t="shared" si="6"/>
        <v>0.64590360849720663</v>
      </c>
      <c r="M20">
        <f t="shared" si="7"/>
        <v>1.5482186302173675</v>
      </c>
    </row>
    <row r="21" spans="3:13" x14ac:dyDescent="0.2">
      <c r="C21" s="59">
        <f t="shared" si="0"/>
        <v>56.285980000000002</v>
      </c>
      <c r="D21" s="60">
        <v>95</v>
      </c>
      <c r="E21" s="60">
        <f t="shared" si="8"/>
        <v>1.05242957191784</v>
      </c>
      <c r="F21" s="60">
        <f t="shared" si="3"/>
        <v>0.10533388411129223</v>
      </c>
      <c r="G21" s="60">
        <f t="shared" si="9"/>
        <v>132.39148373582523</v>
      </c>
      <c r="H21" s="60">
        <f t="shared" si="4"/>
        <v>37.706238078891552</v>
      </c>
      <c r="I21" s="60">
        <f t="shared" si="5"/>
        <v>94.685245656933688</v>
      </c>
      <c r="J21" s="60">
        <f t="shared" si="1"/>
        <v>132.39148373582523</v>
      </c>
      <c r="K21" s="61">
        <f t="shared" si="2"/>
        <v>397.84233756580733</v>
      </c>
      <c r="L21" s="60">
        <f t="shared" si="6"/>
        <v>0.71756881424158347</v>
      </c>
      <c r="M21">
        <f t="shared" si="7"/>
        <v>1.3935945656402655</v>
      </c>
    </row>
    <row r="22" spans="3:13" x14ac:dyDescent="0.2">
      <c r="C22" s="59">
        <f t="shared" si="0"/>
        <v>59.248400000000004</v>
      </c>
      <c r="D22" s="60">
        <v>100</v>
      </c>
      <c r="E22" s="60">
        <f t="shared" si="8"/>
        <v>0.9498176886558507</v>
      </c>
      <c r="F22" s="60">
        <f t="shared" si="3"/>
        <v>9.1359919445423224E-2</v>
      </c>
      <c r="G22" s="60">
        <f t="shared" si="9"/>
        <v>127.23319938975003</v>
      </c>
      <c r="H22" s="60">
        <f t="shared" si="4"/>
        <v>41.779765184367371</v>
      </c>
      <c r="I22" s="60">
        <f t="shared" si="5"/>
        <v>85.453434205382649</v>
      </c>
      <c r="J22" s="60">
        <f t="shared" si="1"/>
        <v>127.23319938975001</v>
      </c>
      <c r="K22" s="61">
        <f t="shared" si="2"/>
        <v>397.84233756580733</v>
      </c>
      <c r="L22" s="60">
        <f t="shared" si="6"/>
        <v>0.7859583857014607</v>
      </c>
      <c r="M22">
        <f t="shared" si="7"/>
        <v>1.2723319938975002</v>
      </c>
    </row>
    <row r="23" spans="3:13" x14ac:dyDescent="0.2">
      <c r="C23" s="59">
        <f t="shared" si="0"/>
        <v>62.210819999999998</v>
      </c>
      <c r="D23" s="60">
        <v>105</v>
      </c>
      <c r="E23" s="60">
        <f t="shared" si="8"/>
        <v>0.86151264277174666</v>
      </c>
      <c r="F23" s="60">
        <f t="shared" si="3"/>
        <v>8.0480957580780207E-2</v>
      </c>
      <c r="G23" s="60">
        <f t="shared" si="9"/>
        <v>123.57097497552255</v>
      </c>
      <c r="H23" s="60">
        <f t="shared" si="4"/>
        <v>46.062191115765025</v>
      </c>
      <c r="I23" s="60">
        <f t="shared" si="5"/>
        <v>77.508783859757514</v>
      </c>
      <c r="J23" s="60">
        <f t="shared" si="1"/>
        <v>123.57097497552255</v>
      </c>
      <c r="K23" s="61">
        <f t="shared" si="2"/>
        <v>397.84233756580733</v>
      </c>
      <c r="L23" s="60">
        <f t="shared" si="6"/>
        <v>0.849714101720075</v>
      </c>
      <c r="M23">
        <f t="shared" si="7"/>
        <v>1.1768664283383099</v>
      </c>
    </row>
    <row r="24" spans="3:13" x14ac:dyDescent="0.2">
      <c r="C24" s="16">
        <f t="shared" si="0"/>
        <v>65.173240000000007</v>
      </c>
      <c r="D24" s="22">
        <v>110</v>
      </c>
      <c r="E24" s="22">
        <f t="shared" si="8"/>
        <v>0.78497329640979385</v>
      </c>
      <c r="F24" s="22">
        <f t="shared" si="3"/>
        <v>7.1909650601340885E-2</v>
      </c>
      <c r="G24" s="22">
        <f t="shared" si="9"/>
        <v>121.17618877009495</v>
      </c>
      <c r="H24" s="22">
        <f t="shared" si="4"/>
        <v>50.553515873084521</v>
      </c>
      <c r="I24" s="22">
        <f t="shared" si="5"/>
        <v>70.622672897010446</v>
      </c>
      <c r="J24">
        <f t="shared" si="1"/>
        <v>121.17618877009497</v>
      </c>
      <c r="K24">
        <f t="shared" si="2"/>
        <v>397.84233756580733</v>
      </c>
      <c r="L24" s="60">
        <f t="shared" si="6"/>
        <v>0.90776910147504875</v>
      </c>
      <c r="M24">
        <f t="shared" si="7"/>
        <v>1.1016017160917724</v>
      </c>
    </row>
    <row r="25" spans="3:13" x14ac:dyDescent="0.2">
      <c r="C25" s="16">
        <f t="shared" si="0"/>
        <v>68.135660000000001</v>
      </c>
      <c r="D25" s="22">
        <v>115</v>
      </c>
      <c r="E25" s="22">
        <f t="shared" si="8"/>
        <v>0.71819863036359211</v>
      </c>
      <c r="F25" s="22">
        <f t="shared" si="3"/>
        <v>6.5082733092247796E-2</v>
      </c>
      <c r="G25" s="22">
        <f t="shared" si="9"/>
        <v>119.86881257948855</v>
      </c>
      <c r="H25" s="22">
        <f t="shared" si="4"/>
        <v>55.253739456325853</v>
      </c>
      <c r="I25" s="22">
        <f t="shared" si="5"/>
        <v>64.615073123162674</v>
      </c>
      <c r="J25">
        <f t="shared" si="1"/>
        <v>119.86881257948852</v>
      </c>
      <c r="K25">
        <f t="shared" si="2"/>
        <v>397.84233756580733</v>
      </c>
      <c r="L25" s="60">
        <f t="shared" si="6"/>
        <v>0.95938215725412423</v>
      </c>
      <c r="M25">
        <f t="shared" si="7"/>
        <v>1.0423375006912046</v>
      </c>
    </row>
    <row r="26" spans="3:13" x14ac:dyDescent="0.2">
      <c r="C26" s="16">
        <f t="shared" si="0"/>
        <v>71.098079999999996</v>
      </c>
      <c r="D26" s="22">
        <v>120</v>
      </c>
      <c r="E26" s="22">
        <f t="shared" si="8"/>
        <v>0.65959561712211856</v>
      </c>
      <c r="F26" s="22">
        <f t="shared" si="3"/>
        <v>5.9591010535022776E-2</v>
      </c>
      <c r="G26" s="22">
        <f t="shared" si="9"/>
        <v>119.50552450811587</v>
      </c>
      <c r="H26" s="22">
        <f t="shared" si="4"/>
        <v>60.162861865489013</v>
      </c>
      <c r="I26" s="22">
        <f t="shared" si="5"/>
        <v>59.342662642626848</v>
      </c>
      <c r="J26">
        <f t="shared" si="1"/>
        <v>119.50552450811585</v>
      </c>
      <c r="K26">
        <f t="shared" si="2"/>
        <v>397.84233756580733</v>
      </c>
      <c r="L26" s="60">
        <f t="shared" si="6"/>
        <v>1.0041376789392742</v>
      </c>
      <c r="M26">
        <f t="shared" si="7"/>
        <v>0.99587937090096545</v>
      </c>
    </row>
    <row r="27" spans="3:13" x14ac:dyDescent="0.2">
      <c r="C27" s="16">
        <f t="shared" si="0"/>
        <v>74.060500000000005</v>
      </c>
      <c r="D27" s="22">
        <v>125</v>
      </c>
      <c r="E27" s="22">
        <f t="shared" si="8"/>
        <v>0.60788332073974438</v>
      </c>
      <c r="F27" s="22">
        <f t="shared" si="3"/>
        <v>5.513302300484535E-2</v>
      </c>
      <c r="G27" s="22">
        <f t="shared" si="9"/>
        <v>119.97108099201891</v>
      </c>
      <c r="H27" s="22">
        <f t="shared" si="4"/>
        <v>65.280883100574016</v>
      </c>
      <c r="I27" s="22">
        <f t="shared" si="5"/>
        <v>54.690197891444889</v>
      </c>
      <c r="J27">
        <f t="shared" si="1"/>
        <v>119.9710809920189</v>
      </c>
      <c r="K27">
        <f t="shared" si="2"/>
        <v>397.84233756580733</v>
      </c>
      <c r="L27" s="60">
        <f t="shared" si="6"/>
        <v>1.0419177602335321</v>
      </c>
      <c r="M27">
        <f t="shared" si="7"/>
        <v>0.95976864793615113</v>
      </c>
    </row>
    <row r="28" spans="3:13" x14ac:dyDescent="0.2">
      <c r="C28" s="16">
        <f t="shared" si="0"/>
        <v>77.022919999999999</v>
      </c>
      <c r="D28" s="22">
        <v>130</v>
      </c>
      <c r="E28" s="22">
        <f t="shared" si="8"/>
        <v>0.56202230097979333</v>
      </c>
      <c r="F28" s="22">
        <f t="shared" si="3"/>
        <v>5.1483813397788319E-2</v>
      </c>
      <c r="G28" s="22">
        <f t="shared" si="9"/>
        <v>121.17196541328657</v>
      </c>
      <c r="H28" s="22">
        <f t="shared" si="4"/>
        <v>70.607803161580861</v>
      </c>
      <c r="I28" s="22">
        <f t="shared" si="5"/>
        <v>50.564162251705724</v>
      </c>
      <c r="J28">
        <f t="shared" si="1"/>
        <v>121.17196541328659</v>
      </c>
      <c r="K28">
        <f t="shared" si="2"/>
        <v>397.84233756580733</v>
      </c>
      <c r="L28" s="60">
        <f t="shared" si="6"/>
        <v>1.0728554212734212</v>
      </c>
      <c r="M28">
        <f t="shared" si="7"/>
        <v>0.93209204164066606</v>
      </c>
    </row>
    <row r="29" spans="3:13" x14ac:dyDescent="0.2">
      <c r="C29" s="16">
        <f t="shared" si="0"/>
        <v>79.985340000000008</v>
      </c>
      <c r="D29" s="22">
        <v>135</v>
      </c>
      <c r="E29" s="22">
        <f t="shared" si="8"/>
        <v>0.52116196908414303</v>
      </c>
      <c r="F29" s="22">
        <f t="shared" si="3"/>
        <v>4.8473522199581356E-2</v>
      </c>
      <c r="G29" s="22">
        <f t="shared" si="9"/>
        <v>123.03165179083199</v>
      </c>
      <c r="H29" s="22">
        <f t="shared" si="4"/>
        <v>76.143622048509528</v>
      </c>
      <c r="I29" s="22">
        <f t="shared" si="5"/>
        <v>46.888029742322445</v>
      </c>
      <c r="J29">
        <f t="shared" si="1"/>
        <v>123.03165179083197</v>
      </c>
      <c r="K29">
        <f t="shared" si="2"/>
        <v>397.84233756580733</v>
      </c>
      <c r="L29" s="60">
        <f t="shared" si="6"/>
        <v>1.0972786111131434</v>
      </c>
      <c r="M29">
        <f t="shared" si="7"/>
        <v>0.91134556882097761</v>
      </c>
    </row>
    <row r="30" spans="3:13" x14ac:dyDescent="0.2">
      <c r="C30" s="16">
        <f t="shared" si="0"/>
        <v>82.947760000000002</v>
      </c>
      <c r="D30" s="22">
        <v>140</v>
      </c>
      <c r="E30" s="22">
        <f t="shared" si="8"/>
        <v>0.48460086155910748</v>
      </c>
      <c r="F30" s="22">
        <f t="shared" si="3"/>
        <v>4.5972490484543736E-2</v>
      </c>
      <c r="G30" s="22">
        <f t="shared" si="9"/>
        <v>125.48703068247364</v>
      </c>
      <c r="H30" s="22">
        <f t="shared" si="4"/>
        <v>81.888339761360044</v>
      </c>
      <c r="I30" s="22">
        <f t="shared" si="5"/>
        <v>43.598690921113594</v>
      </c>
      <c r="J30">
        <f t="shared" si="1"/>
        <v>125.48703068247363</v>
      </c>
      <c r="K30">
        <f t="shared" si="2"/>
        <v>397.84233756580733</v>
      </c>
      <c r="L30" s="60">
        <f t="shared" si="6"/>
        <v>1.1156531415126818</v>
      </c>
      <c r="M30">
        <f t="shared" si="7"/>
        <v>0.89633593344624019</v>
      </c>
    </row>
    <row r="31" spans="3:13" x14ac:dyDescent="0.2">
      <c r="C31" s="16">
        <f t="shared" si="0"/>
        <v>85.910179999999997</v>
      </c>
      <c r="D31" s="22">
        <v>145</v>
      </c>
      <c r="E31" s="22">
        <f t="shared" si="8"/>
        <v>0.45175633229766982</v>
      </c>
      <c r="F31" s="22">
        <f t="shared" si="3"/>
        <v>4.3880744868401267E-2</v>
      </c>
      <c r="G31" s="22">
        <f t="shared" si="9"/>
        <v>128.48568243824542</v>
      </c>
      <c r="H31" s="22">
        <f t="shared" si="4"/>
        <v>87.841956300132395</v>
      </c>
      <c r="I31" s="22">
        <f t="shared" si="5"/>
        <v>40.643726138113038</v>
      </c>
      <c r="J31">
        <f t="shared" si="1"/>
        <v>128.48568243824542</v>
      </c>
      <c r="K31">
        <f t="shared" si="2"/>
        <v>397.84233756580733</v>
      </c>
      <c r="L31" s="60">
        <f t="shared" si="6"/>
        <v>1.1285304109249055</v>
      </c>
      <c r="M31">
        <f t="shared" si="7"/>
        <v>0.88610815474652016</v>
      </c>
    </row>
    <row r="32" spans="3:13" x14ac:dyDescent="0.2">
      <c r="C32" s="16">
        <f t="shared" si="0"/>
        <v>88.872600000000006</v>
      </c>
      <c r="D32" s="22">
        <v>150</v>
      </c>
      <c r="E32" s="22">
        <f t="shared" si="8"/>
        <v>0.42214119495815589</v>
      </c>
      <c r="F32" s="22">
        <f t="shared" si="3"/>
        <v>4.2120477915145324E-2</v>
      </c>
      <c r="G32" s="22">
        <f t="shared" si="9"/>
        <v>131.98377575610775</v>
      </c>
      <c r="H32" s="22">
        <f t="shared" si="4"/>
        <v>94.004471664826582</v>
      </c>
      <c r="I32" s="22">
        <f t="shared" si="5"/>
        <v>37.979304091281179</v>
      </c>
      <c r="J32">
        <f t="shared" si="1"/>
        <v>131.98377575610778</v>
      </c>
      <c r="K32">
        <f t="shared" si="2"/>
        <v>397.84233756580733</v>
      </c>
      <c r="L32" s="60">
        <f t="shared" si="6"/>
        <v>1.1365033250540151</v>
      </c>
      <c r="M32">
        <f t="shared" si="7"/>
        <v>0.87989183837405183</v>
      </c>
    </row>
    <row r="33" spans="3:25" x14ac:dyDescent="0.2">
      <c r="C33" s="16">
        <f t="shared" si="0"/>
        <v>91.83502</v>
      </c>
      <c r="D33" s="22">
        <v>155</v>
      </c>
      <c r="E33" s="22">
        <f t="shared" si="8"/>
        <v>0.3953455519899482</v>
      </c>
      <c r="F33" s="22">
        <f t="shared" si="3"/>
        <v>4.0630605163572579E-2</v>
      </c>
      <c r="G33" s="22">
        <f t="shared" si="9"/>
        <v>135.94443287121064</v>
      </c>
      <c r="H33" s="22">
        <f t="shared" si="4"/>
        <v>100.37588585544262</v>
      </c>
      <c r="I33" s="22">
        <f t="shared" si="5"/>
        <v>35.568547015768004</v>
      </c>
      <c r="J33">
        <f t="shared" si="1"/>
        <v>135.94443287121061</v>
      </c>
      <c r="K33">
        <f t="shared" si="2"/>
        <v>397.84233756580733</v>
      </c>
      <c r="L33" s="60">
        <f t="shared" si="6"/>
        <v>1.1401717358065115</v>
      </c>
      <c r="M33">
        <f t="shared" si="7"/>
        <v>0.87706085723361682</v>
      </c>
      <c r="Y33">
        <f ca="1">+Y30:AH33</f>
        <v>0</v>
      </c>
    </row>
    <row r="34" spans="3:25" x14ac:dyDescent="0.2">
      <c r="C34" s="16">
        <f t="shared" si="0"/>
        <v>94.797439999999995</v>
      </c>
      <c r="D34" s="22">
        <v>160</v>
      </c>
      <c r="E34" s="22">
        <f t="shared" si="8"/>
        <v>0.37102253463119167</v>
      </c>
      <c r="F34" s="22">
        <f t="shared" si="3"/>
        <v>3.9362780677097045E-2</v>
      </c>
      <c r="G34" s="22">
        <f t="shared" si="9"/>
        <v>140.33644660845806</v>
      </c>
      <c r="H34" s="22">
        <f t="shared" si="4"/>
        <v>106.95619887198048</v>
      </c>
      <c r="I34" s="22">
        <f t="shared" si="5"/>
        <v>33.3802477364776</v>
      </c>
      <c r="J34">
        <f t="shared" ref="J34:J65" si="10">H34+I34</f>
        <v>140.33644660845806</v>
      </c>
      <c r="K34">
        <f t="shared" si="2"/>
        <v>397.84233756580733</v>
      </c>
      <c r="L34" s="60">
        <f t="shared" si="6"/>
        <v>1.1401172244755755</v>
      </c>
      <c r="M34">
        <f t="shared" si="7"/>
        <v>0.87710279130286284</v>
      </c>
    </row>
    <row r="35" spans="3:25" x14ac:dyDescent="0.2">
      <c r="C35" s="16">
        <f t="shared" si="0"/>
        <v>97.759860000000003</v>
      </c>
      <c r="D35" s="22">
        <v>165</v>
      </c>
      <c r="E35" s="22">
        <f t="shared" si="8"/>
        <v>0.34887702062657511</v>
      </c>
      <c r="F35" s="22">
        <f t="shared" si="3"/>
        <v>3.8278449501499438E-2</v>
      </c>
      <c r="G35" s="22">
        <f t="shared" si="9"/>
        <v>145.1332653353337</v>
      </c>
      <c r="H35" s="22">
        <f t="shared" si="4"/>
        <v>113.74541071444017</v>
      </c>
      <c r="I35" s="22">
        <f t="shared" si="5"/>
        <v>31.387854620893538</v>
      </c>
      <c r="J35">
        <f t="shared" si="10"/>
        <v>145.1332653353337</v>
      </c>
      <c r="K35">
        <f t="shared" si="2"/>
        <v>397.84233756580733</v>
      </c>
      <c r="L35" s="60">
        <f t="shared" ref="L35:L66" si="11">D35/J35</f>
        <v>1.1368861550710911</v>
      </c>
      <c r="M35">
        <f t="shared" si="7"/>
        <v>0.87959554748687097</v>
      </c>
    </row>
    <row r="36" spans="3:25" x14ac:dyDescent="0.2">
      <c r="C36" s="16">
        <f t="shared" si="0"/>
        <v>100.72228</v>
      </c>
      <c r="D36" s="22">
        <v>170</v>
      </c>
      <c r="E36" s="22">
        <f t="shared" si="8"/>
        <v>0.32865663967330472</v>
      </c>
      <c r="F36" s="22">
        <f t="shared" si="3"/>
        <v>3.7346645687362845E-2</v>
      </c>
      <c r="G36" s="22">
        <f t="shared" si="9"/>
        <v>150.31218373762539</v>
      </c>
      <c r="H36" s="22">
        <f t="shared" si="4"/>
        <v>120.74352138282171</v>
      </c>
      <c r="I36" s="22">
        <f t="shared" si="5"/>
        <v>29.568662354803688</v>
      </c>
      <c r="J36">
        <f t="shared" si="10"/>
        <v>150.31218373762539</v>
      </c>
      <c r="K36">
        <f t="shared" si="2"/>
        <v>397.84233756580733</v>
      </c>
      <c r="L36" s="60">
        <f t="shared" si="11"/>
        <v>1.1309795105946987</v>
      </c>
      <c r="M36">
        <f t="shared" si="7"/>
        <v>0.88418931610367879</v>
      </c>
    </row>
    <row r="37" spans="3:25" x14ac:dyDescent="0.2">
      <c r="C37" s="16">
        <f t="shared" si="0"/>
        <v>103.68470000000001</v>
      </c>
      <c r="D37" s="22">
        <v>175</v>
      </c>
      <c r="E37" s="22">
        <f t="shared" si="8"/>
        <v>0.31014455139782882</v>
      </c>
      <c r="F37" s="22">
        <f t="shared" si="3"/>
        <v>3.6542332102469113E-2</v>
      </c>
      <c r="G37" s="22">
        <f t="shared" si="9"/>
        <v>155.85369306663776</v>
      </c>
      <c r="H37" s="22">
        <f t="shared" si="4"/>
        <v>127.95053087712508</v>
      </c>
      <c r="I37" s="22">
        <f t="shared" si="5"/>
        <v>27.90316218951271</v>
      </c>
      <c r="J37">
        <f t="shared" si="10"/>
        <v>155.85369306663779</v>
      </c>
      <c r="K37">
        <f t="shared" si="2"/>
        <v>397.84233756580733</v>
      </c>
      <c r="L37" s="60">
        <f t="shared" si="11"/>
        <v>1.1228479515411669</v>
      </c>
      <c r="M37">
        <f t="shared" si="7"/>
        <v>0.89059253180935882</v>
      </c>
    </row>
    <row r="38" spans="3:25" x14ac:dyDescent="0.2">
      <c r="C38" s="64">
        <f t="shared" si="0"/>
        <v>106.64712</v>
      </c>
      <c r="D38" s="64">
        <v>180</v>
      </c>
      <c r="E38" s="64">
        <f t="shared" si="8"/>
        <v>0.29315360760983045</v>
      </c>
      <c r="F38" s="64">
        <f t="shared" si="3"/>
        <v>3.5845137883461289E-2</v>
      </c>
      <c r="G38" s="64">
        <f t="shared" si="9"/>
        <v>161.74095592740667</v>
      </c>
      <c r="H38" s="64">
        <f t="shared" si="4"/>
        <v>135.36643919735027</v>
      </c>
      <c r="I38" s="64">
        <f t="shared" si="5"/>
        <v>26.374516730056374</v>
      </c>
      <c r="J38" s="64">
        <f t="shared" si="10"/>
        <v>161.74095592740665</v>
      </c>
      <c r="K38" s="64">
        <f t="shared" si="2"/>
        <v>397.84233756580733</v>
      </c>
      <c r="L38" s="66">
        <f t="shared" si="11"/>
        <v>1.1128906650013153</v>
      </c>
      <c r="M38">
        <f t="shared" si="7"/>
        <v>0.89856086626337028</v>
      </c>
    </row>
    <row r="39" spans="3:25" x14ac:dyDescent="0.2">
      <c r="C39" s="16">
        <f t="shared" si="0"/>
        <v>109.60954</v>
      </c>
      <c r="D39" s="22">
        <v>185</v>
      </c>
      <c r="E39" s="22">
        <f t="shared" si="8"/>
        <v>0.27752160369783802</v>
      </c>
      <c r="F39" s="22">
        <f t="shared" si="3"/>
        <v>3.5238390464462609E-2</v>
      </c>
      <c r="G39" s="22">
        <f t="shared" si="9"/>
        <v>167.95937905507733</v>
      </c>
      <c r="H39" s="22">
        <f t="shared" si="4"/>
        <v>142.99124634349732</v>
      </c>
      <c r="I39" s="22">
        <f t="shared" si="5"/>
        <v>24.968132711580026</v>
      </c>
      <c r="J39">
        <f t="shared" si="10"/>
        <v>167.95937905507736</v>
      </c>
      <c r="K39">
        <f t="shared" si="2"/>
        <v>397.84233756580733</v>
      </c>
      <c r="L39" s="60">
        <f t="shared" si="11"/>
        <v>1.1014567989045414</v>
      </c>
      <c r="M39">
        <f t="shared" si="7"/>
        <v>0.90788853543285064</v>
      </c>
    </row>
    <row r="40" spans="3:25" x14ac:dyDescent="0.2">
      <c r="C40" s="16">
        <f t="shared" si="0"/>
        <v>112.57196</v>
      </c>
      <c r="D40" s="22">
        <v>190</v>
      </c>
      <c r="E40" s="22">
        <f t="shared" si="8"/>
        <v>0.26310739297946001</v>
      </c>
      <c r="F40" s="22">
        <f t="shared" si="3"/>
        <v>3.4708367756955766E-2</v>
      </c>
      <c r="G40" s="22">
        <f t="shared" si="9"/>
        <v>174.49626372979967</v>
      </c>
      <c r="H40" s="22">
        <f t="shared" si="4"/>
        <v>150.82495231556621</v>
      </c>
      <c r="I40" s="22">
        <f t="shared" si="5"/>
        <v>23.671311414233422</v>
      </c>
      <c r="J40">
        <f t="shared" si="10"/>
        <v>174.49626372979964</v>
      </c>
      <c r="K40">
        <f t="shared" si="2"/>
        <v>397.84233756580733</v>
      </c>
      <c r="L40" s="60">
        <f t="shared" si="11"/>
        <v>1.0888485285519194</v>
      </c>
      <c r="M40">
        <f t="shared" si="7"/>
        <v>0.91840138805157701</v>
      </c>
    </row>
    <row r="41" spans="3:25" x14ac:dyDescent="0.2">
      <c r="C41" s="16">
        <f t="shared" si="0"/>
        <v>115.53438</v>
      </c>
      <c r="D41" s="22">
        <v>195</v>
      </c>
      <c r="E41" s="22">
        <f t="shared" si="8"/>
        <v>0.24978768932435255</v>
      </c>
      <c r="F41" s="22">
        <f t="shared" si="3"/>
        <v>3.4243716226723619E-2</v>
      </c>
      <c r="G41" s="22">
        <f t="shared" si="9"/>
        <v>181.34051811431505</v>
      </c>
      <c r="H41" s="22">
        <f t="shared" si="4"/>
        <v>158.86755711355693</v>
      </c>
      <c r="I41" s="22">
        <f t="shared" si="5"/>
        <v>22.47296100075809</v>
      </c>
      <c r="J41">
        <f t="shared" si="10"/>
        <v>181.34051811431502</v>
      </c>
      <c r="K41">
        <f t="shared" si="2"/>
        <v>397.84233756580733</v>
      </c>
      <c r="L41" s="60">
        <f t="shared" si="11"/>
        <v>1.0753250405795918</v>
      </c>
      <c r="M41">
        <f t="shared" si="7"/>
        <v>0.92995137494520519</v>
      </c>
    </row>
    <row r="42" spans="3:25" x14ac:dyDescent="0.2">
      <c r="C42" s="16">
        <f t="shared" si="0"/>
        <v>118.49680000000001</v>
      </c>
      <c r="D42" s="22">
        <v>200</v>
      </c>
      <c r="E42" s="22">
        <f t="shared" si="8"/>
        <v>0.23745442216396268</v>
      </c>
      <c r="F42" s="22">
        <f t="shared" si="3"/>
        <v>3.3834994965338948E-2</v>
      </c>
      <c r="G42" s="22">
        <f t="shared" si="9"/>
        <v>188.48241928881512</v>
      </c>
      <c r="H42" s="22">
        <f t="shared" si="4"/>
        <v>167.11906073746948</v>
      </c>
      <c r="I42" s="22">
        <f t="shared" si="5"/>
        <v>21.363358551345662</v>
      </c>
      <c r="J42">
        <f t="shared" si="10"/>
        <v>188.48241928881515</v>
      </c>
      <c r="K42">
        <f t="shared" si="2"/>
        <v>397.84233756580733</v>
      </c>
      <c r="L42" s="60">
        <f t="shared" si="11"/>
        <v>1.0611069231530621</v>
      </c>
      <c r="M42">
        <f t="shared" si="7"/>
        <v>0.94241209644407575</v>
      </c>
    </row>
    <row r="43" spans="3:25" x14ac:dyDescent="0.2">
      <c r="C43" s="16">
        <f t="shared" si="0"/>
        <v>121.45922</v>
      </c>
      <c r="D43" s="22">
        <v>205</v>
      </c>
      <c r="E43" s="22">
        <f t="shared" si="8"/>
        <v>0.22601253745528865</v>
      </c>
      <c r="F43" s="22">
        <f t="shared" si="3"/>
        <v>3.3474316161652633E-2</v>
      </c>
      <c r="G43" s="22">
        <f t="shared" si="9"/>
        <v>195.91341540750201</v>
      </c>
      <c r="H43" s="22">
        <f t="shared" si="4"/>
        <v>175.5794631873039</v>
      </c>
      <c r="I43" s="22">
        <f t="shared" si="5"/>
        <v>20.333952220198132</v>
      </c>
      <c r="J43">
        <f t="shared" si="10"/>
        <v>195.91341540750204</v>
      </c>
      <c r="K43">
        <f t="shared" si="2"/>
        <v>397.84233756580733</v>
      </c>
      <c r="L43" s="60">
        <f t="shared" si="11"/>
        <v>1.0463806144852192</v>
      </c>
      <c r="M43">
        <f t="shared" si="7"/>
        <v>0.95567519710976612</v>
      </c>
    </row>
    <row r="44" spans="3:25" x14ac:dyDescent="0.2">
      <c r="C44" s="16">
        <f t="shared" si="0"/>
        <v>124.42164</v>
      </c>
      <c r="D44" s="22">
        <v>210</v>
      </c>
      <c r="E44" s="22">
        <f t="shared" si="8"/>
        <v>0.21537816069293667</v>
      </c>
      <c r="F44" s="22">
        <f t="shared" si="3"/>
        <v>3.3155059848798761E-2</v>
      </c>
      <c r="G44" s="22">
        <f t="shared" si="9"/>
        <v>203.62596042799947</v>
      </c>
      <c r="H44" s="22">
        <f t="shared" si="4"/>
        <v>184.2487644630601</v>
      </c>
      <c r="I44" s="22">
        <f t="shared" si="5"/>
        <v>19.377195964939379</v>
      </c>
      <c r="J44">
        <f t="shared" si="10"/>
        <v>203.62596042799947</v>
      </c>
      <c r="K44">
        <f t="shared" si="2"/>
        <v>397.84233756580733</v>
      </c>
      <c r="L44" s="60">
        <f t="shared" si="11"/>
        <v>1.0313026863500263</v>
      </c>
      <c r="M44">
        <f t="shared" si="7"/>
        <v>0.9696474306095213</v>
      </c>
    </row>
    <row r="45" spans="3:25" x14ac:dyDescent="0.2">
      <c r="C45" s="16">
        <f t="shared" si="0"/>
        <v>127.38406000000001</v>
      </c>
      <c r="D45" s="22">
        <v>215</v>
      </c>
      <c r="E45" s="22">
        <f t="shared" si="8"/>
        <v>0.20547705541500286</v>
      </c>
      <c r="F45" s="22">
        <f t="shared" si="3"/>
        <v>3.2871646261735533E-2</v>
      </c>
      <c r="G45" s="22">
        <f t="shared" si="9"/>
        <v>211.61337542582689</v>
      </c>
      <c r="H45" s="22">
        <f t="shared" si="4"/>
        <v>193.12696456473819</v>
      </c>
      <c r="I45" s="22">
        <f t="shared" si="5"/>
        <v>18.486410861088732</v>
      </c>
      <c r="J45">
        <f t="shared" si="10"/>
        <v>211.61337542582692</v>
      </c>
      <c r="K45">
        <f t="shared" si="2"/>
        <v>397.84233756580733</v>
      </c>
      <c r="L45" s="60">
        <f t="shared" si="11"/>
        <v>1.0160038304164765</v>
      </c>
      <c r="M45">
        <f t="shared" si="7"/>
        <v>0.98424825779454383</v>
      </c>
    </row>
    <row r="46" spans="3:25" x14ac:dyDescent="0.2">
      <c r="C46">
        <f t="shared" si="0"/>
        <v>130.34648000000001</v>
      </c>
      <c r="D46">
        <v>220</v>
      </c>
      <c r="E46">
        <f t="shared" si="8"/>
        <v>0.19624332410244846</v>
      </c>
      <c r="F46">
        <f t="shared" si="3"/>
        <v>3.2619353162583804E-2</v>
      </c>
      <c r="G46">
        <f t="shared" si="9"/>
        <v>219.86973171659071</v>
      </c>
      <c r="H46">
        <f t="shared" si="4"/>
        <v>202.21406349233808</v>
      </c>
      <c r="I46">
        <f t="shared" si="5"/>
        <v>17.655668224252612</v>
      </c>
      <c r="J46">
        <f t="shared" si="10"/>
        <v>219.86973171659071</v>
      </c>
      <c r="K46">
        <f t="shared" si="2"/>
        <v>397.84233756580733</v>
      </c>
      <c r="L46" s="60">
        <f t="shared" si="11"/>
        <v>1.000592479384917</v>
      </c>
      <c r="M46">
        <f t="shared" si="7"/>
        <v>0.99940787143904863</v>
      </c>
    </row>
    <row r="47" spans="3:25" x14ac:dyDescent="0.2">
      <c r="C47" s="16">
        <f t="shared" si="0"/>
        <v>133.30889999999999</v>
      </c>
      <c r="D47" s="64">
        <v>225</v>
      </c>
      <c r="E47" s="64">
        <f t="shared" si="8"/>
        <v>0.18761830887029146</v>
      </c>
      <c r="F47" s="64">
        <f t="shared" si="3"/>
        <v>3.2394168477065742E-2</v>
      </c>
      <c r="G47" s="64">
        <f t="shared" si="9"/>
        <v>228.38975195309592</v>
      </c>
      <c r="H47" s="64">
        <f t="shared" si="4"/>
        <v>211.51006124585984</v>
      </c>
      <c r="I47" s="64">
        <f t="shared" si="5"/>
        <v>16.879690707236076</v>
      </c>
      <c r="J47">
        <f t="shared" si="10"/>
        <v>228.38975195309592</v>
      </c>
      <c r="K47">
        <f t="shared" si="2"/>
        <v>397.84233756580733</v>
      </c>
      <c r="L47" s="60">
        <f t="shared" si="11"/>
        <v>0.98515803829152515</v>
      </c>
      <c r="M47">
        <f t="shared" si="7"/>
        <v>1.0150655642359818</v>
      </c>
    </row>
    <row r="48" spans="3:25" x14ac:dyDescent="0.2">
      <c r="C48" s="16">
        <f t="shared" si="0"/>
        <v>136.27132</v>
      </c>
      <c r="D48" s="22">
        <v>230</v>
      </c>
      <c r="E48" s="22">
        <f t="shared" si="8"/>
        <v>0.17954965759089803</v>
      </c>
      <c r="F48" s="22">
        <f t="shared" si="3"/>
        <v>3.2192670818265483E-2</v>
      </c>
      <c r="G48" s="22">
        <f t="shared" si="9"/>
        <v>237.16872610609406</v>
      </c>
      <c r="H48" s="22">
        <f t="shared" si="4"/>
        <v>221.01495782530341</v>
      </c>
      <c r="I48" s="22">
        <f t="shared" si="5"/>
        <v>16.153768280790668</v>
      </c>
      <c r="J48">
        <f t="shared" si="10"/>
        <v>237.16872610609408</v>
      </c>
      <c r="K48">
        <f t="shared" si="2"/>
        <v>397.84233756580733</v>
      </c>
      <c r="L48" s="60">
        <f t="shared" si="11"/>
        <v>0.96977372934538064</v>
      </c>
      <c r="M48">
        <f t="shared" si="7"/>
        <v>1.0311683743743221</v>
      </c>
    </row>
    <row r="49" spans="3:13" x14ac:dyDescent="0.2">
      <c r="C49" s="16">
        <f t="shared" si="0"/>
        <v>139.23374000000001</v>
      </c>
      <c r="D49" s="22">
        <v>235</v>
      </c>
      <c r="E49" s="22">
        <f t="shared" si="8"/>
        <v>0.1719905275972568</v>
      </c>
      <c r="F49" s="22">
        <f t="shared" si="3"/>
        <v>3.2011932155251076E-2</v>
      </c>
      <c r="G49" s="22">
        <f t="shared" si="9"/>
        <v>246.20243982286124</v>
      </c>
      <c r="H49" s="22">
        <f t="shared" si="4"/>
        <v>230.72875323066879</v>
      </c>
      <c r="I49" s="22">
        <f t="shared" si="5"/>
        <v>15.473686592192422</v>
      </c>
      <c r="J49">
        <f t="shared" si="10"/>
        <v>246.20243982286121</v>
      </c>
      <c r="K49">
        <f t="shared" si="2"/>
        <v>397.84233756580733</v>
      </c>
      <c r="L49" s="60">
        <f t="shared" si="11"/>
        <v>0.95449907063910011</v>
      </c>
      <c r="M49">
        <f t="shared" si="7"/>
        <v>1.0476699566930263</v>
      </c>
    </row>
    <row r="50" spans="3:13" x14ac:dyDescent="0.2">
      <c r="C50" s="16">
        <f t="shared" si="0"/>
        <v>142.19615999999999</v>
      </c>
      <c r="D50" s="22">
        <v>240</v>
      </c>
      <c r="E50" s="22">
        <f t="shared" si="8"/>
        <v>0.16489890428052964</v>
      </c>
      <c r="F50" s="22">
        <f t="shared" si="3"/>
        <v>3.1849438158438922E-2</v>
      </c>
      <c r="G50" s="22">
        <f t="shared" si="9"/>
        <v>255.48711312261278</v>
      </c>
      <c r="H50" s="22">
        <f t="shared" si="4"/>
        <v>240.65144746195605</v>
      </c>
      <c r="I50" s="22">
        <f t="shared" si="5"/>
        <v>14.835665660656712</v>
      </c>
      <c r="J50">
        <f t="shared" si="10"/>
        <v>255.48711312261275</v>
      </c>
      <c r="K50">
        <f t="shared" si="2"/>
        <v>397.84233756580733</v>
      </c>
      <c r="L50" s="60">
        <f t="shared" si="11"/>
        <v>0.93938201839879021</v>
      </c>
      <c r="M50">
        <f t="shared" si="7"/>
        <v>1.0645296380108864</v>
      </c>
    </row>
    <row r="51" spans="3:13" x14ac:dyDescent="0.2">
      <c r="C51" s="16">
        <f t="shared" si="0"/>
        <v>145.15858</v>
      </c>
      <c r="D51" s="22">
        <v>245</v>
      </c>
      <c r="E51" s="22">
        <f t="shared" si="8"/>
        <v>0.1582370160193004</v>
      </c>
      <c r="F51" s="22">
        <f t="shared" si="3"/>
        <v>3.1703022725549021E-2</v>
      </c>
      <c r="G51" s="22">
        <f t="shared" si="9"/>
        <v>265.01934775871246</v>
      </c>
      <c r="H51" s="22">
        <f t="shared" si="4"/>
        <v>250.78304051916513</v>
      </c>
      <c r="I51" s="22">
        <f t="shared" si="5"/>
        <v>14.236307239547296</v>
      </c>
      <c r="J51">
        <f t="shared" si="10"/>
        <v>265.0193477587124</v>
      </c>
      <c r="K51">
        <f t="shared" si="2"/>
        <v>397.84233756580733</v>
      </c>
      <c r="L51" s="60">
        <f t="shared" si="11"/>
        <v>0.92446080662405417</v>
      </c>
      <c r="M51">
        <f t="shared" si="7"/>
        <v>1.0817116235049486</v>
      </c>
    </row>
    <row r="52" spans="3:13" x14ac:dyDescent="0.2">
      <c r="C52" s="16">
        <f t="shared" si="0"/>
        <v>148.12100000000001</v>
      </c>
      <c r="D52" s="22">
        <v>250</v>
      </c>
      <c r="E52" s="22">
        <f t="shared" si="8"/>
        <v>0.1519708301849361</v>
      </c>
      <c r="F52" s="22">
        <f t="shared" si="3"/>
        <v>3.1570813937802832E-2</v>
      </c>
      <c r="G52" s="22">
        <f t="shared" si="9"/>
        <v>274.79608187515726</v>
      </c>
      <c r="H52" s="22">
        <f t="shared" si="4"/>
        <v>261.12353240229606</v>
      </c>
      <c r="I52" s="22">
        <f t="shared" si="5"/>
        <v>13.672549472861222</v>
      </c>
      <c r="J52">
        <f t="shared" si="10"/>
        <v>274.79608187515731</v>
      </c>
      <c r="K52">
        <f t="shared" si="2"/>
        <v>397.84233756580733</v>
      </c>
      <c r="L52" s="60">
        <f t="shared" si="11"/>
        <v>0.9097655188314423</v>
      </c>
      <c r="M52">
        <f t="shared" si="7"/>
        <v>1.0991843275006292</v>
      </c>
    </row>
    <row r="53" spans="3:13" x14ac:dyDescent="0.2">
      <c r="C53" s="16">
        <f t="shared" si="0"/>
        <v>151.08341999999999</v>
      </c>
      <c r="D53" s="22">
        <v>255</v>
      </c>
      <c r="E53" s="22">
        <f t="shared" si="8"/>
        <v>0.14606961763257986</v>
      </c>
      <c r="F53" s="22">
        <f t="shared" si="3"/>
        <v>3.1451189271577848E-2</v>
      </c>
      <c r="G53" s="22">
        <f t="shared" si="9"/>
        <v>284.81455082459496</v>
      </c>
      <c r="H53" s="22">
        <f t="shared" si="4"/>
        <v>271.67292311134884</v>
      </c>
      <c r="I53" s="22">
        <f t="shared" si="5"/>
        <v>13.141627713246081</v>
      </c>
      <c r="J53">
        <f t="shared" si="10"/>
        <v>284.8145508245949</v>
      </c>
      <c r="K53">
        <f t="shared" si="2"/>
        <v>397.84233756580733</v>
      </c>
      <c r="L53" s="60">
        <f t="shared" si="11"/>
        <v>0.89531942543568843</v>
      </c>
      <c r="M53">
        <f t="shared" si="7"/>
        <v>1.1169198071552742</v>
      </c>
    </row>
    <row r="54" spans="3:13" x14ac:dyDescent="0.2">
      <c r="C54" s="16">
        <f t="shared" si="0"/>
        <v>154.04584</v>
      </c>
      <c r="D54" s="22">
        <v>260</v>
      </c>
      <c r="E54" s="22">
        <f t="shared" si="8"/>
        <v>0.14050557524494833</v>
      </c>
      <c r="F54" s="22">
        <f t="shared" si="3"/>
        <v>3.1342738337361772E-2</v>
      </c>
      <c r="G54" s="22">
        <f t="shared" si="9"/>
        <v>295.07225320924988</v>
      </c>
      <c r="H54" s="22">
        <f t="shared" si="4"/>
        <v>282.43121264632344</v>
      </c>
      <c r="I54" s="22">
        <f t="shared" si="5"/>
        <v>12.641040562926431</v>
      </c>
      <c r="J54">
        <f t="shared" si="10"/>
        <v>295.07225320924988</v>
      </c>
      <c r="K54">
        <f t="shared" si="2"/>
        <v>397.84233756580733</v>
      </c>
      <c r="L54" s="60">
        <f t="shared" si="11"/>
        <v>0.88114011796162184</v>
      </c>
      <c r="M54">
        <f t="shared" si="7"/>
        <v>1.134893281574038</v>
      </c>
    </row>
    <row r="55" spans="3:13" x14ac:dyDescent="0.2">
      <c r="C55" s="16">
        <f t="shared" si="0"/>
        <v>157.00826000000001</v>
      </c>
      <c r="D55" s="22">
        <v>265</v>
      </c>
      <c r="E55" s="22">
        <f t="shared" si="8"/>
        <v>0.13525349785060173</v>
      </c>
      <c r="F55" s="22">
        <f t="shared" si="3"/>
        <v>3.1244231766259588E-2</v>
      </c>
      <c r="G55" s="22">
        <f t="shared" si="9"/>
        <v>305.56692136398499</v>
      </c>
      <c r="H55" s="22">
        <f t="shared" si="4"/>
        <v>293.39840100721989</v>
      </c>
      <c r="I55" s="22">
        <f t="shared" si="5"/>
        <v>12.168520356765066</v>
      </c>
      <c r="J55">
        <f t="shared" si="10"/>
        <v>305.56692136398493</v>
      </c>
      <c r="K55">
        <f t="shared" si="2"/>
        <v>397.84233756580733</v>
      </c>
      <c r="L55" s="60">
        <f t="shared" si="11"/>
        <v>0.86724046836318891</v>
      </c>
      <c r="M55">
        <f t="shared" si="7"/>
        <v>1.1530827221282449</v>
      </c>
    </row>
    <row r="56" spans="3:13" x14ac:dyDescent="0.2">
      <c r="C56" s="16">
        <f t="shared" si="0"/>
        <v>159.97068000000002</v>
      </c>
      <c r="D56" s="22">
        <v>270</v>
      </c>
      <c r="E56" s="22">
        <f t="shared" si="8"/>
        <v>0.13029049227103576</v>
      </c>
      <c r="F56" s="22">
        <f t="shared" si="3"/>
        <v>3.1154595137473835E-2</v>
      </c>
      <c r="G56" s="22">
        <f t="shared" si="9"/>
        <v>316.29649562961873</v>
      </c>
      <c r="H56" s="22">
        <f t="shared" si="4"/>
        <v>304.57448819403811</v>
      </c>
      <c r="I56" s="22">
        <f t="shared" si="5"/>
        <v>11.722007435580611</v>
      </c>
      <c r="J56">
        <f t="shared" si="10"/>
        <v>316.29649562961873</v>
      </c>
      <c r="K56">
        <f t="shared" si="2"/>
        <v>397.84233756580733</v>
      </c>
      <c r="L56" s="60">
        <f t="shared" si="11"/>
        <v>0.85362943861435747</v>
      </c>
      <c r="M56">
        <f t="shared" si="7"/>
        <v>1.1714685023319211</v>
      </c>
    </row>
    <row r="57" spans="3:13" x14ac:dyDescent="0.2">
      <c r="C57" s="16">
        <f t="shared" si="0"/>
        <v>162.9331</v>
      </c>
      <c r="D57" s="22">
        <v>275</v>
      </c>
      <c r="E57" s="22">
        <f t="shared" si="8"/>
        <v>0.12559572742556702</v>
      </c>
      <c r="F57" s="22">
        <f t="shared" si="3"/>
        <v>3.1072887055394325E-2</v>
      </c>
      <c r="G57" s="22">
        <f t="shared" si="9"/>
        <v>327.2591018702999</v>
      </c>
      <c r="H57" s="22">
        <f t="shared" si="4"/>
        <v>315.95947420677828</v>
      </c>
      <c r="I57" s="22">
        <f t="shared" si="5"/>
        <v>11.299627663521671</v>
      </c>
      <c r="J57">
        <f t="shared" si="10"/>
        <v>327.25910187029996</v>
      </c>
      <c r="K57">
        <f t="shared" si="2"/>
        <v>397.84233756580733</v>
      </c>
      <c r="L57" s="60">
        <f t="shared" si="11"/>
        <v>0.84031276266531041</v>
      </c>
      <c r="M57">
        <f t="shared" si="7"/>
        <v>1.1900330977101816</v>
      </c>
    </row>
    <row r="58" spans="3:13" x14ac:dyDescent="0.2">
      <c r="C58" s="16">
        <f t="shared" si="0"/>
        <v>165.89552</v>
      </c>
      <c r="D58" s="22">
        <v>280</v>
      </c>
      <c r="E58" s="22">
        <f t="shared" si="8"/>
        <v>0.12115021538977687</v>
      </c>
      <c r="F58" s="22">
        <f t="shared" si="3"/>
        <v>3.0998280655283983E-2</v>
      </c>
      <c r="G58" s="22">
        <f t="shared" si="9"/>
        <v>338.45303177571861</v>
      </c>
      <c r="H58" s="22">
        <f t="shared" si="4"/>
        <v>327.55335904544017</v>
      </c>
      <c r="I58" s="22">
        <f t="shared" si="5"/>
        <v>10.899672730278398</v>
      </c>
      <c r="J58">
        <f t="shared" si="10"/>
        <v>338.45303177571856</v>
      </c>
      <c r="K58">
        <f t="shared" si="2"/>
        <v>397.84233756580733</v>
      </c>
      <c r="L58" s="60">
        <f t="shared" si="11"/>
        <v>0.82729351996334477</v>
      </c>
      <c r="M58">
        <f t="shared" si="7"/>
        <v>1.2087608277704234</v>
      </c>
    </row>
    <row r="59" spans="3:13" x14ac:dyDescent="0.2">
      <c r="C59" s="16">
        <f t="shared" si="0"/>
        <v>168.85794000000001</v>
      </c>
      <c r="D59" s="22">
        <v>285</v>
      </c>
      <c r="E59" s="22">
        <f t="shared" si="8"/>
        <v>0.11693661910198223</v>
      </c>
      <c r="F59" s="22">
        <f t="shared" si="3"/>
        <v>3.0930047951991262E-2</v>
      </c>
      <c r="G59" s="22">
        <f t="shared" si="9"/>
        <v>349.8767255607944</v>
      </c>
      <c r="H59" s="22">
        <f t="shared" si="4"/>
        <v>339.35614271002396</v>
      </c>
      <c r="I59" s="22">
        <f t="shared" si="5"/>
        <v>10.520582850770412</v>
      </c>
      <c r="J59">
        <f t="shared" si="10"/>
        <v>349.8767255607944</v>
      </c>
      <c r="K59">
        <f t="shared" si="2"/>
        <v>397.84233756580733</v>
      </c>
      <c r="L59" s="60">
        <f t="shared" si="11"/>
        <v>0.81457261709304107</v>
      </c>
      <c r="M59">
        <f t="shared" si="7"/>
        <v>1.227637633546647</v>
      </c>
    </row>
    <row r="60" spans="3:13" x14ac:dyDescent="0.2">
      <c r="C60" s="16">
        <f t="shared" si="0"/>
        <v>171.82035999999999</v>
      </c>
      <c r="D60" s="22">
        <v>290</v>
      </c>
      <c r="E60" s="22">
        <f t="shared" si="8"/>
        <v>0.11293908307441745</v>
      </c>
      <c r="F60" s="22">
        <f t="shared" si="3"/>
        <v>3.086754655427508E-2</v>
      </c>
      <c r="G60" s="22">
        <f t="shared" si="9"/>
        <v>361.52875673505781</v>
      </c>
      <c r="H60" s="22">
        <f t="shared" si="4"/>
        <v>351.36782520052958</v>
      </c>
      <c r="I60" s="22">
        <f t="shared" si="5"/>
        <v>10.16093153452826</v>
      </c>
      <c r="J60">
        <f t="shared" si="10"/>
        <v>361.52875673505787</v>
      </c>
      <c r="K60">
        <f t="shared" si="2"/>
        <v>397.84233756580733</v>
      </c>
      <c r="L60" s="60">
        <f t="shared" si="11"/>
        <v>0.80214919172397425</v>
      </c>
      <c r="M60">
        <f t="shared" si="7"/>
        <v>1.2466508852933029</v>
      </c>
    </row>
    <row r="61" spans="3:13" x14ac:dyDescent="0.2">
      <c r="C61" s="16">
        <f t="shared" si="0"/>
        <v>174.78278</v>
      </c>
      <c r="D61" s="22">
        <v>295</v>
      </c>
      <c r="E61" s="22">
        <f t="shared" si="8"/>
        <v>0.10914308401675964</v>
      </c>
      <c r="F61" s="22">
        <f t="shared" si="3"/>
        <v>3.0810208354052314E-2</v>
      </c>
      <c r="G61" s="22">
        <f t="shared" si="9"/>
        <v>373.40781866351062</v>
      </c>
      <c r="H61" s="22">
        <f t="shared" si="4"/>
        <v>363.58840651695704</v>
      </c>
      <c r="I61" s="22">
        <f t="shared" si="5"/>
        <v>9.819412146553594</v>
      </c>
      <c r="J61">
        <f t="shared" si="10"/>
        <v>373.40781866351062</v>
      </c>
      <c r="K61">
        <f t="shared" si="2"/>
        <v>397.84233756580733</v>
      </c>
      <c r="L61" s="60">
        <f t="shared" si="11"/>
        <v>0.79002095096951797</v>
      </c>
      <c r="M61">
        <f t="shared" si="7"/>
        <v>1.2657892158085107</v>
      </c>
    </row>
    <row r="62" spans="3:13" x14ac:dyDescent="0.2">
      <c r="C62" s="16">
        <f t="shared" si="0"/>
        <v>177.74520000000001</v>
      </c>
      <c r="D62" s="22">
        <v>300</v>
      </c>
      <c r="E62" s="22">
        <f t="shared" si="8"/>
        <v>0.10553529873953897</v>
      </c>
      <c r="F62" s="22">
        <f t="shared" si="3"/>
        <v>3.0757529869696581E-2</v>
      </c>
      <c r="G62" s="22">
        <f t="shared" si="9"/>
        <v>385.51271268212662</v>
      </c>
      <c r="H62" s="22">
        <f t="shared" si="4"/>
        <v>376.01788665930633</v>
      </c>
      <c r="I62" s="22">
        <f t="shared" si="5"/>
        <v>9.4948260228202948</v>
      </c>
      <c r="J62">
        <f t="shared" si="10"/>
        <v>385.51271268212662</v>
      </c>
      <c r="K62">
        <f t="shared" si="2"/>
        <v>397.84233756580733</v>
      </c>
      <c r="L62" s="60">
        <f t="shared" si="11"/>
        <v>0.77818445444460382</v>
      </c>
      <c r="M62">
        <f t="shared" si="7"/>
        <v>1.2850423756070888</v>
      </c>
    </row>
    <row r="63" spans="3:13" x14ac:dyDescent="0.2">
      <c r="C63" s="62">
        <f t="shared" si="0"/>
        <v>180.70761999999999</v>
      </c>
      <c r="D63" s="63">
        <v>305</v>
      </c>
      <c r="E63" s="63">
        <f t="shared" si="8"/>
        <v>0.102103487090121</v>
      </c>
      <c r="F63" s="63">
        <f t="shared" si="3"/>
        <v>3.0709063978942679E-2</v>
      </c>
      <c r="G63" s="63">
        <f t="shared" si="9"/>
        <v>397.84233756580727</v>
      </c>
      <c r="H63" s="63">
        <f t="shared" si="4"/>
        <v>388.65626562757751</v>
      </c>
      <c r="I63" s="63">
        <f t="shared" si="5"/>
        <v>9.1860719382297926</v>
      </c>
      <c r="J63">
        <f t="shared" si="10"/>
        <v>397.84233756580733</v>
      </c>
      <c r="K63">
        <f t="shared" si="2"/>
        <v>397.84233756580733</v>
      </c>
      <c r="L63" s="60">
        <f t="shared" si="11"/>
        <v>0.76663535074255329</v>
      </c>
      <c r="M63">
        <f t="shared" si="7"/>
        <v>1.3044011067731387</v>
      </c>
    </row>
    <row r="64" spans="3:13" x14ac:dyDescent="0.2">
      <c r="C64" s="16">
        <f t="shared" si="0"/>
        <v>183.67004</v>
      </c>
      <c r="D64" s="22">
        <v>310</v>
      </c>
      <c r="E64" s="22">
        <f t="shared" si="8"/>
        <v>9.8836387997487049E-2</v>
      </c>
      <c r="F64" s="22">
        <f t="shared" si="3"/>
        <v>3.0664412822723284E-2</v>
      </c>
      <c r="G64" s="22">
        <f t="shared" si="9"/>
        <v>410.39568017571247</v>
      </c>
      <c r="H64" s="22">
        <f t="shared" si="4"/>
        <v>401.50354342177047</v>
      </c>
      <c r="I64" s="22">
        <f t="shared" si="5"/>
        <v>8.8921367539420011</v>
      </c>
      <c r="J64">
        <f t="shared" si="10"/>
        <v>410.39568017571247</v>
      </c>
      <c r="K64">
        <f t="shared" si="2"/>
        <v>397.84233756580733</v>
      </c>
      <c r="L64" s="60">
        <f t="shared" si="11"/>
        <v>0.75536857470642071</v>
      </c>
      <c r="M64">
        <f t="shared" si="7"/>
        <v>1.3238570328248789</v>
      </c>
    </row>
    <row r="65" spans="3:13" x14ac:dyDescent="0.2">
      <c r="C65" s="16">
        <f t="shared" si="0"/>
        <v>186.63246000000001</v>
      </c>
      <c r="D65" s="22">
        <v>315</v>
      </c>
      <c r="E65" s="22">
        <f t="shared" si="8"/>
        <v>9.5723626974638515E-2</v>
      </c>
      <c r="F65" s="22">
        <f t="shared" si="3"/>
        <v>3.0623221698528151E-2</v>
      </c>
      <c r="G65" s="22">
        <f t="shared" si="9"/>
        <v>423.17180713741391</v>
      </c>
      <c r="H65" s="22">
        <f t="shared" si="4"/>
        <v>414.55972004188527</v>
      </c>
      <c r="I65" s="22">
        <f t="shared" si="5"/>
        <v>8.6120870955286133</v>
      </c>
      <c r="J65">
        <f t="shared" si="10"/>
        <v>423.17180713741391</v>
      </c>
      <c r="K65">
        <f t="shared" si="2"/>
        <v>397.84233756580733</v>
      </c>
      <c r="L65" s="60">
        <f t="shared" si="11"/>
        <v>0.74437851172280967</v>
      </c>
      <c r="M65">
        <f t="shared" si="7"/>
        <v>1.3434025623409964</v>
      </c>
    </row>
    <row r="66" spans="3:13" x14ac:dyDescent="0.2">
      <c r="C66" s="16">
        <f t="shared" ref="C66:C73" si="12">D66*0.592484</f>
        <v>189.59487999999999</v>
      </c>
      <c r="D66" s="22">
        <v>320</v>
      </c>
      <c r="E66" s="22">
        <f t="shared" si="8"/>
        <v>9.2755633657797917E-2</v>
      </c>
      <c r="F66" s="22">
        <f t="shared" si="3"/>
        <v>3.0585173792318565E-2</v>
      </c>
      <c r="G66" s="22">
        <f t="shared" si="9"/>
        <v>436.16985742204133</v>
      </c>
      <c r="H66" s="22">
        <f t="shared" si="4"/>
        <v>427.8247954879219</v>
      </c>
      <c r="I66" s="22">
        <f t="shared" si="5"/>
        <v>8.3450619341193999</v>
      </c>
      <c r="J66">
        <f t="shared" ref="J66:J73" si="13">H66+I66</f>
        <v>436.16985742204133</v>
      </c>
      <c r="K66">
        <f t="shared" ref="K66:K73" si="14">$J$63</f>
        <v>397.84233756580733</v>
      </c>
      <c r="L66" s="60">
        <f t="shared" si="11"/>
        <v>0.73365913429080798</v>
      </c>
      <c r="M66">
        <f t="shared" si="7"/>
        <v>1.3630308044438793</v>
      </c>
    </row>
    <row r="67" spans="3:13" x14ac:dyDescent="0.2">
      <c r="C67" s="16">
        <f t="shared" si="12"/>
        <v>192.5573</v>
      </c>
      <c r="D67" s="22">
        <v>325</v>
      </c>
      <c r="E67" s="22">
        <f t="shared" si="8"/>
        <v>8.9923568156766928E-2</v>
      </c>
      <c r="F67" s="22">
        <f t="shared" ref="F67:F73" si="15">$B$6+$B$8*E67^2</f>
        <v>3.0549985622983378E-2</v>
      </c>
      <c r="G67" s="22">
        <f t="shared" si="9"/>
        <v>449.38903572015323</v>
      </c>
      <c r="H67" s="22">
        <f t="shared" ref="H67:H73" si="16">(0.5*$B$2*D67^2)*$B$4*$B$6</f>
        <v>441.29876975988037</v>
      </c>
      <c r="I67" s="22">
        <f t="shared" ref="I67:I73" si="17">(0.5*$B$2*D67^2)*$B$4*E67^2/(PI()*$B$7*$B$5)</f>
        <v>8.0902659602729141</v>
      </c>
      <c r="J67">
        <f t="shared" si="13"/>
        <v>449.38903572015329</v>
      </c>
      <c r="K67">
        <f t="shared" si="14"/>
        <v>397.84233756580733</v>
      </c>
      <c r="L67" s="60">
        <f t="shared" ref="L67:L73" si="18">D67/J67</f>
        <v>0.72320411529218143</v>
      </c>
      <c r="M67">
        <f t="shared" ref="M67:M73" si="19">J67/D67</f>
        <v>1.3827354945235486</v>
      </c>
    </row>
    <row r="68" spans="3:13" x14ac:dyDescent="0.2">
      <c r="C68" s="16">
        <f t="shared" si="12"/>
        <v>195.51972000000001</v>
      </c>
      <c r="D68" s="22">
        <v>330</v>
      </c>
      <c r="E68" s="22">
        <f t="shared" ref="E68:E73" si="20">(2*$B$3)/(($B$2*D68^2)*$B$4)</f>
        <v>8.7219255156643777E-2</v>
      </c>
      <c r="F68" s="22">
        <f t="shared" si="15"/>
        <v>3.0517403093843713E-2</v>
      </c>
      <c r="G68" s="22">
        <f t="shared" ref="G68:G73" si="21">0.5*$B$2*D68^2*$B$4*F68</f>
        <v>462.82860651298404</v>
      </c>
      <c r="H68" s="22">
        <f t="shared" si="16"/>
        <v>454.98164285776068</v>
      </c>
      <c r="I68" s="22">
        <f t="shared" si="17"/>
        <v>7.8469636552233846</v>
      </c>
      <c r="J68">
        <f t="shared" si="13"/>
        <v>462.82860651298404</v>
      </c>
      <c r="K68">
        <f t="shared" si="14"/>
        <v>397.84233756580733</v>
      </c>
      <c r="L68" s="60">
        <f t="shared" si="18"/>
        <v>0.71300692169022684</v>
      </c>
      <c r="M68">
        <f t="shared" si="19"/>
        <v>1.4025109288272244</v>
      </c>
    </row>
    <row r="69" spans="3:13" x14ac:dyDescent="0.2">
      <c r="C69" s="16">
        <f t="shared" si="12"/>
        <v>198.48214000000002</v>
      </c>
      <c r="D69" s="22">
        <v>335</v>
      </c>
      <c r="E69" s="22">
        <f t="shared" si="20"/>
        <v>8.4635124852381435E-2</v>
      </c>
      <c r="F69" s="22">
        <f t="shared" si="15"/>
        <v>3.0487198062642159E-2</v>
      </c>
      <c r="G69" s="22">
        <f t="shared" si="21"/>
        <v>476.48788875842922</v>
      </c>
      <c r="H69" s="22">
        <f t="shared" si="16"/>
        <v>468.87341478156281</v>
      </c>
      <c r="I69" s="22">
        <f t="shared" si="17"/>
        <v>7.6144739768663543</v>
      </c>
      <c r="J69">
        <f t="shared" si="13"/>
        <v>476.48788875842916</v>
      </c>
      <c r="K69">
        <f t="shared" si="14"/>
        <v>397.84233756580733</v>
      </c>
      <c r="L69" s="60">
        <f t="shared" si="18"/>
        <v>0.70306089179496234</v>
      </c>
      <c r="M69">
        <f t="shared" si="19"/>
        <v>1.4223519067415795</v>
      </c>
    </row>
    <row r="70" spans="3:13" x14ac:dyDescent="0.2">
      <c r="C70" s="16">
        <f t="shared" si="12"/>
        <v>201.44456</v>
      </c>
      <c r="D70" s="22">
        <v>340</v>
      </c>
      <c r="E70" s="22">
        <f t="shared" si="20"/>
        <v>8.2164159918326179E-2</v>
      </c>
      <c r="F70" s="22">
        <f t="shared" si="15"/>
        <v>3.0459165355460175E-2</v>
      </c>
      <c r="G70" s="22">
        <f t="shared" si="21"/>
        <v>490.36625111998774</v>
      </c>
      <c r="H70" s="22">
        <f t="shared" si="16"/>
        <v>482.97408553128685</v>
      </c>
      <c r="I70" s="22">
        <f t="shared" si="17"/>
        <v>7.3921655887009221</v>
      </c>
      <c r="J70">
        <f t="shared" si="13"/>
        <v>490.36625111998779</v>
      </c>
      <c r="K70">
        <f t="shared" si="14"/>
        <v>397.84233756580733</v>
      </c>
      <c r="L70" s="60">
        <f t="shared" si="18"/>
        <v>0.69335929873527402</v>
      </c>
      <c r="M70">
        <f t="shared" si="19"/>
        <v>1.4422536797646699</v>
      </c>
    </row>
    <row r="71" spans="3:13" x14ac:dyDescent="0.2">
      <c r="C71" s="16">
        <f t="shared" si="12"/>
        <v>204.40698</v>
      </c>
      <c r="D71" s="22">
        <v>345</v>
      </c>
      <c r="E71" s="22">
        <f t="shared" si="20"/>
        <v>7.9799847818176894E-2</v>
      </c>
      <c r="F71" s="22">
        <f t="shared" si="15"/>
        <v>3.0433120161632687E-2</v>
      </c>
      <c r="G71" s="22">
        <f t="shared" si="21"/>
        <v>504.46310767617297</v>
      </c>
      <c r="H71" s="22">
        <f t="shared" si="16"/>
        <v>497.28365510693271</v>
      </c>
      <c r="I71" s="22">
        <f t="shared" si="17"/>
        <v>7.1794525692402971</v>
      </c>
      <c r="J71">
        <f t="shared" si="13"/>
        <v>504.46310767617302</v>
      </c>
      <c r="K71">
        <f t="shared" si="14"/>
        <v>397.84233756580733</v>
      </c>
      <c r="L71" s="60">
        <f t="shared" si="18"/>
        <v>0.68389540236005475</v>
      </c>
      <c r="M71">
        <f t="shared" si="19"/>
        <v>1.4622119063077479</v>
      </c>
    </row>
    <row r="72" spans="3:13" x14ac:dyDescent="0.2">
      <c r="C72" s="16">
        <f t="shared" si="12"/>
        <v>207.36940000000001</v>
      </c>
      <c r="D72" s="22">
        <v>350</v>
      </c>
      <c r="E72" s="22">
        <f t="shared" si="20"/>
        <v>7.7536137849457204E-2</v>
      </c>
      <c r="F72" s="22">
        <f t="shared" si="15"/>
        <v>3.0408895756404319E-2</v>
      </c>
      <c r="G72" s="22">
        <f t="shared" si="21"/>
        <v>518.77791405587845</v>
      </c>
      <c r="H72" s="22">
        <f t="shared" si="16"/>
        <v>511.8021235085003</v>
      </c>
      <c r="I72" s="22">
        <f t="shared" si="17"/>
        <v>6.9757905473781774</v>
      </c>
      <c r="J72">
        <f t="shared" si="13"/>
        <v>518.77791405587845</v>
      </c>
      <c r="K72">
        <f t="shared" si="14"/>
        <v>397.84233756580733</v>
      </c>
      <c r="L72" s="60">
        <f t="shared" si="18"/>
        <v>0.67466249143810098</v>
      </c>
      <c r="M72">
        <f t="shared" si="19"/>
        <v>1.4822226115882242</v>
      </c>
    </row>
    <row r="73" spans="3:13" ht="16" thickBot="1" x14ac:dyDescent="0.25">
      <c r="C73" s="18">
        <f t="shared" si="12"/>
        <v>210.33181999999999</v>
      </c>
      <c r="D73" s="23">
        <v>355</v>
      </c>
      <c r="E73" s="23">
        <f t="shared" si="20"/>
        <v>7.5367402392846713E-2</v>
      </c>
      <c r="F73" s="23">
        <f t="shared" si="15"/>
        <v>3.0386341506147024E-2</v>
      </c>
      <c r="G73" s="23">
        <f t="shared" si="21"/>
        <v>533.31016395204881</v>
      </c>
      <c r="H73" s="23">
        <f t="shared" si="16"/>
        <v>526.52949073598984</v>
      </c>
      <c r="I73" s="23">
        <f t="shared" si="17"/>
        <v>6.78067321605893</v>
      </c>
      <c r="J73">
        <f t="shared" si="13"/>
        <v>533.31016395204881</v>
      </c>
      <c r="K73">
        <f t="shared" si="14"/>
        <v>397.84233756580733</v>
      </c>
      <c r="L73" s="60">
        <f t="shared" si="18"/>
        <v>0.66565391773016891</v>
      </c>
      <c r="M73">
        <f t="shared" si="19"/>
        <v>1.5022821519776022</v>
      </c>
    </row>
  </sheetData>
  <mergeCells count="1">
    <mergeCell ref="A10:B10"/>
  </mergeCells>
  <conditionalFormatting sqref="D2:D73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{11422AF1-1F30-4582-91F2-71DC65BDCA87}</x14:id>
        </ext>
      </extLst>
    </cfRule>
  </conditionalFormatting>
  <conditionalFormatting sqref="E24:E73">
    <cfRule type="dataBar" priority="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{9F893663-5C65-4CE8-9068-F41435DA19ED}</x14:id>
        </ext>
      </extLst>
    </cfRule>
  </conditionalFormatting>
  <conditionalFormatting sqref="F24:F73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{FF9ADD02-F418-4472-AAB8-DC9CBF69AC62}</x14:id>
        </ext>
      </extLst>
    </cfRule>
  </conditionalFormatting>
  <conditionalFormatting sqref="G24:G73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{18B4C63C-577F-4754-8481-F0D6DFB10298}</x14:id>
        </ext>
      </extLst>
    </cfRule>
  </conditionalFormatting>
  <conditionalFormatting sqref="H24:H73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{B5F59848-3A36-4EA2-8679-378ABE5EB182}</x14:id>
        </ext>
      </extLst>
    </cfRule>
  </conditionalFormatting>
  <conditionalFormatting sqref="L3:L73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{4CACFBF6-41FE-49CE-BF39-B72596D843B4}</x14:id>
        </ext>
      </extLst>
    </cfRule>
  </conditionalFormatting>
  <pageMargins left="0.7" right="0.7" top="0.75" bottom="0.75" header="0.3" footer="0.3"/>
  <pageSetup orientation="portrait" horizontalDpi="300" verticalDpi="30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1422AF1-1F30-4582-91F2-71DC65BDCA8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D2:D73</xm:sqref>
        </x14:conditionalFormatting>
        <x14:conditionalFormatting xmlns:xm="http://schemas.microsoft.com/office/excel/2006/main">
          <x14:cfRule type="dataBar" id="{9F893663-5C65-4CE8-9068-F41435DA19E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E24:E73</xm:sqref>
        </x14:conditionalFormatting>
        <x14:conditionalFormatting xmlns:xm="http://schemas.microsoft.com/office/excel/2006/main">
          <x14:cfRule type="dataBar" id="{FF9ADD02-F418-4472-AAB8-DC9CBF69AC6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F24:F73</xm:sqref>
        </x14:conditionalFormatting>
        <x14:conditionalFormatting xmlns:xm="http://schemas.microsoft.com/office/excel/2006/main">
          <x14:cfRule type="dataBar" id="{18B4C63C-577F-4754-8481-F0D6DFB1029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G24:G73</xm:sqref>
        </x14:conditionalFormatting>
        <x14:conditionalFormatting xmlns:xm="http://schemas.microsoft.com/office/excel/2006/main">
          <x14:cfRule type="dataBar" id="{B5F59848-3A36-4EA2-8679-378ABE5EB18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H24:H73</xm:sqref>
        </x14:conditionalFormatting>
        <x14:conditionalFormatting xmlns:xm="http://schemas.microsoft.com/office/excel/2006/main">
          <x14:cfRule type="dataBar" id="{4CACFBF6-41FE-49CE-BF39-B72596D843B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L3:L73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97DF1-400F-4E58-99D9-96C7FBA626EC}">
  <dimension ref="A1:O46"/>
  <sheetViews>
    <sheetView topLeftCell="A12" zoomScaleNormal="100" workbookViewId="0">
      <selection activeCell="J49" sqref="J49"/>
    </sheetView>
  </sheetViews>
  <sheetFormatPr baseColWidth="10" defaultColWidth="8.83203125" defaultRowHeight="15" x14ac:dyDescent="0.2"/>
  <cols>
    <col min="1" max="1" width="12" bestFit="1" customWidth="1"/>
    <col min="2" max="3" width="12.5" bestFit="1" customWidth="1"/>
    <col min="4" max="4" width="12" bestFit="1" customWidth="1"/>
  </cols>
  <sheetData>
    <row r="1" spans="1:14" x14ac:dyDescent="0.2">
      <c r="A1" t="s">
        <v>193</v>
      </c>
      <c r="C1">
        <v>1323</v>
      </c>
      <c r="D1" t="s">
        <v>124</v>
      </c>
      <c r="H1" t="s">
        <v>192</v>
      </c>
      <c r="I1">
        <v>-5.05</v>
      </c>
      <c r="J1" t="s">
        <v>179</v>
      </c>
      <c r="K1">
        <f>RADIANS(I1)</f>
        <v>-8.813912722571364E-2</v>
      </c>
      <c r="L1" t="s">
        <v>178</v>
      </c>
    </row>
    <row r="2" spans="1:14" x14ac:dyDescent="0.2">
      <c r="A2" t="s">
        <v>191</v>
      </c>
      <c r="C2">
        <v>4.2651000000000003</v>
      </c>
      <c r="D2" t="s">
        <v>39</v>
      </c>
      <c r="H2" t="s">
        <v>190</v>
      </c>
      <c r="I2">
        <v>700</v>
      </c>
      <c r="J2" t="s">
        <v>81</v>
      </c>
      <c r="K2">
        <v>450</v>
      </c>
      <c r="L2" t="s">
        <v>36</v>
      </c>
    </row>
    <row r="3" spans="1:14" x14ac:dyDescent="0.2">
      <c r="A3" t="s">
        <v>189</v>
      </c>
      <c r="C3">
        <f>2*PI()*C2^2</f>
        <v>114.29791407418968</v>
      </c>
      <c r="D3" t="s">
        <v>132</v>
      </c>
      <c r="H3" t="s">
        <v>44</v>
      </c>
      <c r="I3">
        <v>9842.52</v>
      </c>
      <c r="J3" t="s">
        <v>39</v>
      </c>
    </row>
    <row r="4" spans="1:14" x14ac:dyDescent="0.2">
      <c r="A4" t="s">
        <v>188</v>
      </c>
      <c r="C4">
        <v>1.61</v>
      </c>
      <c r="D4" t="s">
        <v>39</v>
      </c>
      <c r="H4" t="s">
        <v>62</v>
      </c>
      <c r="I4">
        <f>0.002377*(1-0.00198*I3/288.16)^4.2553</f>
        <v>1.7644880723833201E-3</v>
      </c>
      <c r="J4" t="s">
        <v>187</v>
      </c>
    </row>
    <row r="5" spans="1:14" x14ac:dyDescent="0.2">
      <c r="A5" t="s">
        <v>186</v>
      </c>
      <c r="C5">
        <v>2</v>
      </c>
      <c r="D5" t="s">
        <v>185</v>
      </c>
      <c r="H5" t="s">
        <v>184</v>
      </c>
      <c r="I5">
        <f>I2/C2</f>
        <v>164.12276382734285</v>
      </c>
      <c r="J5" t="s">
        <v>183</v>
      </c>
    </row>
    <row r="6" spans="1:14" x14ac:dyDescent="0.2">
      <c r="A6" t="s">
        <v>182</v>
      </c>
      <c r="C6">
        <v>300</v>
      </c>
      <c r="D6" t="s">
        <v>181</v>
      </c>
      <c r="H6" t="s">
        <v>180</v>
      </c>
      <c r="I6" s="31">
        <v>5</v>
      </c>
      <c r="J6" t="s">
        <v>179</v>
      </c>
      <c r="K6" s="31">
        <f>RADIANS(I6)</f>
        <v>8.7266462599716474E-2</v>
      </c>
      <c r="L6" t="s">
        <v>178</v>
      </c>
    </row>
    <row r="7" spans="1:14" x14ac:dyDescent="0.2">
      <c r="A7" t="s">
        <v>177</v>
      </c>
      <c r="C7">
        <v>140</v>
      </c>
      <c r="D7" t="s">
        <v>36</v>
      </c>
      <c r="H7" t="s">
        <v>176</v>
      </c>
      <c r="I7">
        <v>0.27500000000000002</v>
      </c>
      <c r="J7" t="s">
        <v>39</v>
      </c>
    </row>
    <row r="8" spans="1:14" x14ac:dyDescent="0.2">
      <c r="A8" t="s">
        <v>70</v>
      </c>
      <c r="C8">
        <v>9000</v>
      </c>
      <c r="D8" t="s">
        <v>39</v>
      </c>
      <c r="H8" t="s">
        <v>175</v>
      </c>
      <c r="I8">
        <f>SQRT(C1/(2*I4*C3))</f>
        <v>57.271216551484521</v>
      </c>
      <c r="J8" t="s">
        <v>81</v>
      </c>
    </row>
    <row r="9" spans="1:14" x14ac:dyDescent="0.2">
      <c r="A9" t="s">
        <v>174</v>
      </c>
      <c r="C9">
        <v>0.1</v>
      </c>
      <c r="D9" t="s">
        <v>173</v>
      </c>
      <c r="H9" t="s">
        <v>172</v>
      </c>
      <c r="I9">
        <f>2*PI()</f>
        <v>6.2831853071795862</v>
      </c>
    </row>
    <row r="10" spans="1:14" x14ac:dyDescent="0.2">
      <c r="A10" t="s">
        <v>171</v>
      </c>
      <c r="C10">
        <v>0.44</v>
      </c>
      <c r="H10" t="s">
        <v>96</v>
      </c>
      <c r="I10">
        <v>8.0000000000000002E-3</v>
      </c>
    </row>
    <row r="11" spans="1:14" x14ac:dyDescent="0.2">
      <c r="A11" t="s">
        <v>170</v>
      </c>
      <c r="C11">
        <f>C1/C3</f>
        <v>11.575014388637516</v>
      </c>
      <c r="D11" t="s">
        <v>89</v>
      </c>
      <c r="H11" t="s">
        <v>169</v>
      </c>
      <c r="I11" s="31">
        <f>-(I6+I1)/(C2*(1-C9))</f>
        <v>1.3025616176773195E-2</v>
      </c>
      <c r="J11" t="s">
        <v>168</v>
      </c>
      <c r="K11" s="31">
        <f>RADIANS(I11)</f>
        <v>2.27339889385728E-4</v>
      </c>
      <c r="L11" t="s">
        <v>167</v>
      </c>
    </row>
    <row r="12" spans="1:14" x14ac:dyDescent="0.2">
      <c r="A12" t="s">
        <v>166</v>
      </c>
      <c r="C12">
        <v>0.11</v>
      </c>
      <c r="H12" t="s">
        <v>165</v>
      </c>
      <c r="I12">
        <v>10</v>
      </c>
    </row>
    <row r="13" spans="1:14" x14ac:dyDescent="0.2">
      <c r="A13" t="s">
        <v>127</v>
      </c>
      <c r="C13">
        <v>1.1499999999999999</v>
      </c>
      <c r="H13" t="s">
        <v>164</v>
      </c>
      <c r="I13">
        <f>N13/I2</f>
        <v>8.1816023644977892E-2</v>
      </c>
      <c r="M13" t="s">
        <v>163</v>
      </c>
      <c r="N13">
        <f>SQRT(C1/(2*I4*C3))</f>
        <v>57.271216551484521</v>
      </c>
    </row>
    <row r="14" spans="1:14" x14ac:dyDescent="0.2">
      <c r="M14" t="s">
        <v>162</v>
      </c>
      <c r="N14">
        <f>C1/(I4*C3*I2^2)</f>
        <v>1.3387723450151162E-2</v>
      </c>
    </row>
    <row r="15" spans="1:14" x14ac:dyDescent="0.2">
      <c r="A15" t="s">
        <v>194</v>
      </c>
      <c r="B15" t="s">
        <v>195</v>
      </c>
      <c r="C15" t="s">
        <v>160</v>
      </c>
      <c r="D15" t="s">
        <v>159</v>
      </c>
      <c r="E15" t="s">
        <v>158</v>
      </c>
      <c r="F15" t="s">
        <v>157</v>
      </c>
      <c r="G15" t="s">
        <v>156</v>
      </c>
      <c r="H15" t="s">
        <v>155</v>
      </c>
      <c r="I15" t="s">
        <v>154</v>
      </c>
      <c r="J15" t="s">
        <v>153</v>
      </c>
      <c r="K15" t="s">
        <v>152</v>
      </c>
      <c r="L15" t="s">
        <v>151</v>
      </c>
      <c r="M15" t="s">
        <v>150</v>
      </c>
    </row>
    <row r="16" spans="1:14" x14ac:dyDescent="0.2">
      <c r="A16">
        <v>0</v>
      </c>
      <c r="B16">
        <f t="shared" ref="B16:B46" si="0">A16/1.68</f>
        <v>0</v>
      </c>
      <c r="C16">
        <f t="shared" ref="C16:C46" si="1">(0.5*$I$12*F16^3)/$C$3</f>
        <v>0</v>
      </c>
      <c r="D16">
        <f t="shared" ref="D16:D46" si="2">2*$C$12*$I$10*(1+4.65*F16^2)/8</f>
        <v>2.2000000000000001E-4</v>
      </c>
      <c r="E16">
        <f t="shared" ref="E16:E46" si="3">$C$13^2*$N$14*$I$13*G16/0.9</f>
        <v>1.609527021742072E-3</v>
      </c>
      <c r="F16">
        <f t="shared" ref="F16:F46" si="4">A16/$I$2</f>
        <v>0</v>
      </c>
      <c r="G16">
        <f t="shared" ref="G16:G46" si="5">SQRT((-1*(F16/$I$13)^2+SQRT((F16/$I$13)^4+4))/2)</f>
        <v>1</v>
      </c>
      <c r="H16">
        <f t="shared" ref="H16:H46" si="6">C16+D16+E16</f>
        <v>1.829527021742072E-3</v>
      </c>
      <c r="I16">
        <f>$C$6*($I$4/0.002377)</f>
        <v>222.69517110433148</v>
      </c>
      <c r="J16">
        <f t="shared" ref="J16:J46" si="7">K16+L16+M16</f>
        <v>230.10565424416396</v>
      </c>
      <c r="K16">
        <f t="shared" ref="K16:K46" si="8">C16*$I$4*$C$3*$I$2^3/550</f>
        <v>0</v>
      </c>
      <c r="L16">
        <f t="shared" ref="L16:L46" si="9">D16*$I$4*$C$3*$I$2^3/550</f>
        <v>27.670126394478014</v>
      </c>
      <c r="M16">
        <f t="shared" ref="M16:M46" si="10">E16*$I$4*$C$3*$I$2^3/550</f>
        <v>202.43552784968594</v>
      </c>
    </row>
    <row r="17" spans="1:15" x14ac:dyDescent="0.2">
      <c r="A17">
        <f t="shared" ref="A17:A46" si="11">A16+12.5</f>
        <v>12.5</v>
      </c>
      <c r="B17">
        <f t="shared" si="0"/>
        <v>7.4404761904761907</v>
      </c>
      <c r="C17">
        <f t="shared" si="1"/>
        <v>2.4909649614476822E-7</v>
      </c>
      <c r="D17">
        <f t="shared" si="2"/>
        <v>2.2032621173469387E-4</v>
      </c>
      <c r="E17">
        <f t="shared" si="3"/>
        <v>1.5904741182776185E-3</v>
      </c>
      <c r="F17">
        <f t="shared" si="4"/>
        <v>1.7857142857142856E-2</v>
      </c>
      <c r="G17">
        <f t="shared" si="5"/>
        <v>0.98816242088074324</v>
      </c>
      <c r="H17">
        <f t="shared" si="6"/>
        <v>1.8110494265084571E-3</v>
      </c>
      <c r="I17">
        <f t="shared" ref="I17:I46" si="12">$C$6*($I$4/0.002377)</f>
        <v>222.69517110433148</v>
      </c>
      <c r="J17">
        <f t="shared" si="7"/>
        <v>227.78166608243612</v>
      </c>
      <c r="K17">
        <f t="shared" si="8"/>
        <v>3.13296887852152E-2</v>
      </c>
      <c r="L17">
        <f t="shared" si="9"/>
        <v>27.711155121434114</v>
      </c>
      <c r="M17">
        <f t="shared" si="10"/>
        <v>200.03918127221678</v>
      </c>
    </row>
    <row r="18" spans="1:15" x14ac:dyDescent="0.2">
      <c r="A18">
        <f t="shared" si="11"/>
        <v>25</v>
      </c>
      <c r="B18">
        <f t="shared" si="0"/>
        <v>14.880952380952381</v>
      </c>
      <c r="C18">
        <f t="shared" si="1"/>
        <v>1.9927719691581458E-6</v>
      </c>
      <c r="D18">
        <f t="shared" si="2"/>
        <v>2.2130484693877551E-4</v>
      </c>
      <c r="E18">
        <f t="shared" si="3"/>
        <v>1.5347612466161005E-3</v>
      </c>
      <c r="F18">
        <f t="shared" si="4"/>
        <v>3.5714285714285712E-2</v>
      </c>
      <c r="G18">
        <f t="shared" si="5"/>
        <v>0.95354798390085516</v>
      </c>
      <c r="H18">
        <f t="shared" si="6"/>
        <v>1.7580588655240342E-3</v>
      </c>
      <c r="I18">
        <f t="shared" si="12"/>
        <v>222.69517110433148</v>
      </c>
      <c r="J18">
        <f t="shared" si="7"/>
        <v>221.11686826355751</v>
      </c>
      <c r="K18">
        <f t="shared" si="8"/>
        <v>0.2506375102817216</v>
      </c>
      <c r="L18">
        <f t="shared" si="9"/>
        <v>27.834241302302406</v>
      </c>
      <c r="M18">
        <f t="shared" si="10"/>
        <v>193.03198945097338</v>
      </c>
      <c r="O18">
        <f>N14*I13/(D16+E16)</f>
        <v>0.59869588441881616</v>
      </c>
    </row>
    <row r="19" spans="1:15" x14ac:dyDescent="0.2">
      <c r="A19">
        <f t="shared" si="11"/>
        <v>37.5</v>
      </c>
      <c r="B19">
        <f t="shared" si="0"/>
        <v>22.321428571428573</v>
      </c>
      <c r="C19">
        <f t="shared" si="1"/>
        <v>6.7256053959087425E-6</v>
      </c>
      <c r="D19">
        <f t="shared" si="2"/>
        <v>2.2293590561224492E-4</v>
      </c>
      <c r="E19">
        <f t="shared" si="3"/>
        <v>1.4470989194923759E-3</v>
      </c>
      <c r="F19">
        <f t="shared" si="4"/>
        <v>5.3571428571428568E-2</v>
      </c>
      <c r="G19">
        <f t="shared" si="5"/>
        <v>0.89908333314348954</v>
      </c>
      <c r="H19">
        <f t="shared" si="6"/>
        <v>1.6767604305005296E-3</v>
      </c>
      <c r="I19">
        <f t="shared" si="12"/>
        <v>222.69517110433148</v>
      </c>
      <c r="J19">
        <f t="shared" si="7"/>
        <v>210.89169566004102</v>
      </c>
      <c r="K19">
        <f t="shared" si="8"/>
        <v>0.84590159720081037</v>
      </c>
      <c r="L19">
        <f t="shared" si="9"/>
        <v>28.039384937082897</v>
      </c>
      <c r="M19">
        <f t="shared" si="10"/>
        <v>182.0064091257573</v>
      </c>
    </row>
    <row r="20" spans="1:15" x14ac:dyDescent="0.2">
      <c r="A20">
        <f t="shared" si="11"/>
        <v>50</v>
      </c>
      <c r="B20">
        <f t="shared" si="0"/>
        <v>29.761904761904763</v>
      </c>
      <c r="C20">
        <f t="shared" si="1"/>
        <v>1.5942175753265166E-5</v>
      </c>
      <c r="D20">
        <f t="shared" si="2"/>
        <v>2.2521938775510203E-4</v>
      </c>
      <c r="E20">
        <f t="shared" si="3"/>
        <v>1.3360611517885428E-3</v>
      </c>
      <c r="F20">
        <f t="shared" si="4"/>
        <v>7.1428571428571425E-2</v>
      </c>
      <c r="G20">
        <f t="shared" si="5"/>
        <v>0.83009550864356219</v>
      </c>
      <c r="H20">
        <f t="shared" si="6"/>
        <v>1.5772227152969101E-3</v>
      </c>
      <c r="I20">
        <f t="shared" si="12"/>
        <v>222.69517110433148</v>
      </c>
      <c r="J20">
        <f t="shared" si="7"/>
        <v>198.37250856594233</v>
      </c>
      <c r="K20">
        <f t="shared" si="8"/>
        <v>2.0051000822537728</v>
      </c>
      <c r="L20">
        <f t="shared" si="9"/>
        <v>28.326586025775583</v>
      </c>
      <c r="M20">
        <f t="shared" si="10"/>
        <v>168.04082245791298</v>
      </c>
    </row>
    <row r="21" spans="1:15" x14ac:dyDescent="0.2">
      <c r="A21">
        <f t="shared" si="11"/>
        <v>62.5</v>
      </c>
      <c r="B21">
        <f t="shared" si="0"/>
        <v>37.202380952380956</v>
      </c>
      <c r="C21">
        <f t="shared" si="1"/>
        <v>3.1137062018096039E-5</v>
      </c>
      <c r="D21">
        <f t="shared" si="2"/>
        <v>2.2815529336734695E-4</v>
      </c>
      <c r="E21">
        <f t="shared" si="3"/>
        <v>1.2134574015896958E-3</v>
      </c>
      <c r="F21">
        <f t="shared" si="4"/>
        <v>8.9285714285714288E-2</v>
      </c>
      <c r="G21">
        <f t="shared" si="5"/>
        <v>0.75392173302956411</v>
      </c>
      <c r="H21">
        <f t="shared" si="6"/>
        <v>1.4727497569751388E-3</v>
      </c>
      <c r="I21">
        <f t="shared" si="12"/>
        <v>222.69517110433148</v>
      </c>
      <c r="J21">
        <f t="shared" si="7"/>
        <v>185.23259964972218</v>
      </c>
      <c r="K21">
        <f t="shared" si="8"/>
        <v>3.9162110981519005</v>
      </c>
      <c r="L21">
        <f t="shared" si="9"/>
        <v>28.695844568380465</v>
      </c>
      <c r="M21">
        <f t="shared" si="10"/>
        <v>152.6205439831898</v>
      </c>
    </row>
    <row r="22" spans="1:15" x14ac:dyDescent="0.2">
      <c r="A22">
        <f t="shared" si="11"/>
        <v>75</v>
      </c>
      <c r="B22">
        <f t="shared" si="0"/>
        <v>44.642857142857146</v>
      </c>
      <c r="C22">
        <f t="shared" si="1"/>
        <v>5.380484316726994E-5</v>
      </c>
      <c r="D22">
        <f t="shared" si="2"/>
        <v>2.3174362244897959E-4</v>
      </c>
      <c r="E22">
        <f t="shared" si="3"/>
        <v>1.0914209349685176E-3</v>
      </c>
      <c r="F22">
        <f t="shared" si="4"/>
        <v>0.10714285714285714</v>
      </c>
      <c r="G22">
        <f t="shared" si="5"/>
        <v>0.67810041100597229</v>
      </c>
      <c r="H22">
        <f t="shared" si="6"/>
        <v>1.3769694005847672E-3</v>
      </c>
      <c r="I22">
        <f t="shared" si="12"/>
        <v>222.69517110433148</v>
      </c>
      <c r="J22">
        <f t="shared" si="7"/>
        <v>173.18598797958703</v>
      </c>
      <c r="K22">
        <f t="shared" si="8"/>
        <v>6.767212777606483</v>
      </c>
      <c r="L22">
        <f t="shared" si="9"/>
        <v>29.147160564897536</v>
      </c>
      <c r="M22">
        <f t="shared" si="10"/>
        <v>137.27161463708299</v>
      </c>
    </row>
    <row r="23" spans="1:15" x14ac:dyDescent="0.2">
      <c r="A23">
        <f t="shared" si="11"/>
        <v>87.5</v>
      </c>
      <c r="B23">
        <f t="shared" si="0"/>
        <v>52.083333333333336</v>
      </c>
      <c r="C23">
        <f t="shared" si="1"/>
        <v>8.5440098177655508E-5</v>
      </c>
      <c r="D23">
        <f t="shared" si="2"/>
        <v>2.3598437500000003E-4</v>
      </c>
      <c r="E23">
        <f t="shared" si="3"/>
        <v>9.7879413095332745E-4</v>
      </c>
      <c r="F23">
        <f t="shared" si="4"/>
        <v>0.125</v>
      </c>
      <c r="G23">
        <f t="shared" si="5"/>
        <v>0.60812531739537334</v>
      </c>
      <c r="H23">
        <f t="shared" si="6"/>
        <v>1.300218604130983E-3</v>
      </c>
      <c r="I23">
        <f t="shared" si="12"/>
        <v>222.69517110433148</v>
      </c>
      <c r="J23">
        <f t="shared" si="7"/>
        <v>163.5327868943458</v>
      </c>
      <c r="K23">
        <f t="shared" si="8"/>
        <v>10.746083253328813</v>
      </c>
      <c r="L23">
        <f t="shared" si="9"/>
        <v>29.680534015326813</v>
      </c>
      <c r="M23">
        <f t="shared" si="10"/>
        <v>123.10616962569017</v>
      </c>
    </row>
    <row r="24" spans="1:15" x14ac:dyDescent="0.2">
      <c r="A24">
        <f t="shared" si="11"/>
        <v>100</v>
      </c>
      <c r="B24">
        <f t="shared" si="0"/>
        <v>59.523809523809526</v>
      </c>
      <c r="C24">
        <f t="shared" si="1"/>
        <v>1.2753740602612133E-4</v>
      </c>
      <c r="D24">
        <f t="shared" si="2"/>
        <v>2.4087755102040817E-4</v>
      </c>
      <c r="E24">
        <f t="shared" si="3"/>
        <v>8.7970467920811654E-4</v>
      </c>
      <c r="F24">
        <f t="shared" si="4"/>
        <v>0.14285714285714285</v>
      </c>
      <c r="G24">
        <f t="shared" si="5"/>
        <v>0.54656098799507447</v>
      </c>
      <c r="H24">
        <f t="shared" si="6"/>
        <v>1.248119636254646E-3</v>
      </c>
      <c r="I24">
        <f t="shared" si="12"/>
        <v>222.69517110433148</v>
      </c>
      <c r="J24">
        <f t="shared" si="7"/>
        <v>156.98012768452719</v>
      </c>
      <c r="K24">
        <f t="shared" si="8"/>
        <v>16.040800658030182</v>
      </c>
      <c r="L24">
        <f t="shared" si="9"/>
        <v>30.295964919668279</v>
      </c>
      <c r="M24">
        <f t="shared" si="10"/>
        <v>110.64336210682873</v>
      </c>
    </row>
    <row r="25" spans="1:15" x14ac:dyDescent="0.2">
      <c r="A25">
        <f t="shared" si="11"/>
        <v>112.5</v>
      </c>
      <c r="B25">
        <f t="shared" si="0"/>
        <v>66.964285714285722</v>
      </c>
      <c r="C25">
        <f t="shared" si="1"/>
        <v>1.8159134568953612E-4</v>
      </c>
      <c r="D25">
        <f t="shared" si="2"/>
        <v>2.4642315051020408E-4</v>
      </c>
      <c r="E25">
        <f t="shared" si="3"/>
        <v>7.9465786473083212E-4</v>
      </c>
      <c r="F25">
        <f t="shared" si="4"/>
        <v>0.16071428571428573</v>
      </c>
      <c r="G25">
        <f t="shared" si="5"/>
        <v>0.49372135664472039</v>
      </c>
      <c r="H25">
        <f t="shared" si="6"/>
        <v>1.2226723609305723E-3</v>
      </c>
      <c r="I25">
        <f t="shared" si="12"/>
        <v>222.69517110433148</v>
      </c>
      <c r="J25">
        <f t="shared" si="7"/>
        <v>153.77953984538084</v>
      </c>
      <c r="K25">
        <f t="shared" si="8"/>
        <v>22.839343124421891</v>
      </c>
      <c r="L25">
        <f t="shared" si="9"/>
        <v>30.993453277921944</v>
      </c>
      <c r="M25">
        <f t="shared" si="10"/>
        <v>99.946743443037008</v>
      </c>
    </row>
    <row r="26" spans="1:15" x14ac:dyDescent="0.2">
      <c r="A26">
        <f t="shared" si="11"/>
        <v>125</v>
      </c>
      <c r="B26">
        <f t="shared" si="0"/>
        <v>74.404761904761912</v>
      </c>
      <c r="C26">
        <f t="shared" si="1"/>
        <v>2.4909649614476831E-4</v>
      </c>
      <c r="D26">
        <f t="shared" si="2"/>
        <v>2.5262117346938775E-4</v>
      </c>
      <c r="E26">
        <f t="shared" si="3"/>
        <v>7.223251469456758E-4</v>
      </c>
      <c r="F26">
        <f t="shared" si="4"/>
        <v>0.17857142857142858</v>
      </c>
      <c r="G26">
        <f t="shared" si="5"/>
        <v>0.44878100037355512</v>
      </c>
      <c r="H26">
        <f t="shared" si="6"/>
        <v>1.2240428165598317E-3</v>
      </c>
      <c r="I26">
        <f t="shared" si="12"/>
        <v>222.69517110433148</v>
      </c>
      <c r="J26">
        <f t="shared" si="7"/>
        <v>153.95190657483371</v>
      </c>
      <c r="K26">
        <f t="shared" si="8"/>
        <v>31.329688785215204</v>
      </c>
      <c r="L26">
        <f t="shared" si="9"/>
        <v>31.772999090087801</v>
      </c>
      <c r="M26">
        <f t="shared" si="10"/>
        <v>90.849218699530709</v>
      </c>
    </row>
    <row r="27" spans="1:15" x14ac:dyDescent="0.2">
      <c r="A27">
        <f t="shared" si="11"/>
        <v>137.5</v>
      </c>
      <c r="B27">
        <f t="shared" si="0"/>
        <v>81.845238095238102</v>
      </c>
      <c r="C27">
        <f t="shared" si="1"/>
        <v>3.3154743636868648E-4</v>
      </c>
      <c r="D27">
        <f t="shared" si="2"/>
        <v>2.5947161989795919E-4</v>
      </c>
      <c r="E27">
        <f t="shared" si="3"/>
        <v>6.608046505038722E-4</v>
      </c>
      <c r="F27">
        <f t="shared" si="4"/>
        <v>0.19642857142857142</v>
      </c>
      <c r="G27">
        <f t="shared" si="5"/>
        <v>0.4105582830095329</v>
      </c>
      <c r="H27">
        <f t="shared" si="6"/>
        <v>1.251823706770518E-3</v>
      </c>
      <c r="I27">
        <f t="shared" si="12"/>
        <v>222.69517110433148</v>
      </c>
      <c r="J27">
        <f t="shared" si="7"/>
        <v>157.44600086338278</v>
      </c>
      <c r="K27">
        <f t="shared" si="8"/>
        <v>41.699815773121422</v>
      </c>
      <c r="L27">
        <f t="shared" si="9"/>
        <v>32.63460235616585</v>
      </c>
      <c r="M27">
        <f t="shared" si="10"/>
        <v>83.111582734095521</v>
      </c>
    </row>
    <row r="28" spans="1:15" x14ac:dyDescent="0.2">
      <c r="A28">
        <f t="shared" si="11"/>
        <v>150</v>
      </c>
      <c r="B28">
        <f t="shared" si="0"/>
        <v>89.285714285714292</v>
      </c>
      <c r="C28">
        <f t="shared" si="1"/>
        <v>4.3043874533815952E-4</v>
      </c>
      <c r="D28">
        <f t="shared" si="2"/>
        <v>2.6697448979591841E-4</v>
      </c>
      <c r="E28">
        <f t="shared" si="3"/>
        <v>6.0823208956827131E-4</v>
      </c>
      <c r="F28">
        <f t="shared" si="4"/>
        <v>0.21428571428571427</v>
      </c>
      <c r="G28">
        <f t="shared" si="5"/>
        <v>0.37789492276429831</v>
      </c>
      <c r="H28">
        <f t="shared" si="6"/>
        <v>1.3056453247023492E-3</v>
      </c>
      <c r="I28">
        <f t="shared" si="12"/>
        <v>222.69517110433148</v>
      </c>
      <c r="J28">
        <f t="shared" si="7"/>
        <v>164.21532345851497</v>
      </c>
      <c r="K28">
        <f t="shared" si="8"/>
        <v>54.137702220851864</v>
      </c>
      <c r="L28">
        <f t="shared" si="9"/>
        <v>33.578263076156105</v>
      </c>
      <c r="M28">
        <f t="shared" si="10"/>
        <v>76.499358161507004</v>
      </c>
    </row>
    <row r="29" spans="1:15" x14ac:dyDescent="0.2">
      <c r="A29">
        <f t="shared" si="11"/>
        <v>162.5</v>
      </c>
      <c r="B29">
        <f t="shared" si="0"/>
        <v>96.726190476190482</v>
      </c>
      <c r="C29">
        <f t="shared" si="1"/>
        <v>5.4726500203005582E-4</v>
      </c>
      <c r="D29">
        <f t="shared" si="2"/>
        <v>2.7512978316326535E-4</v>
      </c>
      <c r="E29">
        <f t="shared" si="3"/>
        <v>5.6299686395387086E-4</v>
      </c>
      <c r="F29">
        <f t="shared" si="4"/>
        <v>0.23214285714285715</v>
      </c>
      <c r="G29">
        <f t="shared" si="5"/>
        <v>0.34979025288094329</v>
      </c>
      <c r="H29">
        <f t="shared" si="6"/>
        <v>1.3853916491471919E-3</v>
      </c>
      <c r="I29">
        <f t="shared" si="12"/>
        <v>222.69517110433148</v>
      </c>
      <c r="J29">
        <f t="shared" si="7"/>
        <v>174.24528198980522</v>
      </c>
      <c r="K29">
        <f t="shared" si="8"/>
        <v>68.831326261117795</v>
      </c>
      <c r="L29">
        <f t="shared" si="9"/>
        <v>34.603981250058553</v>
      </c>
      <c r="M29">
        <f t="shared" si="10"/>
        <v>70.809974478628874</v>
      </c>
    </row>
    <row r="30" spans="1:15" x14ac:dyDescent="0.2">
      <c r="A30">
        <f t="shared" si="11"/>
        <v>175</v>
      </c>
      <c r="B30">
        <f t="shared" si="0"/>
        <v>104.16666666666667</v>
      </c>
      <c r="C30">
        <f t="shared" si="1"/>
        <v>6.8352078542124406E-4</v>
      </c>
      <c r="D30">
        <f t="shared" si="2"/>
        <v>2.8393750000000001E-4</v>
      </c>
      <c r="E30">
        <f t="shared" si="3"/>
        <v>5.2377839250954572E-4</v>
      </c>
      <c r="F30">
        <f t="shared" si="4"/>
        <v>0.25</v>
      </c>
      <c r="G30">
        <f t="shared" si="5"/>
        <v>0.32542379558352119</v>
      </c>
      <c r="H30">
        <f t="shared" si="6"/>
        <v>1.4912366779307898E-3</v>
      </c>
      <c r="I30">
        <f t="shared" si="12"/>
        <v>222.69517110433148</v>
      </c>
      <c r="J30">
        <f t="shared" si="7"/>
        <v>187.55776073830211</v>
      </c>
      <c r="K30">
        <f t="shared" si="8"/>
        <v>85.968666026630501</v>
      </c>
      <c r="L30">
        <f t="shared" si="9"/>
        <v>35.711756877873192</v>
      </c>
      <c r="M30">
        <f t="shared" si="10"/>
        <v>65.877337833798407</v>
      </c>
    </row>
    <row r="31" spans="1:15" x14ac:dyDescent="0.2">
      <c r="A31">
        <f t="shared" si="11"/>
        <v>187.5</v>
      </c>
      <c r="B31">
        <f t="shared" si="0"/>
        <v>111.60714285714286</v>
      </c>
      <c r="C31">
        <f t="shared" si="1"/>
        <v>8.407006744885928E-4</v>
      </c>
      <c r="D31">
        <f t="shared" si="2"/>
        <v>2.9339764030612245E-4</v>
      </c>
      <c r="E31">
        <f t="shared" si="3"/>
        <v>4.8951666007219141E-4</v>
      </c>
      <c r="F31">
        <f t="shared" si="4"/>
        <v>0.26785714285714285</v>
      </c>
      <c r="G31">
        <f t="shared" si="5"/>
        <v>0.30413696288389303</v>
      </c>
      <c r="H31">
        <f t="shared" si="6"/>
        <v>1.6236149748669066E-3</v>
      </c>
      <c r="I31">
        <f t="shared" si="12"/>
        <v>222.69517110433148</v>
      </c>
      <c r="J31">
        <f t="shared" si="7"/>
        <v>204.20741622970255</v>
      </c>
      <c r="K31">
        <f t="shared" si="8"/>
        <v>105.73769965010131</v>
      </c>
      <c r="L31">
        <f t="shared" si="9"/>
        <v>36.901589959600031</v>
      </c>
      <c r="M31">
        <f t="shared" si="10"/>
        <v>61.568126620001209</v>
      </c>
    </row>
    <row r="32" spans="1:15" x14ac:dyDescent="0.2">
      <c r="A32">
        <f t="shared" si="11"/>
        <v>200</v>
      </c>
      <c r="B32">
        <f t="shared" si="0"/>
        <v>119.04761904761905</v>
      </c>
      <c r="C32">
        <f t="shared" si="1"/>
        <v>1.0202992482089706E-3</v>
      </c>
      <c r="D32">
        <f t="shared" si="2"/>
        <v>3.0351020408163267E-4</v>
      </c>
      <c r="E32">
        <f t="shared" si="3"/>
        <v>4.5936627120703622E-4</v>
      </c>
      <c r="F32">
        <f t="shared" si="4"/>
        <v>0.2857142857142857</v>
      </c>
      <c r="G32">
        <f t="shared" si="5"/>
        <v>0.28540451014599372</v>
      </c>
      <c r="H32">
        <f t="shared" si="6"/>
        <v>1.7831757234976395E-3</v>
      </c>
      <c r="I32">
        <f t="shared" si="12"/>
        <v>222.69517110433148</v>
      </c>
      <c r="J32">
        <f t="shared" si="7"/>
        <v>224.27589842156578</v>
      </c>
      <c r="K32">
        <f t="shared" si="8"/>
        <v>128.32640526424146</v>
      </c>
      <c r="L32">
        <f t="shared" si="9"/>
        <v>38.173480495239062</v>
      </c>
      <c r="M32">
        <f t="shared" si="10"/>
        <v>57.776012662085272</v>
      </c>
    </row>
    <row r="33" spans="1:13" x14ac:dyDescent="0.2">
      <c r="A33">
        <f t="shared" si="11"/>
        <v>212.5</v>
      </c>
      <c r="B33">
        <f t="shared" si="0"/>
        <v>126.48809523809524</v>
      </c>
      <c r="C33">
        <f t="shared" si="1"/>
        <v>1.2238110855592463E-3</v>
      </c>
      <c r="D33">
        <f t="shared" si="2"/>
        <v>3.1427519132653061E-4</v>
      </c>
      <c r="E33">
        <f t="shared" si="3"/>
        <v>4.3265230940420604E-4</v>
      </c>
      <c r="F33">
        <f t="shared" si="4"/>
        <v>0.30357142857142855</v>
      </c>
      <c r="G33">
        <f t="shared" si="5"/>
        <v>0.26880711138103458</v>
      </c>
      <c r="H33">
        <f t="shared" si="6"/>
        <v>1.9707385862899832E-3</v>
      </c>
      <c r="I33">
        <f t="shared" si="12"/>
        <v>222.69517110433148</v>
      </c>
      <c r="J33">
        <f t="shared" si="7"/>
        <v>247.86629896872162</v>
      </c>
      <c r="K33">
        <f t="shared" si="8"/>
        <v>153.92276100176227</v>
      </c>
      <c r="L33">
        <f t="shared" si="9"/>
        <v>39.527428484790292</v>
      </c>
      <c r="M33">
        <f t="shared" si="10"/>
        <v>54.416109482169048</v>
      </c>
    </row>
    <row r="34" spans="1:13" x14ac:dyDescent="0.2">
      <c r="A34">
        <f t="shared" si="11"/>
        <v>225</v>
      </c>
      <c r="B34">
        <f t="shared" si="0"/>
        <v>133.92857142857144</v>
      </c>
      <c r="C34">
        <f t="shared" si="1"/>
        <v>1.452730765516289E-3</v>
      </c>
      <c r="D34">
        <f t="shared" si="2"/>
        <v>3.2569260204081638E-4</v>
      </c>
      <c r="E34">
        <f t="shared" si="3"/>
        <v>4.0883335563074772E-4</v>
      </c>
      <c r="F34">
        <f t="shared" si="4"/>
        <v>0.32142857142857145</v>
      </c>
      <c r="G34">
        <f t="shared" si="5"/>
        <v>0.2540083826540836</v>
      </c>
      <c r="H34">
        <f t="shared" si="6"/>
        <v>2.1872567231878532E-3</v>
      </c>
      <c r="I34">
        <f t="shared" si="12"/>
        <v>222.69517110433148</v>
      </c>
      <c r="J34">
        <f t="shared" si="7"/>
        <v>275.09849994445324</v>
      </c>
      <c r="K34">
        <f t="shared" si="8"/>
        <v>182.71474499537513</v>
      </c>
      <c r="L34">
        <f t="shared" si="9"/>
        <v>40.963433928253714</v>
      </c>
      <c r="M34">
        <f t="shared" si="10"/>
        <v>51.42032102082441</v>
      </c>
    </row>
    <row r="35" spans="1:13" x14ac:dyDescent="0.2">
      <c r="A35">
        <f t="shared" si="11"/>
        <v>237.5</v>
      </c>
      <c r="B35">
        <f t="shared" si="0"/>
        <v>141.36904761904762</v>
      </c>
      <c r="C35">
        <f t="shared" si="1"/>
        <v>1.7085528670569658E-3</v>
      </c>
      <c r="D35">
        <f t="shared" si="2"/>
        <v>3.3776243622448988E-4</v>
      </c>
      <c r="E35">
        <f t="shared" si="3"/>
        <v>3.8747216610992457E-4</v>
      </c>
      <c r="F35">
        <f t="shared" si="4"/>
        <v>0.3392857142857143</v>
      </c>
      <c r="G35">
        <f t="shared" si="5"/>
        <v>0.24073666417264869</v>
      </c>
      <c r="H35">
        <f t="shared" si="6"/>
        <v>2.4337874693913806E-3</v>
      </c>
      <c r="I35">
        <f t="shared" si="12"/>
        <v>222.69517110433148</v>
      </c>
      <c r="J35">
        <f t="shared" si="7"/>
        <v>306.10548588798315</v>
      </c>
      <c r="K35">
        <f t="shared" si="8"/>
        <v>214.8903353777911</v>
      </c>
      <c r="L35">
        <f t="shared" si="9"/>
        <v>42.481496825629343</v>
      </c>
      <c r="M35">
        <f t="shared" si="10"/>
        <v>48.733653684562704</v>
      </c>
    </row>
    <row r="36" spans="1:13" x14ac:dyDescent="0.2">
      <c r="A36">
        <f t="shared" si="11"/>
        <v>250</v>
      </c>
      <c r="B36">
        <f t="shared" si="0"/>
        <v>148.80952380952382</v>
      </c>
      <c r="C36">
        <f t="shared" si="1"/>
        <v>1.9927719691581465E-3</v>
      </c>
      <c r="D36">
        <f t="shared" si="2"/>
        <v>3.5048469387755104E-4</v>
      </c>
      <c r="E36">
        <f t="shared" si="3"/>
        <v>3.6821296348455302E-4</v>
      </c>
      <c r="F36">
        <f t="shared" si="4"/>
        <v>0.35714285714285715</v>
      </c>
      <c r="G36">
        <f t="shared" si="5"/>
        <v>0.22877091127430568</v>
      </c>
      <c r="H36">
        <f t="shared" si="6"/>
        <v>2.7114696265202508E-3</v>
      </c>
      <c r="I36">
        <f t="shared" si="12"/>
        <v>222.69517110433148</v>
      </c>
      <c r="J36">
        <f t="shared" si="7"/>
        <v>341.03048763910652</v>
      </c>
      <c r="K36">
        <f t="shared" si="8"/>
        <v>250.63751028172163</v>
      </c>
      <c r="L36">
        <f t="shared" si="9"/>
        <v>44.081617176917149</v>
      </c>
      <c r="M36">
        <f t="shared" si="10"/>
        <v>46.31136018046773</v>
      </c>
    </row>
    <row r="37" spans="1:13" x14ac:dyDescent="0.2">
      <c r="A37">
        <f t="shared" si="11"/>
        <v>262.5</v>
      </c>
      <c r="B37">
        <f t="shared" si="0"/>
        <v>156.25</v>
      </c>
      <c r="C37">
        <f t="shared" si="1"/>
        <v>2.3068826507966988E-3</v>
      </c>
      <c r="D37">
        <f t="shared" si="2"/>
        <v>3.6385937499999998E-4</v>
      </c>
      <c r="E37">
        <f t="shared" si="3"/>
        <v>3.5076400238505368E-4</v>
      </c>
      <c r="F37">
        <f t="shared" si="4"/>
        <v>0.375</v>
      </c>
      <c r="G37">
        <f t="shared" si="5"/>
        <v>0.21792986240479775</v>
      </c>
      <c r="H37">
        <f t="shared" si="6"/>
        <v>3.0215060281817523E-3</v>
      </c>
      <c r="I37">
        <f t="shared" si="12"/>
        <v>222.69517110433148</v>
      </c>
      <c r="J37">
        <f t="shared" si="7"/>
        <v>380.02478955211973</v>
      </c>
      <c r="K37">
        <f t="shared" si="8"/>
        <v>290.14424783987795</v>
      </c>
      <c r="L37">
        <f t="shared" si="9"/>
        <v>45.763794982117155</v>
      </c>
      <c r="M37">
        <f t="shared" si="10"/>
        <v>44.11674673012466</v>
      </c>
    </row>
    <row r="38" spans="1:13" x14ac:dyDescent="0.2">
      <c r="A38">
        <f t="shared" si="11"/>
        <v>275</v>
      </c>
      <c r="B38">
        <f t="shared" si="0"/>
        <v>163.6904761904762</v>
      </c>
      <c r="C38">
        <f t="shared" si="1"/>
        <v>2.6523794909494918E-3</v>
      </c>
      <c r="D38">
        <f t="shared" si="2"/>
        <v>3.7788647959183675E-4</v>
      </c>
      <c r="E38">
        <f t="shared" si="3"/>
        <v>3.3488419880586871E-4</v>
      </c>
      <c r="F38">
        <f t="shared" si="4"/>
        <v>0.39285714285714285</v>
      </c>
      <c r="G38">
        <f t="shared" si="5"/>
        <v>0.20806373194244773</v>
      </c>
      <c r="H38">
        <f t="shared" si="6"/>
        <v>3.3651501693471972E-3</v>
      </c>
      <c r="I38">
        <f t="shared" si="12"/>
        <v>222.69517110433148</v>
      </c>
      <c r="J38">
        <f t="shared" si="7"/>
        <v>423.2460478283457</v>
      </c>
      <c r="K38">
        <f t="shared" si="8"/>
        <v>333.59852618497138</v>
      </c>
      <c r="L38">
        <f t="shared" si="9"/>
        <v>47.528030241229366</v>
      </c>
      <c r="M38">
        <f t="shared" si="10"/>
        <v>42.119491402144959</v>
      </c>
    </row>
    <row r="39" spans="1:13" x14ac:dyDescent="0.2">
      <c r="A39">
        <f t="shared" si="11"/>
        <v>287.5</v>
      </c>
      <c r="B39">
        <f t="shared" si="0"/>
        <v>171.13095238095238</v>
      </c>
      <c r="C39">
        <f t="shared" si="1"/>
        <v>3.0307570685933947E-3</v>
      </c>
      <c r="D39">
        <f t="shared" si="2"/>
        <v>3.9256600765306124E-4</v>
      </c>
      <c r="E39">
        <f t="shared" si="3"/>
        <v>3.2037284481388522E-4</v>
      </c>
      <c r="F39">
        <f t="shared" si="4"/>
        <v>0.4107142857142857</v>
      </c>
      <c r="G39">
        <f t="shared" si="5"/>
        <v>0.19904781994099705</v>
      </c>
      <c r="H39">
        <f t="shared" si="6"/>
        <v>3.7436959210603413E-3</v>
      </c>
      <c r="I39">
        <f t="shared" si="12"/>
        <v>222.69517110433148</v>
      </c>
      <c r="J39">
        <f t="shared" si="7"/>
        <v>470.85699690105201</v>
      </c>
      <c r="K39">
        <f t="shared" si="8"/>
        <v>381.18832344971327</v>
      </c>
      <c r="L39">
        <f t="shared" si="9"/>
        <v>49.37432295425377</v>
      </c>
      <c r="M39">
        <f t="shared" si="10"/>
        <v>40.294350497084977</v>
      </c>
    </row>
    <row r="40" spans="1:13" x14ac:dyDescent="0.2">
      <c r="A40">
        <f t="shared" si="11"/>
        <v>300</v>
      </c>
      <c r="B40">
        <f t="shared" si="0"/>
        <v>178.57142857142858</v>
      </c>
      <c r="C40">
        <f t="shared" si="1"/>
        <v>3.4435099627052762E-3</v>
      </c>
      <c r="D40">
        <f t="shared" si="2"/>
        <v>4.0789795918367352E-4</v>
      </c>
      <c r="E40">
        <f t="shared" si="3"/>
        <v>3.0706165466932772E-4</v>
      </c>
      <c r="F40">
        <f t="shared" si="4"/>
        <v>0.42857142857142855</v>
      </c>
      <c r="G40">
        <f t="shared" si="5"/>
        <v>0.19077757038025958</v>
      </c>
      <c r="H40">
        <f t="shared" si="6"/>
        <v>4.1584695765582774E-3</v>
      </c>
      <c r="I40">
        <f t="shared" si="12"/>
        <v>222.69517110433148</v>
      </c>
      <c r="J40">
        <f t="shared" si="7"/>
        <v>523.02444904981371</v>
      </c>
      <c r="K40">
        <f t="shared" si="8"/>
        <v>433.10161776681491</v>
      </c>
      <c r="L40">
        <f t="shared" si="9"/>
        <v>51.302673121190367</v>
      </c>
      <c r="M40">
        <f t="shared" si="10"/>
        <v>38.620158161808448</v>
      </c>
    </row>
    <row r="41" spans="1:13" x14ac:dyDescent="0.2">
      <c r="A41">
        <f t="shared" si="11"/>
        <v>312.5</v>
      </c>
      <c r="B41">
        <f t="shared" si="0"/>
        <v>186.01190476190476</v>
      </c>
      <c r="C41">
        <f t="shared" si="1"/>
        <v>3.8921327522620048E-3</v>
      </c>
      <c r="D41">
        <f t="shared" si="2"/>
        <v>4.2388233418367351E-4</v>
      </c>
      <c r="E41">
        <f t="shared" si="3"/>
        <v>2.948085738831473E-4</v>
      </c>
      <c r="F41">
        <f t="shared" si="4"/>
        <v>0.44642857142857145</v>
      </c>
      <c r="G41">
        <f t="shared" si="5"/>
        <v>0.18316472473016401</v>
      </c>
      <c r="H41">
        <f t="shared" si="6"/>
        <v>4.6108236603288255E-3</v>
      </c>
      <c r="I41">
        <f t="shared" si="12"/>
        <v>222.69517110433148</v>
      </c>
      <c r="J41">
        <f t="shared" si="7"/>
        <v>579.91851574522002</v>
      </c>
      <c r="K41">
        <f t="shared" si="8"/>
        <v>489.52638726898766</v>
      </c>
      <c r="L41">
        <f t="shared" si="9"/>
        <v>53.313080742039155</v>
      </c>
      <c r="M41">
        <f t="shared" si="10"/>
        <v>37.079047734193168</v>
      </c>
    </row>
    <row r="42" spans="1:13" x14ac:dyDescent="0.2">
      <c r="A42">
        <f t="shared" si="11"/>
        <v>325</v>
      </c>
      <c r="B42">
        <f t="shared" si="0"/>
        <v>193.45238095238096</v>
      </c>
      <c r="C42">
        <f t="shared" si="1"/>
        <v>4.3781200162404466E-3</v>
      </c>
      <c r="D42">
        <f t="shared" si="2"/>
        <v>4.4051913265306128E-4</v>
      </c>
      <c r="E42">
        <f t="shared" si="3"/>
        <v>2.834929263270494E-4</v>
      </c>
      <c r="F42">
        <f t="shared" si="4"/>
        <v>0.4642857142857143</v>
      </c>
      <c r="G42">
        <f t="shared" si="5"/>
        <v>0.17613430684761708</v>
      </c>
      <c r="H42">
        <f t="shared" si="6"/>
        <v>5.1021320752205578E-3</v>
      </c>
      <c r="I42">
        <f t="shared" si="12"/>
        <v>222.69517110433148</v>
      </c>
      <c r="J42">
        <f t="shared" si="7"/>
        <v>641.71199728487852</v>
      </c>
      <c r="K42">
        <f t="shared" si="8"/>
        <v>550.65061008894236</v>
      </c>
      <c r="L42">
        <f t="shared" si="9"/>
        <v>55.405545816800156</v>
      </c>
      <c r="M42">
        <f t="shared" si="10"/>
        <v>35.655841379135921</v>
      </c>
    </row>
    <row r="43" spans="1:13" x14ac:dyDescent="0.2">
      <c r="A43">
        <f t="shared" si="11"/>
        <v>337.5</v>
      </c>
      <c r="B43">
        <f t="shared" si="0"/>
        <v>200.89285714285714</v>
      </c>
      <c r="C43">
        <f t="shared" si="1"/>
        <v>4.9029663336174738E-3</v>
      </c>
      <c r="D43">
        <f t="shared" si="2"/>
        <v>4.5780835459183683E-4</v>
      </c>
      <c r="E43">
        <f t="shared" si="3"/>
        <v>2.7301158244894994E-4</v>
      </c>
      <c r="F43">
        <f t="shared" si="4"/>
        <v>0.48214285714285715</v>
      </c>
      <c r="G43">
        <f t="shared" si="5"/>
        <v>0.16962224228671588</v>
      </c>
      <c r="H43">
        <f t="shared" si="6"/>
        <v>5.6337862706582606E-3</v>
      </c>
      <c r="I43">
        <f t="shared" si="12"/>
        <v>222.69517110433148</v>
      </c>
      <c r="J43">
        <f t="shared" si="7"/>
        <v>708.57990085722281</v>
      </c>
      <c r="K43">
        <f t="shared" si="8"/>
        <v>616.66226435939086</v>
      </c>
      <c r="L43">
        <f t="shared" si="9"/>
        <v>57.580068345473343</v>
      </c>
      <c r="M43">
        <f t="shared" si="10"/>
        <v>34.337568152358642</v>
      </c>
    </row>
    <row r="44" spans="1:13" x14ac:dyDescent="0.2">
      <c r="A44">
        <f t="shared" si="11"/>
        <v>350</v>
      </c>
      <c r="B44">
        <f t="shared" si="0"/>
        <v>208.33333333333334</v>
      </c>
      <c r="C44">
        <f t="shared" si="1"/>
        <v>5.4681662833699525E-3</v>
      </c>
      <c r="D44">
        <f t="shared" si="2"/>
        <v>4.7575000000000004E-4</v>
      </c>
      <c r="E44">
        <f t="shared" si="3"/>
        <v>2.6327591170014831E-4</v>
      </c>
      <c r="F44">
        <f t="shared" si="4"/>
        <v>0.5</v>
      </c>
      <c r="G44">
        <f t="shared" si="5"/>
        <v>0.16357346484011903</v>
      </c>
      <c r="H44">
        <f t="shared" si="6"/>
        <v>6.207192195070101E-3</v>
      </c>
      <c r="I44">
        <f t="shared" si="12"/>
        <v>222.69517110433148</v>
      </c>
      <c r="J44">
        <f t="shared" si="7"/>
        <v>780.69905723821421</v>
      </c>
      <c r="K44">
        <f t="shared" si="8"/>
        <v>687.74932821304401</v>
      </c>
      <c r="L44">
        <f t="shared" si="9"/>
        <v>59.836648328058722</v>
      </c>
      <c r="M44">
        <f t="shared" si="10"/>
        <v>33.113080697111535</v>
      </c>
    </row>
    <row r="45" spans="1:13" x14ac:dyDescent="0.2">
      <c r="A45">
        <f t="shared" si="11"/>
        <v>362.5</v>
      </c>
      <c r="B45">
        <f t="shared" si="0"/>
        <v>215.77380952380952</v>
      </c>
      <c r="C45">
        <f t="shared" si="1"/>
        <v>6.0752144444747545E-3</v>
      </c>
      <c r="D45">
        <f t="shared" si="2"/>
        <v>4.943440688775512E-4</v>
      </c>
      <c r="E45">
        <f t="shared" si="3"/>
        <v>2.5420934136736144E-4</v>
      </c>
      <c r="F45">
        <f t="shared" si="4"/>
        <v>0.5178571428571429</v>
      </c>
      <c r="G45">
        <f t="shared" si="5"/>
        <v>0.1579403998400834</v>
      </c>
      <c r="H45">
        <f t="shared" si="6"/>
        <v>6.8237678547196671E-3</v>
      </c>
      <c r="I45">
        <f t="shared" si="12"/>
        <v>222.69517110433148</v>
      </c>
      <c r="J45">
        <f t="shared" si="7"/>
        <v>858.24781375758778</v>
      </c>
      <c r="K45">
        <f t="shared" si="8"/>
        <v>764.09977978261372</v>
      </c>
      <c r="L45">
        <f t="shared" si="9"/>
        <v>62.175285764556321</v>
      </c>
      <c r="M45">
        <f t="shared" si="10"/>
        <v>31.972748210417731</v>
      </c>
    </row>
    <row r="46" spans="1:13" x14ac:dyDescent="0.2">
      <c r="A46">
        <f t="shared" si="11"/>
        <v>375</v>
      </c>
      <c r="B46">
        <f t="shared" si="0"/>
        <v>223.21428571428572</v>
      </c>
      <c r="C46">
        <f t="shared" si="1"/>
        <v>6.7256053959087424E-3</v>
      </c>
      <c r="D46">
        <f t="shared" si="2"/>
        <v>5.1359056122448981E-4</v>
      </c>
      <c r="E46">
        <f t="shared" si="3"/>
        <v>2.4574538761309533E-4</v>
      </c>
      <c r="F46">
        <f t="shared" si="4"/>
        <v>0.5357142857142857</v>
      </c>
      <c r="G46">
        <f t="shared" si="5"/>
        <v>0.1526817408427929</v>
      </c>
      <c r="H46">
        <f t="shared" si="6"/>
        <v>7.484941344746328E-3</v>
      </c>
      <c r="I46">
        <f t="shared" si="12"/>
        <v>222.69517110433148</v>
      </c>
      <c r="J46">
        <f t="shared" si="7"/>
        <v>941.40578665629619</v>
      </c>
      <c r="K46">
        <f t="shared" si="8"/>
        <v>845.90159720081044</v>
      </c>
      <c r="L46">
        <f t="shared" si="9"/>
        <v>64.595980654966056</v>
      </c>
      <c r="M46">
        <f t="shared" si="10"/>
        <v>30.908208800519727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65674-D702-4E8B-B95F-C3470DECA837}">
  <dimension ref="A1:O46"/>
  <sheetViews>
    <sheetView zoomScaleNormal="100" workbookViewId="0">
      <selection activeCell="I12" sqref="I12"/>
    </sheetView>
  </sheetViews>
  <sheetFormatPr baseColWidth="10" defaultColWidth="8.83203125" defaultRowHeight="15" x14ac:dyDescent="0.2"/>
  <cols>
    <col min="3" max="3" width="12.5" bestFit="1" customWidth="1"/>
    <col min="4" max="4" width="12" bestFit="1" customWidth="1"/>
  </cols>
  <sheetData>
    <row r="1" spans="1:14" x14ac:dyDescent="0.2">
      <c r="A1" t="s">
        <v>193</v>
      </c>
      <c r="C1">
        <v>1323</v>
      </c>
      <c r="D1" t="s">
        <v>124</v>
      </c>
      <c r="H1" t="s">
        <v>192</v>
      </c>
      <c r="I1">
        <v>-5.05</v>
      </c>
      <c r="J1" t="s">
        <v>179</v>
      </c>
      <c r="K1">
        <f>RADIANS(I1)</f>
        <v>-8.813912722571364E-2</v>
      </c>
      <c r="L1" t="s">
        <v>178</v>
      </c>
    </row>
    <row r="2" spans="1:14" x14ac:dyDescent="0.2">
      <c r="A2" t="s">
        <v>191</v>
      </c>
      <c r="C2">
        <v>4.2651000000000003</v>
      </c>
      <c r="D2" t="s">
        <v>39</v>
      </c>
      <c r="H2" t="s">
        <v>190</v>
      </c>
      <c r="I2">
        <v>700</v>
      </c>
      <c r="J2" t="s">
        <v>81</v>
      </c>
      <c r="K2">
        <v>450</v>
      </c>
      <c r="L2" t="s">
        <v>36</v>
      </c>
    </row>
    <row r="3" spans="1:14" x14ac:dyDescent="0.2">
      <c r="A3" t="s">
        <v>189</v>
      </c>
      <c r="C3">
        <f>2*PI()*C2^2</f>
        <v>114.29791407418968</v>
      </c>
      <c r="D3" t="s">
        <v>132</v>
      </c>
      <c r="H3" t="s">
        <v>44</v>
      </c>
      <c r="I3">
        <v>0</v>
      </c>
      <c r="J3" t="s">
        <v>39</v>
      </c>
    </row>
    <row r="4" spans="1:14" x14ac:dyDescent="0.2">
      <c r="A4" t="s">
        <v>188</v>
      </c>
      <c r="C4">
        <v>1.61</v>
      </c>
      <c r="D4" t="s">
        <v>39</v>
      </c>
      <c r="H4" t="s">
        <v>62</v>
      </c>
      <c r="I4">
        <f>0.002377*(1-0.00198*I3/288.16)^4.2553</f>
        <v>2.3770000000000002E-3</v>
      </c>
      <c r="J4" t="s">
        <v>187</v>
      </c>
    </row>
    <row r="5" spans="1:14" x14ac:dyDescent="0.2">
      <c r="A5" t="s">
        <v>186</v>
      </c>
      <c r="C5">
        <v>2</v>
      </c>
      <c r="D5" t="s">
        <v>185</v>
      </c>
      <c r="H5" t="s">
        <v>184</v>
      </c>
      <c r="I5">
        <f>I2/C2</f>
        <v>164.12276382734285</v>
      </c>
      <c r="J5" t="s">
        <v>183</v>
      </c>
    </row>
    <row r="6" spans="1:14" x14ac:dyDescent="0.2">
      <c r="A6" t="s">
        <v>182</v>
      </c>
      <c r="C6">
        <v>300</v>
      </c>
      <c r="D6" t="s">
        <v>181</v>
      </c>
      <c r="H6" t="s">
        <v>180</v>
      </c>
      <c r="I6" s="31">
        <v>5</v>
      </c>
      <c r="J6" t="s">
        <v>179</v>
      </c>
      <c r="K6" s="31">
        <f>RADIANS(I6)</f>
        <v>8.7266462599716474E-2</v>
      </c>
      <c r="L6" t="s">
        <v>178</v>
      </c>
    </row>
    <row r="7" spans="1:14" x14ac:dyDescent="0.2">
      <c r="A7" t="s">
        <v>177</v>
      </c>
      <c r="C7">
        <v>140</v>
      </c>
      <c r="D7" t="s">
        <v>36</v>
      </c>
      <c r="H7" t="s">
        <v>176</v>
      </c>
      <c r="I7">
        <v>0.27500000000000002</v>
      </c>
      <c r="J7" t="s">
        <v>39</v>
      </c>
    </row>
    <row r="8" spans="1:14" x14ac:dyDescent="0.2">
      <c r="A8" t="s">
        <v>70</v>
      </c>
      <c r="C8">
        <v>9000</v>
      </c>
      <c r="D8" t="s">
        <v>39</v>
      </c>
      <c r="H8" t="s">
        <v>175</v>
      </c>
      <c r="I8">
        <f>SQRT(C1/(2*I4*C3))</f>
        <v>49.343639721348637</v>
      </c>
      <c r="J8" t="s">
        <v>81</v>
      </c>
    </row>
    <row r="9" spans="1:14" x14ac:dyDescent="0.2">
      <c r="A9" t="s">
        <v>174</v>
      </c>
      <c r="C9">
        <v>0.1</v>
      </c>
      <c r="D9" t="s">
        <v>173</v>
      </c>
      <c r="H9" t="s">
        <v>172</v>
      </c>
      <c r="I9">
        <f>2*PI()</f>
        <v>6.2831853071795862</v>
      </c>
    </row>
    <row r="10" spans="1:14" x14ac:dyDescent="0.2">
      <c r="A10" t="s">
        <v>171</v>
      </c>
      <c r="C10">
        <v>0.44</v>
      </c>
      <c r="H10" t="s">
        <v>96</v>
      </c>
      <c r="I10">
        <v>8.0000000000000002E-3</v>
      </c>
    </row>
    <row r="11" spans="1:14" x14ac:dyDescent="0.2">
      <c r="A11" t="s">
        <v>170</v>
      </c>
      <c r="C11">
        <f>C1/C3</f>
        <v>11.575014388637516</v>
      </c>
      <c r="D11" t="s">
        <v>89</v>
      </c>
      <c r="H11" t="s">
        <v>169</v>
      </c>
      <c r="I11" s="31">
        <f>-(I6+I1)/(C2*(1-C9))</f>
        <v>1.3025616176773195E-2</v>
      </c>
      <c r="J11" t="s">
        <v>168</v>
      </c>
      <c r="K11" s="31">
        <f>RADIANS(I11)</f>
        <v>2.27339889385728E-4</v>
      </c>
      <c r="L11" t="s">
        <v>167</v>
      </c>
    </row>
    <row r="12" spans="1:14" x14ac:dyDescent="0.2">
      <c r="A12" t="s">
        <v>166</v>
      </c>
      <c r="C12">
        <v>0.11</v>
      </c>
      <c r="H12" t="s">
        <v>165</v>
      </c>
      <c r="I12">
        <v>10</v>
      </c>
    </row>
    <row r="13" spans="1:14" x14ac:dyDescent="0.2">
      <c r="A13" t="s">
        <v>127</v>
      </c>
      <c r="C13">
        <v>1.1499999999999999</v>
      </c>
      <c r="H13" t="s">
        <v>164</v>
      </c>
      <c r="I13">
        <f>N13/I2</f>
        <v>7.0490913887640907E-2</v>
      </c>
      <c r="M13" t="s">
        <v>163</v>
      </c>
      <c r="N13">
        <f>SQRT(C1/(2*I4*C3))</f>
        <v>49.343639721348637</v>
      </c>
    </row>
    <row r="14" spans="1:14" x14ac:dyDescent="0.2">
      <c r="M14" t="s">
        <v>162</v>
      </c>
      <c r="N14">
        <f>C1/(I4*C3*I2^2)</f>
        <v>9.9379378814296124E-3</v>
      </c>
    </row>
    <row r="15" spans="1:14" x14ac:dyDescent="0.2">
      <c r="A15" t="s">
        <v>161</v>
      </c>
      <c r="B15" t="s">
        <v>161</v>
      </c>
      <c r="C15" t="s">
        <v>160</v>
      </c>
      <c r="D15" t="s">
        <v>159</v>
      </c>
      <c r="E15" t="s">
        <v>158</v>
      </c>
      <c r="F15" t="s">
        <v>157</v>
      </c>
      <c r="G15" t="s">
        <v>156</v>
      </c>
      <c r="H15" t="s">
        <v>155</v>
      </c>
      <c r="I15" t="s">
        <v>154</v>
      </c>
      <c r="J15" t="s">
        <v>153</v>
      </c>
      <c r="K15" t="s">
        <v>152</v>
      </c>
      <c r="L15" t="s">
        <v>151</v>
      </c>
      <c r="M15" t="s">
        <v>150</v>
      </c>
    </row>
    <row r="16" spans="1:14" x14ac:dyDescent="0.2">
      <c r="A16">
        <v>0</v>
      </c>
      <c r="B16">
        <f t="shared" ref="B16:B46" si="0">A16/1.68</f>
        <v>0</v>
      </c>
      <c r="C16">
        <f t="shared" ref="C16:C46" si="1">(0.5*$I$12*F16^3)/$C$3</f>
        <v>0</v>
      </c>
      <c r="D16">
        <f t="shared" ref="D16:D46" si="2">2*$C$12*$I$10*(1+4.65*F16^2)/8</f>
        <v>2.2000000000000001E-4</v>
      </c>
      <c r="E16">
        <f t="shared" ref="E16:E46" si="3">$C$13^2*$N$14*$I$13*G16/0.9</f>
        <v>1.0293962696930176E-3</v>
      </c>
      <c r="F16">
        <f t="shared" ref="F16:F46" si="4">A16/$I$2</f>
        <v>0</v>
      </c>
      <c r="G16">
        <f t="shared" ref="G16:G46" si="5">SQRT((-1*(F16/$I$13)^2+SQRT((F16/$I$13)^4+4))/2)</f>
        <v>1</v>
      </c>
      <c r="H16">
        <f t="shared" ref="H16:H46" si="6">C16+D16+E16</f>
        <v>1.2493962696930175E-3</v>
      </c>
      <c r="I16">
        <f>$C$6*($I$4/0.002377)</f>
        <v>300</v>
      </c>
      <c r="J16">
        <f t="shared" ref="J16:J46" si="7">K16+L16+M16</f>
        <v>211.68940481466174</v>
      </c>
      <c r="K16">
        <f t="shared" ref="K16:K46" si="8">C16*$I$4*$C$3*$I$2^3/550</f>
        <v>0</v>
      </c>
      <c r="L16">
        <f t="shared" ref="L16:L46" si="9">D16*$I$4*$C$3*$I$2^3/550</f>
        <v>37.275338648696668</v>
      </c>
      <c r="M16">
        <f t="shared" ref="M16:M46" si="10">E16*$I$4*$C$3*$I$2^3/550</f>
        <v>174.41406616596507</v>
      </c>
    </row>
    <row r="17" spans="1:15" x14ac:dyDescent="0.2">
      <c r="A17">
        <f t="shared" ref="A17:A46" si="11">A16+12.5</f>
        <v>12.5</v>
      </c>
      <c r="B17">
        <f t="shared" si="0"/>
        <v>7.4404761904761907</v>
      </c>
      <c r="C17">
        <f t="shared" si="1"/>
        <v>2.4909649614476822E-7</v>
      </c>
      <c r="D17">
        <f t="shared" si="2"/>
        <v>2.2032621173469387E-4</v>
      </c>
      <c r="E17">
        <f t="shared" si="3"/>
        <v>1.0130157667716513E-3</v>
      </c>
      <c r="F17">
        <f t="shared" si="4"/>
        <v>1.7857142857142856E-2</v>
      </c>
      <c r="G17">
        <f t="shared" si="5"/>
        <v>0.98408727192468715</v>
      </c>
      <c r="H17">
        <f t="shared" si="6"/>
        <v>1.2335910750024899E-3</v>
      </c>
      <c r="I17">
        <f t="shared" ref="I17:I46" si="12">$C$6*($I$4/0.002377)</f>
        <v>300</v>
      </c>
      <c r="J17">
        <f t="shared" si="7"/>
        <v>209.0114776123981</v>
      </c>
      <c r="K17">
        <f t="shared" si="8"/>
        <v>4.2205255681818175E-2</v>
      </c>
      <c r="L17">
        <f t="shared" si="9"/>
        <v>37.330609798159813</v>
      </c>
      <c r="M17">
        <f t="shared" si="10"/>
        <v>171.63866255855646</v>
      </c>
    </row>
    <row r="18" spans="1:15" x14ac:dyDescent="0.2">
      <c r="A18">
        <f t="shared" si="11"/>
        <v>25</v>
      </c>
      <c r="B18">
        <f t="shared" si="0"/>
        <v>14.880952380952381</v>
      </c>
      <c r="C18">
        <f t="shared" si="1"/>
        <v>1.9927719691581458E-6</v>
      </c>
      <c r="D18">
        <f t="shared" si="2"/>
        <v>2.2130484693877551E-4</v>
      </c>
      <c r="E18">
        <f t="shared" si="3"/>
        <v>9.6557991970887031E-4</v>
      </c>
      <c r="F18">
        <f t="shared" si="4"/>
        <v>3.5714285714285712E-2</v>
      </c>
      <c r="G18">
        <f t="shared" si="5"/>
        <v>0.9380060411495581</v>
      </c>
      <c r="H18">
        <f t="shared" si="6"/>
        <v>1.188877538616804E-3</v>
      </c>
      <c r="I18">
        <f t="shared" si="12"/>
        <v>300</v>
      </c>
      <c r="J18">
        <f t="shared" si="7"/>
        <v>201.43551301713779</v>
      </c>
      <c r="K18">
        <f t="shared" si="8"/>
        <v>0.3376420454545454</v>
      </c>
      <c r="L18">
        <f t="shared" si="9"/>
        <v>37.496423246549263</v>
      </c>
      <c r="M18">
        <f t="shared" si="10"/>
        <v>163.60144772513399</v>
      </c>
      <c r="O18">
        <f>N14*I13/(D16+E16)</f>
        <v>0.56069826716603199</v>
      </c>
    </row>
    <row r="19" spans="1:15" x14ac:dyDescent="0.2">
      <c r="A19">
        <f t="shared" si="11"/>
        <v>37.5</v>
      </c>
      <c r="B19">
        <f t="shared" si="0"/>
        <v>22.321428571428573</v>
      </c>
      <c r="C19">
        <f t="shared" si="1"/>
        <v>6.7256053959087425E-6</v>
      </c>
      <c r="D19">
        <f t="shared" si="2"/>
        <v>2.2293590561224492E-4</v>
      </c>
      <c r="E19">
        <f t="shared" si="3"/>
        <v>8.9271902010448312E-4</v>
      </c>
      <c r="F19">
        <f t="shared" si="4"/>
        <v>5.3571428571428568E-2</v>
      </c>
      <c r="G19">
        <f t="shared" si="5"/>
        <v>0.86722581612881322</v>
      </c>
      <c r="H19">
        <f t="shared" si="6"/>
        <v>1.1223805311126368E-3</v>
      </c>
      <c r="I19">
        <f t="shared" si="12"/>
        <v>300</v>
      </c>
      <c r="J19">
        <f t="shared" si="7"/>
        <v>190.16870177239798</v>
      </c>
      <c r="K19">
        <f t="shared" si="8"/>
        <v>1.139541903409091</v>
      </c>
      <c r="L19">
        <f t="shared" si="9"/>
        <v>37.772778993865025</v>
      </c>
      <c r="M19">
        <f t="shared" si="10"/>
        <v>151.25638087512388</v>
      </c>
    </row>
    <row r="20" spans="1:15" x14ac:dyDescent="0.2">
      <c r="A20">
        <f t="shared" si="11"/>
        <v>50</v>
      </c>
      <c r="B20">
        <f t="shared" si="0"/>
        <v>29.761904761904763</v>
      </c>
      <c r="C20">
        <f t="shared" si="1"/>
        <v>1.5942175753265166E-5</v>
      </c>
      <c r="D20">
        <f t="shared" si="2"/>
        <v>2.2521938775510203E-4</v>
      </c>
      <c r="E20">
        <f t="shared" si="3"/>
        <v>8.0444260716044003E-4</v>
      </c>
      <c r="F20">
        <f t="shared" si="4"/>
        <v>7.1428571428571425E-2</v>
      </c>
      <c r="G20">
        <f t="shared" si="5"/>
        <v>0.78147029559407444</v>
      </c>
      <c r="H20">
        <f t="shared" si="6"/>
        <v>1.0456041706688073E-3</v>
      </c>
      <c r="I20">
        <f t="shared" si="12"/>
        <v>300</v>
      </c>
      <c r="J20">
        <f t="shared" si="7"/>
        <v>177.16022524622463</v>
      </c>
      <c r="K20">
        <f t="shared" si="8"/>
        <v>2.7011363636363632</v>
      </c>
      <c r="L20">
        <f t="shared" si="9"/>
        <v>38.15967704010707</v>
      </c>
      <c r="M20">
        <f t="shared" si="10"/>
        <v>136.29941184248119</v>
      </c>
    </row>
    <row r="21" spans="1:15" x14ac:dyDescent="0.2">
      <c r="A21">
        <f t="shared" si="11"/>
        <v>62.5</v>
      </c>
      <c r="B21">
        <f t="shared" si="0"/>
        <v>37.202380952380956</v>
      </c>
      <c r="C21">
        <f t="shared" si="1"/>
        <v>3.1137062018096039E-5</v>
      </c>
      <c r="D21">
        <f t="shared" si="2"/>
        <v>2.2815529336734695E-4</v>
      </c>
      <c r="E21">
        <f t="shared" si="3"/>
        <v>7.1304599878955891E-4</v>
      </c>
      <c r="F21">
        <f t="shared" si="4"/>
        <v>8.9285714285714288E-2</v>
      </c>
      <c r="G21">
        <f t="shared" si="5"/>
        <v>0.69268368244835454</v>
      </c>
      <c r="H21">
        <f t="shared" si="6"/>
        <v>9.7233835417500194E-4</v>
      </c>
      <c r="I21">
        <f t="shared" si="12"/>
        <v>300</v>
      </c>
      <c r="J21">
        <f t="shared" si="7"/>
        <v>164.74655196813433</v>
      </c>
      <c r="K21">
        <f t="shared" si="8"/>
        <v>5.2756569602272751</v>
      </c>
      <c r="L21">
        <f t="shared" si="9"/>
        <v>38.65711738527542</v>
      </c>
      <c r="M21">
        <f t="shared" si="10"/>
        <v>120.81377762263165</v>
      </c>
    </row>
    <row r="22" spans="1:15" x14ac:dyDescent="0.2">
      <c r="A22">
        <f t="shared" si="11"/>
        <v>75</v>
      </c>
      <c r="B22">
        <f t="shared" si="0"/>
        <v>44.642857142857146</v>
      </c>
      <c r="C22">
        <f t="shared" si="1"/>
        <v>5.380484316726994E-5</v>
      </c>
      <c r="D22">
        <f t="shared" si="2"/>
        <v>2.3174362244897959E-4</v>
      </c>
      <c r="E22">
        <f t="shared" si="3"/>
        <v>6.2845493799222802E-4</v>
      </c>
      <c r="F22">
        <f t="shared" si="4"/>
        <v>0.10714285714285714</v>
      </c>
      <c r="G22">
        <f t="shared" si="5"/>
        <v>0.61050827217359471</v>
      </c>
      <c r="H22">
        <f t="shared" si="6"/>
        <v>9.1400340360847762E-4</v>
      </c>
      <c r="I22">
        <f t="shared" si="12"/>
        <v>300</v>
      </c>
      <c r="J22">
        <f t="shared" si="7"/>
        <v>154.86266543439717</v>
      </c>
      <c r="K22">
        <f t="shared" si="8"/>
        <v>9.116335227272728</v>
      </c>
      <c r="L22">
        <f t="shared" si="9"/>
        <v>39.265100029370075</v>
      </c>
      <c r="M22">
        <f t="shared" si="10"/>
        <v>106.48123017775437</v>
      </c>
    </row>
    <row r="23" spans="1:15" x14ac:dyDescent="0.2">
      <c r="A23">
        <f t="shared" si="11"/>
        <v>87.5</v>
      </c>
      <c r="B23">
        <f t="shared" si="0"/>
        <v>52.083333333333336</v>
      </c>
      <c r="C23">
        <f t="shared" si="1"/>
        <v>8.5440098177655508E-5</v>
      </c>
      <c r="D23">
        <f t="shared" si="2"/>
        <v>2.3598437500000003E-4</v>
      </c>
      <c r="E23">
        <f t="shared" si="3"/>
        <v>5.5536964387760716E-4</v>
      </c>
      <c r="F23">
        <f t="shared" si="4"/>
        <v>0.125</v>
      </c>
      <c r="G23">
        <f t="shared" si="5"/>
        <v>0.539510060633139</v>
      </c>
      <c r="H23">
        <f t="shared" si="6"/>
        <v>8.7679411705526269E-4</v>
      </c>
      <c r="I23">
        <f t="shared" si="12"/>
        <v>300</v>
      </c>
      <c r="J23">
        <f t="shared" si="7"/>
        <v>148.55817108372682</v>
      </c>
      <c r="K23">
        <f t="shared" si="8"/>
        <v>14.476402698863636</v>
      </c>
      <c r="L23">
        <f t="shared" si="9"/>
        <v>39.983624972391034</v>
      </c>
      <c r="M23">
        <f t="shared" si="10"/>
        <v>94.098143412472155</v>
      </c>
    </row>
    <row r="24" spans="1:15" x14ac:dyDescent="0.2">
      <c r="A24">
        <f t="shared" si="11"/>
        <v>100</v>
      </c>
      <c r="B24">
        <f t="shared" si="0"/>
        <v>59.523809523809526</v>
      </c>
      <c r="C24">
        <f t="shared" si="1"/>
        <v>1.2753740602612133E-4</v>
      </c>
      <c r="D24">
        <f t="shared" si="2"/>
        <v>2.4087755102040817E-4</v>
      </c>
      <c r="E24">
        <f t="shared" si="3"/>
        <v>4.9425921056483687E-4</v>
      </c>
      <c r="F24">
        <f t="shared" si="4"/>
        <v>0.14285714285714285</v>
      </c>
      <c r="G24">
        <f t="shared" si="5"/>
        <v>0.48014474611631613</v>
      </c>
      <c r="H24">
        <f t="shared" si="6"/>
        <v>8.6267416761136632E-4</v>
      </c>
      <c r="I24">
        <f t="shared" si="12"/>
        <v>300</v>
      </c>
      <c r="J24">
        <f t="shared" si="7"/>
        <v>146.16578064180086</v>
      </c>
      <c r="K24">
        <f t="shared" si="8"/>
        <v>21.609090909090906</v>
      </c>
      <c r="L24">
        <f t="shared" si="9"/>
        <v>40.812692214338284</v>
      </c>
      <c r="M24">
        <f t="shared" si="10"/>
        <v>83.743997518371671</v>
      </c>
    </row>
    <row r="25" spans="1:15" x14ac:dyDescent="0.2">
      <c r="A25">
        <f t="shared" si="11"/>
        <v>112.5</v>
      </c>
      <c r="B25">
        <f t="shared" si="0"/>
        <v>66.964285714285722</v>
      </c>
      <c r="C25">
        <f t="shared" si="1"/>
        <v>1.8159134568953612E-4</v>
      </c>
      <c r="D25">
        <f t="shared" si="2"/>
        <v>2.4642315051020408E-4</v>
      </c>
      <c r="E25">
        <f t="shared" si="3"/>
        <v>4.4364683360787496E-4</v>
      </c>
      <c r="F25">
        <f t="shared" si="4"/>
        <v>0.16071428571428573</v>
      </c>
      <c r="G25">
        <f t="shared" si="5"/>
        <v>0.43097769699532479</v>
      </c>
      <c r="H25">
        <f t="shared" si="6"/>
        <v>8.7166132980761517E-4</v>
      </c>
      <c r="I25">
        <f t="shared" si="12"/>
        <v>300</v>
      </c>
      <c r="J25">
        <f t="shared" si="7"/>
        <v>147.68850570705513</v>
      </c>
      <c r="K25">
        <f t="shared" si="8"/>
        <v>30.767631392045466</v>
      </c>
      <c r="L25">
        <f t="shared" si="9"/>
        <v>41.752301755211853</v>
      </c>
      <c r="M25">
        <f t="shared" si="10"/>
        <v>75.168572559797823</v>
      </c>
    </row>
    <row r="26" spans="1:15" x14ac:dyDescent="0.2">
      <c r="A26">
        <f t="shared" si="11"/>
        <v>125</v>
      </c>
      <c r="B26">
        <f t="shared" si="0"/>
        <v>74.404761904761912</v>
      </c>
      <c r="C26">
        <f t="shared" si="1"/>
        <v>2.4909649614476831E-4</v>
      </c>
      <c r="D26">
        <f t="shared" si="2"/>
        <v>2.5262117346938775E-4</v>
      </c>
      <c r="E26">
        <f t="shared" si="3"/>
        <v>4.0161811275298925E-4</v>
      </c>
      <c r="F26">
        <f t="shared" si="4"/>
        <v>0.17857142857142858</v>
      </c>
      <c r="G26">
        <f t="shared" si="5"/>
        <v>0.39014918217331229</v>
      </c>
      <c r="H26">
        <f t="shared" si="6"/>
        <v>9.0333578236714536E-4</v>
      </c>
      <c r="I26">
        <f t="shared" si="12"/>
        <v>300</v>
      </c>
      <c r="J26">
        <f t="shared" si="7"/>
        <v>153.05521455100316</v>
      </c>
      <c r="K26">
        <f t="shared" si="8"/>
        <v>42.205255681818201</v>
      </c>
      <c r="L26">
        <f t="shared" si="9"/>
        <v>42.802453595011706</v>
      </c>
      <c r="M26">
        <f t="shared" si="10"/>
        <v>68.047505274173261</v>
      </c>
    </row>
    <row r="27" spans="1:15" x14ac:dyDescent="0.2">
      <c r="A27">
        <f t="shared" si="11"/>
        <v>137.5</v>
      </c>
      <c r="B27">
        <f t="shared" si="0"/>
        <v>81.845238095238102</v>
      </c>
      <c r="C27">
        <f t="shared" si="1"/>
        <v>3.3154743636868648E-4</v>
      </c>
      <c r="D27">
        <f t="shared" si="2"/>
        <v>2.5947161989795919E-4</v>
      </c>
      <c r="E27">
        <f t="shared" si="3"/>
        <v>3.6643430676942671E-4</v>
      </c>
      <c r="F27">
        <f t="shared" si="4"/>
        <v>0.19642857142857142</v>
      </c>
      <c r="G27">
        <f t="shared" si="5"/>
        <v>0.35597011331574308</v>
      </c>
      <c r="H27">
        <f t="shared" si="6"/>
        <v>9.5745336303607238E-4</v>
      </c>
      <c r="I27">
        <f t="shared" si="12"/>
        <v>300</v>
      </c>
      <c r="J27">
        <f t="shared" si="7"/>
        <v>162.22453794319597</v>
      </c>
      <c r="K27">
        <f t="shared" si="8"/>
        <v>56.175195312499987</v>
      </c>
      <c r="L27">
        <f t="shared" si="9"/>
        <v>43.96314773373787</v>
      </c>
      <c r="M27">
        <f t="shared" si="10"/>
        <v>62.086194896958105</v>
      </c>
    </row>
    <row r="28" spans="1:15" x14ac:dyDescent="0.2">
      <c r="A28">
        <f t="shared" si="11"/>
        <v>150</v>
      </c>
      <c r="B28">
        <f t="shared" si="0"/>
        <v>89.285714285714292</v>
      </c>
      <c r="C28">
        <f t="shared" si="1"/>
        <v>4.3043874533815952E-4</v>
      </c>
      <c r="D28">
        <f t="shared" si="2"/>
        <v>2.6697448979591841E-4</v>
      </c>
      <c r="E28">
        <f t="shared" si="3"/>
        <v>3.3668458952655303E-4</v>
      </c>
      <c r="F28">
        <f t="shared" si="4"/>
        <v>0.21428571428571427</v>
      </c>
      <c r="G28">
        <f t="shared" si="5"/>
        <v>0.32706995298026265</v>
      </c>
      <c r="H28">
        <f t="shared" si="6"/>
        <v>1.0340978246606309E-3</v>
      </c>
      <c r="I28">
        <f t="shared" si="12"/>
        <v>300</v>
      </c>
      <c r="J28">
        <f t="shared" si="7"/>
        <v>175.21066640957076</v>
      </c>
      <c r="K28">
        <f t="shared" si="8"/>
        <v>72.930681818181824</v>
      </c>
      <c r="L28">
        <f t="shared" si="9"/>
        <v>45.234384171390317</v>
      </c>
      <c r="M28">
        <f t="shared" si="10"/>
        <v>57.045600419998614</v>
      </c>
    </row>
    <row r="29" spans="1:15" x14ac:dyDescent="0.2">
      <c r="A29">
        <f t="shared" si="11"/>
        <v>162.5</v>
      </c>
      <c r="B29">
        <f t="shared" si="0"/>
        <v>96.726190476190482</v>
      </c>
      <c r="C29">
        <f t="shared" si="1"/>
        <v>5.4726500203005582E-4</v>
      </c>
      <c r="D29">
        <f t="shared" si="2"/>
        <v>2.7512978316326535E-4</v>
      </c>
      <c r="E29">
        <f t="shared" si="3"/>
        <v>3.112700748400802E-4</v>
      </c>
      <c r="F29">
        <f t="shared" si="4"/>
        <v>0.23214285714285715</v>
      </c>
      <c r="G29">
        <f t="shared" si="5"/>
        <v>0.30238119566229421</v>
      </c>
      <c r="H29">
        <f t="shared" si="6"/>
        <v>1.1336648600334012E-3</v>
      </c>
      <c r="I29">
        <f t="shared" si="12"/>
        <v>300</v>
      </c>
      <c r="J29">
        <f t="shared" si="7"/>
        <v>192.08064350851069</v>
      </c>
      <c r="K29">
        <f t="shared" si="8"/>
        <v>92.724946732954564</v>
      </c>
      <c r="L29">
        <f t="shared" si="9"/>
        <v>46.616162907969084</v>
      </c>
      <c r="M29">
        <f t="shared" si="10"/>
        <v>52.739533867587021</v>
      </c>
    </row>
    <row r="30" spans="1:15" x14ac:dyDescent="0.2">
      <c r="A30">
        <f t="shared" si="11"/>
        <v>175</v>
      </c>
      <c r="B30">
        <f t="shared" si="0"/>
        <v>104.16666666666667</v>
      </c>
      <c r="C30">
        <f t="shared" si="1"/>
        <v>6.8352078542124406E-4</v>
      </c>
      <c r="D30">
        <f t="shared" si="2"/>
        <v>2.8393750000000001E-4</v>
      </c>
      <c r="E30">
        <f t="shared" si="3"/>
        <v>2.893450188741686E-4</v>
      </c>
      <c r="F30">
        <f t="shared" si="4"/>
        <v>0.25</v>
      </c>
      <c r="G30">
        <f t="shared" si="5"/>
        <v>0.28108224926874453</v>
      </c>
      <c r="H30">
        <f t="shared" si="6"/>
        <v>1.2568033042954126E-3</v>
      </c>
      <c r="I30">
        <f t="shared" si="12"/>
        <v>300</v>
      </c>
      <c r="J30">
        <f t="shared" si="7"/>
        <v>212.94440355642033</v>
      </c>
      <c r="K30">
        <f t="shared" si="8"/>
        <v>115.81122159090908</v>
      </c>
      <c r="L30">
        <f t="shared" si="9"/>
        <v>48.108483943474134</v>
      </c>
      <c r="M30">
        <f t="shared" si="10"/>
        <v>49.024698022037107</v>
      </c>
    </row>
    <row r="31" spans="1:15" x14ac:dyDescent="0.2">
      <c r="A31">
        <f t="shared" si="11"/>
        <v>187.5</v>
      </c>
      <c r="B31">
        <f t="shared" si="0"/>
        <v>111.60714285714286</v>
      </c>
      <c r="C31">
        <f t="shared" si="1"/>
        <v>8.407006744885928E-4</v>
      </c>
      <c r="D31">
        <f t="shared" si="2"/>
        <v>2.9339764030612245E-4</v>
      </c>
      <c r="E31">
        <f t="shared" si="3"/>
        <v>2.7025788802018797E-4</v>
      </c>
      <c r="F31">
        <f t="shared" si="4"/>
        <v>0.26785714285714285</v>
      </c>
      <c r="G31">
        <f t="shared" si="5"/>
        <v>0.26254018590992484</v>
      </c>
      <c r="H31">
        <f t="shared" si="6"/>
        <v>1.4043562028149032E-3</v>
      </c>
      <c r="I31">
        <f t="shared" si="12"/>
        <v>300</v>
      </c>
      <c r="J31">
        <f t="shared" si="7"/>
        <v>237.94478656056029</v>
      </c>
      <c r="K31">
        <f t="shared" si="8"/>
        <v>142.44273792613637</v>
      </c>
      <c r="L31">
        <f t="shared" si="9"/>
        <v>49.711347277905503</v>
      </c>
      <c r="M31">
        <f t="shared" si="10"/>
        <v>45.790701356518404</v>
      </c>
    </row>
    <row r="32" spans="1:15" x14ac:dyDescent="0.2">
      <c r="A32">
        <f t="shared" si="11"/>
        <v>200</v>
      </c>
      <c r="B32">
        <f t="shared" si="0"/>
        <v>119.04761904761905</v>
      </c>
      <c r="C32">
        <f t="shared" si="1"/>
        <v>1.0202992482089706E-3</v>
      </c>
      <c r="D32">
        <f t="shared" si="2"/>
        <v>3.0351020408163267E-4</v>
      </c>
      <c r="E32">
        <f t="shared" si="3"/>
        <v>2.53503318843257E-4</v>
      </c>
      <c r="F32">
        <f t="shared" si="4"/>
        <v>0.2857142857142857</v>
      </c>
      <c r="G32">
        <f t="shared" si="5"/>
        <v>0.24626407371658313</v>
      </c>
      <c r="H32">
        <f t="shared" si="6"/>
        <v>1.5773127711338603E-3</v>
      </c>
      <c r="I32">
        <f t="shared" si="12"/>
        <v>300</v>
      </c>
      <c r="J32">
        <f t="shared" si="7"/>
        <v>267.24939863149461</v>
      </c>
      <c r="K32">
        <f t="shared" si="8"/>
        <v>172.87272727272725</v>
      </c>
      <c r="L32">
        <f t="shared" si="9"/>
        <v>51.424752911263155</v>
      </c>
      <c r="M32">
        <f t="shared" si="10"/>
        <v>42.951918447504241</v>
      </c>
    </row>
    <row r="33" spans="1:13" x14ac:dyDescent="0.2">
      <c r="A33">
        <f t="shared" si="11"/>
        <v>212.5</v>
      </c>
      <c r="B33">
        <f t="shared" si="0"/>
        <v>126.48809523809524</v>
      </c>
      <c r="C33">
        <f t="shared" si="1"/>
        <v>1.2238110855592463E-3</v>
      </c>
      <c r="D33">
        <f t="shared" si="2"/>
        <v>3.1427519132653061E-4</v>
      </c>
      <c r="E33">
        <f t="shared" si="3"/>
        <v>2.3868562348169849E-4</v>
      </c>
      <c r="F33">
        <f t="shared" si="4"/>
        <v>0.30357142857142855</v>
      </c>
      <c r="G33">
        <f t="shared" si="5"/>
        <v>0.23186952440859179</v>
      </c>
      <c r="H33">
        <f t="shared" si="6"/>
        <v>1.7767719003674756E-3</v>
      </c>
      <c r="I33">
        <f t="shared" si="12"/>
        <v>300</v>
      </c>
      <c r="J33">
        <f t="shared" si="7"/>
        <v>301.04442858039084</v>
      </c>
      <c r="K33">
        <f t="shared" si="8"/>
        <v>207.35442116477273</v>
      </c>
      <c r="L33">
        <f t="shared" si="9"/>
        <v>53.24870084354712</v>
      </c>
      <c r="M33">
        <f t="shared" si="10"/>
        <v>40.441306572070992</v>
      </c>
    </row>
    <row r="34" spans="1:13" x14ac:dyDescent="0.2">
      <c r="A34">
        <f t="shared" si="11"/>
        <v>225</v>
      </c>
      <c r="B34">
        <f t="shared" si="0"/>
        <v>133.92857142857144</v>
      </c>
      <c r="C34">
        <f t="shared" si="1"/>
        <v>1.452730765516289E-3</v>
      </c>
      <c r="D34">
        <f t="shared" si="2"/>
        <v>3.2569260204081638E-4</v>
      </c>
      <c r="E34">
        <f t="shared" si="3"/>
        <v>2.2549177402773592E-4</v>
      </c>
      <c r="F34">
        <f t="shared" si="4"/>
        <v>0.32142857142857145</v>
      </c>
      <c r="G34">
        <f t="shared" si="5"/>
        <v>0.21905244915544639</v>
      </c>
      <c r="H34">
        <f t="shared" si="6"/>
        <v>2.0039151415848413E-3</v>
      </c>
      <c r="I34">
        <f t="shared" si="12"/>
        <v>300</v>
      </c>
      <c r="J34">
        <f t="shared" si="7"/>
        <v>339.53007057193588</v>
      </c>
      <c r="K34">
        <f t="shared" si="8"/>
        <v>246.14105113636373</v>
      </c>
      <c r="L34">
        <f t="shared" si="9"/>
        <v>55.183191074757389</v>
      </c>
      <c r="M34">
        <f t="shared" si="10"/>
        <v>38.205828360814728</v>
      </c>
    </row>
    <row r="35" spans="1:13" x14ac:dyDescent="0.2">
      <c r="A35">
        <f t="shared" si="11"/>
        <v>237.5</v>
      </c>
      <c r="B35">
        <f t="shared" si="0"/>
        <v>141.36904761904762</v>
      </c>
      <c r="C35">
        <f t="shared" si="1"/>
        <v>1.7085528670569658E-3</v>
      </c>
      <c r="D35">
        <f t="shared" si="2"/>
        <v>3.3776243622448988E-4</v>
      </c>
      <c r="E35">
        <f t="shared" si="3"/>
        <v>2.1367154219997843E-4</v>
      </c>
      <c r="F35">
        <f t="shared" si="4"/>
        <v>0.3392857142857143</v>
      </c>
      <c r="G35">
        <f t="shared" si="5"/>
        <v>0.2075697653962732</v>
      </c>
      <c r="H35">
        <f t="shared" si="6"/>
        <v>2.2599868454814343E-3</v>
      </c>
      <c r="I35">
        <f t="shared" si="12"/>
        <v>300</v>
      </c>
      <c r="J35">
        <f t="shared" si="7"/>
        <v>382.91715912236435</v>
      </c>
      <c r="K35">
        <f t="shared" si="8"/>
        <v>289.48584872159097</v>
      </c>
      <c r="L35">
        <f t="shared" si="9"/>
        <v>57.228223604893948</v>
      </c>
      <c r="M35">
        <f t="shared" si="10"/>
        <v>36.203086795879436</v>
      </c>
    </row>
    <row r="36" spans="1:13" x14ac:dyDescent="0.2">
      <c r="A36">
        <f t="shared" si="11"/>
        <v>250</v>
      </c>
      <c r="B36">
        <f t="shared" si="0"/>
        <v>148.80952380952382</v>
      </c>
      <c r="C36">
        <f t="shared" si="1"/>
        <v>1.9927719691581465E-3</v>
      </c>
      <c r="D36">
        <f t="shared" si="2"/>
        <v>3.5048469387755104E-4</v>
      </c>
      <c r="E36">
        <f t="shared" si="3"/>
        <v>2.0302286960261357E-4</v>
      </c>
      <c r="F36">
        <f t="shared" si="4"/>
        <v>0.35714285714285715</v>
      </c>
      <c r="G36">
        <f t="shared" si="5"/>
        <v>0.19722518487769361</v>
      </c>
      <c r="H36">
        <f t="shared" si="6"/>
        <v>2.5462795326383113E-3</v>
      </c>
      <c r="I36">
        <f t="shared" si="12"/>
        <v>300</v>
      </c>
      <c r="J36">
        <f t="shared" si="7"/>
        <v>431.42469033335522</v>
      </c>
      <c r="K36">
        <f t="shared" si="8"/>
        <v>337.64204545454561</v>
      </c>
      <c r="L36">
        <f t="shared" si="9"/>
        <v>59.383798433956812</v>
      </c>
      <c r="M36">
        <f t="shared" si="10"/>
        <v>34.398846444852751</v>
      </c>
    </row>
    <row r="37" spans="1:13" x14ac:dyDescent="0.2">
      <c r="A37">
        <f t="shared" si="11"/>
        <v>262.5</v>
      </c>
      <c r="B37">
        <f t="shared" si="0"/>
        <v>156.25</v>
      </c>
      <c r="C37">
        <f t="shared" si="1"/>
        <v>2.3068826507966988E-3</v>
      </c>
      <c r="D37">
        <f t="shared" si="2"/>
        <v>3.6385937499999998E-4</v>
      </c>
      <c r="E37">
        <f t="shared" si="3"/>
        <v>1.9338102135900675E-4</v>
      </c>
      <c r="F37">
        <f t="shared" si="4"/>
        <v>0.375</v>
      </c>
      <c r="G37">
        <f t="shared" si="5"/>
        <v>0.18785867702500619</v>
      </c>
      <c r="H37">
        <f t="shared" si="6"/>
        <v>2.8641230471557057E-3</v>
      </c>
      <c r="I37">
        <f t="shared" si="12"/>
        <v>300</v>
      </c>
      <c r="J37">
        <f t="shared" si="7"/>
        <v>485.27798415575427</v>
      </c>
      <c r="K37">
        <f t="shared" si="8"/>
        <v>390.86287286931821</v>
      </c>
      <c r="L37">
        <f t="shared" si="9"/>
        <v>61.64991556194596</v>
      </c>
      <c r="M37">
        <f t="shared" si="10"/>
        <v>32.765195724490091</v>
      </c>
    </row>
    <row r="38" spans="1:13" x14ac:dyDescent="0.2">
      <c r="A38">
        <f t="shared" si="11"/>
        <v>275</v>
      </c>
      <c r="B38">
        <f t="shared" si="0"/>
        <v>163.6904761904762</v>
      </c>
      <c r="C38">
        <f t="shared" si="1"/>
        <v>2.6523794909494918E-3</v>
      </c>
      <c r="D38">
        <f t="shared" si="2"/>
        <v>3.7788647959183675E-4</v>
      </c>
      <c r="E38">
        <f t="shared" si="3"/>
        <v>1.8461047539431743E-4</v>
      </c>
      <c r="F38">
        <f t="shared" si="4"/>
        <v>0.39285714285714285</v>
      </c>
      <c r="G38">
        <f t="shared" si="5"/>
        <v>0.17933858984098633</v>
      </c>
      <c r="H38">
        <f t="shared" si="6"/>
        <v>3.2148764459356462E-3</v>
      </c>
      <c r="I38">
        <f t="shared" si="12"/>
        <v>300</v>
      </c>
      <c r="J38">
        <f t="shared" si="7"/>
        <v>544.70731016349805</v>
      </c>
      <c r="K38">
        <f t="shared" si="8"/>
        <v>449.4015624999999</v>
      </c>
      <c r="L38">
        <f t="shared" si="9"/>
        <v>64.026574988861427</v>
      </c>
      <c r="M38">
        <f t="shared" si="10"/>
        <v>31.279172674636662</v>
      </c>
    </row>
    <row r="39" spans="1:13" x14ac:dyDescent="0.2">
      <c r="A39">
        <f t="shared" si="11"/>
        <v>287.5</v>
      </c>
      <c r="B39">
        <f t="shared" si="0"/>
        <v>171.13095238095238</v>
      </c>
      <c r="C39">
        <f t="shared" si="1"/>
        <v>3.0307570685933947E-3</v>
      </c>
      <c r="D39">
        <f t="shared" si="2"/>
        <v>3.9256600765306124E-4</v>
      </c>
      <c r="E39">
        <f t="shared" si="3"/>
        <v>1.7659879938150598E-4</v>
      </c>
      <c r="F39">
        <f t="shared" si="4"/>
        <v>0.4107142857142857</v>
      </c>
      <c r="G39">
        <f t="shared" si="5"/>
        <v>0.17155570170675921</v>
      </c>
      <c r="H39">
        <f t="shared" si="6"/>
        <v>3.5999218756279619E-3</v>
      </c>
      <c r="I39">
        <f t="shared" si="12"/>
        <v>300</v>
      </c>
      <c r="J39">
        <f t="shared" si="7"/>
        <v>609.94685010401622</v>
      </c>
      <c r="K39">
        <f t="shared" si="8"/>
        <v>513.51134588068169</v>
      </c>
      <c r="L39">
        <f t="shared" si="9"/>
        <v>66.513776714703212</v>
      </c>
      <c r="M39">
        <f t="shared" si="10"/>
        <v>29.921727508631268</v>
      </c>
    </row>
    <row r="40" spans="1:13" x14ac:dyDescent="0.2">
      <c r="A40">
        <f t="shared" si="11"/>
        <v>300</v>
      </c>
      <c r="B40">
        <f t="shared" si="0"/>
        <v>178.57142857142858</v>
      </c>
      <c r="C40">
        <f t="shared" si="1"/>
        <v>3.4435099627052762E-3</v>
      </c>
      <c r="D40">
        <f t="shared" si="2"/>
        <v>4.0789795918367352E-4</v>
      </c>
      <c r="E40">
        <f t="shared" si="3"/>
        <v>1.6925198273693082E-4</v>
      </c>
      <c r="F40">
        <f t="shared" si="4"/>
        <v>0.42857142857142855</v>
      </c>
      <c r="G40">
        <f t="shared" si="5"/>
        <v>0.16441868668069337</v>
      </c>
      <c r="H40">
        <f t="shared" si="6"/>
        <v>4.0206599046258805E-3</v>
      </c>
      <c r="I40">
        <f t="shared" si="12"/>
        <v>300</v>
      </c>
      <c r="J40">
        <f t="shared" si="7"/>
        <v>681.23390698257344</v>
      </c>
      <c r="K40">
        <f t="shared" si="8"/>
        <v>583.4454545454546</v>
      </c>
      <c r="L40">
        <f t="shared" si="9"/>
        <v>69.111520739471274</v>
      </c>
      <c r="M40">
        <f t="shared" si="10"/>
        <v>28.676931697647539</v>
      </c>
    </row>
    <row r="41" spans="1:13" x14ac:dyDescent="0.2">
      <c r="A41">
        <f t="shared" si="11"/>
        <v>312.5</v>
      </c>
      <c r="B41">
        <f t="shared" si="0"/>
        <v>186.01190476190476</v>
      </c>
      <c r="C41">
        <f t="shared" si="1"/>
        <v>3.8921327522620048E-3</v>
      </c>
      <c r="D41">
        <f t="shared" si="2"/>
        <v>4.2388233418367351E-4</v>
      </c>
      <c r="E41">
        <f t="shared" si="3"/>
        <v>1.6249084317136454E-4</v>
      </c>
      <c r="F41">
        <f t="shared" si="4"/>
        <v>0.44642857142857145</v>
      </c>
      <c r="G41">
        <f t="shared" si="5"/>
        <v>0.15785062366684299</v>
      </c>
      <c r="H41">
        <f t="shared" si="6"/>
        <v>4.4785059296170429E-3</v>
      </c>
      <c r="I41">
        <f t="shared" si="12"/>
        <v>300</v>
      </c>
      <c r="J41">
        <f t="shared" si="7"/>
        <v>758.80829621214264</v>
      </c>
      <c r="K41">
        <f t="shared" si="8"/>
        <v>659.45712002840935</v>
      </c>
      <c r="L41">
        <f t="shared" si="9"/>
        <v>71.819807063165641</v>
      </c>
      <c r="M41">
        <f t="shared" si="10"/>
        <v>27.531369120567607</v>
      </c>
    </row>
    <row r="42" spans="1:13" x14ac:dyDescent="0.2">
      <c r="A42">
        <f t="shared" si="11"/>
        <v>325</v>
      </c>
      <c r="B42">
        <f t="shared" si="0"/>
        <v>193.45238095238096</v>
      </c>
      <c r="C42">
        <f t="shared" si="1"/>
        <v>4.3781200162404466E-3</v>
      </c>
      <c r="D42">
        <f t="shared" si="2"/>
        <v>4.4051913265306128E-4</v>
      </c>
      <c r="E42">
        <f t="shared" si="3"/>
        <v>1.5624823424019869E-4</v>
      </c>
      <c r="F42">
        <f t="shared" si="4"/>
        <v>0.4642857142857143</v>
      </c>
      <c r="G42">
        <f t="shared" si="5"/>
        <v>0.15178628370859981</v>
      </c>
      <c r="H42">
        <f t="shared" si="6"/>
        <v>4.9748873831337069E-3</v>
      </c>
      <c r="I42">
        <f t="shared" si="12"/>
        <v>300</v>
      </c>
      <c r="J42">
        <f t="shared" si="7"/>
        <v>842.91187247926052</v>
      </c>
      <c r="K42">
        <f t="shared" si="8"/>
        <v>741.79957386363651</v>
      </c>
      <c r="L42">
        <f t="shared" si="9"/>
        <v>74.638635685786312</v>
      </c>
      <c r="M42">
        <f t="shared" si="10"/>
        <v>26.473662929837676</v>
      </c>
    </row>
    <row r="43" spans="1:13" x14ac:dyDescent="0.2">
      <c r="A43">
        <f t="shared" si="11"/>
        <v>337.5</v>
      </c>
      <c r="B43">
        <f t="shared" si="0"/>
        <v>200.89285714285714</v>
      </c>
      <c r="C43">
        <f t="shared" si="1"/>
        <v>4.9029663336174738E-3</v>
      </c>
      <c r="D43">
        <f t="shared" si="2"/>
        <v>4.5780835459183683E-4</v>
      </c>
      <c r="E43">
        <f t="shared" si="3"/>
        <v>1.5046685564235309E-4</v>
      </c>
      <c r="F43">
        <f t="shared" si="4"/>
        <v>0.48214285714285715</v>
      </c>
      <c r="G43">
        <f t="shared" si="5"/>
        <v>0.14617000281847214</v>
      </c>
      <c r="H43">
        <f t="shared" si="6"/>
        <v>5.5112415438516634E-3</v>
      </c>
      <c r="I43">
        <f t="shared" si="12"/>
        <v>300</v>
      </c>
      <c r="J43">
        <f t="shared" si="7"/>
        <v>933.78815873562098</v>
      </c>
      <c r="K43">
        <f t="shared" si="8"/>
        <v>830.72604758522743</v>
      </c>
      <c r="L43">
        <f t="shared" si="9"/>
        <v>77.568006607333302</v>
      </c>
      <c r="M43">
        <f t="shared" si="10"/>
        <v>25.494104543060306</v>
      </c>
    </row>
    <row r="44" spans="1:13" x14ac:dyDescent="0.2">
      <c r="A44">
        <f t="shared" si="11"/>
        <v>350</v>
      </c>
      <c r="B44">
        <f t="shared" si="0"/>
        <v>208.33333333333334</v>
      </c>
      <c r="C44">
        <f t="shared" si="1"/>
        <v>5.4681662833699525E-3</v>
      </c>
      <c r="D44">
        <f t="shared" si="2"/>
        <v>4.7575000000000004E-4</v>
      </c>
      <c r="E44">
        <f t="shared" si="3"/>
        <v>1.4509752132790485E-4</v>
      </c>
      <c r="F44">
        <f t="shared" si="4"/>
        <v>0.5</v>
      </c>
      <c r="G44">
        <f t="shared" si="5"/>
        <v>0.14095399954302848</v>
      </c>
      <c r="H44">
        <f t="shared" si="6"/>
        <v>6.0890138046978577E-3</v>
      </c>
      <c r="I44">
        <f t="shared" si="12"/>
        <v>300</v>
      </c>
      <c r="J44">
        <f t="shared" si="7"/>
        <v>1031.6820527577345</v>
      </c>
      <c r="K44">
        <f t="shared" si="8"/>
        <v>926.48977272727268</v>
      </c>
      <c r="L44">
        <f t="shared" si="9"/>
        <v>80.607919827806541</v>
      </c>
      <c r="M44">
        <f t="shared" si="10"/>
        <v>24.584360202655184</v>
      </c>
    </row>
    <row r="45" spans="1:13" x14ac:dyDescent="0.2">
      <c r="A45">
        <f t="shared" si="11"/>
        <v>362.5</v>
      </c>
      <c r="B45">
        <f t="shared" si="0"/>
        <v>215.77380952380952</v>
      </c>
      <c r="C45">
        <f t="shared" si="1"/>
        <v>6.0752144444747545E-3</v>
      </c>
      <c r="D45">
        <f t="shared" si="2"/>
        <v>4.943440688775512E-4</v>
      </c>
      <c r="E45">
        <f t="shared" si="3"/>
        <v>1.4009777848325282E-4</v>
      </c>
      <c r="F45">
        <f t="shared" si="4"/>
        <v>0.5178571428571429</v>
      </c>
      <c r="G45">
        <f t="shared" si="5"/>
        <v>0.13609703338543497</v>
      </c>
      <c r="H45">
        <f t="shared" si="6"/>
        <v>6.7096562918355588E-3</v>
      </c>
      <c r="I45">
        <f t="shared" si="12"/>
        <v>300</v>
      </c>
      <c r="J45">
        <f t="shared" si="7"/>
        <v>1136.8395931569487</v>
      </c>
      <c r="K45">
        <f t="shared" si="8"/>
        <v>1029.3439808238638</v>
      </c>
      <c r="L45">
        <f t="shared" si="9"/>
        <v>83.75837534720614</v>
      </c>
      <c r="M45">
        <f t="shared" si="10"/>
        <v>23.737236985878813</v>
      </c>
    </row>
    <row r="46" spans="1:13" x14ac:dyDescent="0.2">
      <c r="A46">
        <f t="shared" si="11"/>
        <v>375</v>
      </c>
      <c r="B46">
        <f t="shared" si="0"/>
        <v>223.21428571428572</v>
      </c>
      <c r="C46">
        <f t="shared" si="1"/>
        <v>6.7256053959087424E-3</v>
      </c>
      <c r="D46">
        <f t="shared" si="2"/>
        <v>5.1359056122448981E-4</v>
      </c>
      <c r="E46">
        <f t="shared" si="3"/>
        <v>1.3543079778590781E-4</v>
      </c>
      <c r="F46">
        <f t="shared" si="4"/>
        <v>0.5357142857142857</v>
      </c>
      <c r="G46">
        <f t="shared" si="5"/>
        <v>0.13156332675102408</v>
      </c>
      <c r="H46">
        <f t="shared" si="6"/>
        <v>7.3746267549191398E-3</v>
      </c>
      <c r="I46">
        <f t="shared" si="12"/>
        <v>300</v>
      </c>
      <c r="J46">
        <f t="shared" si="7"/>
        <v>1249.5077713515907</v>
      </c>
      <c r="K46">
        <f t="shared" si="8"/>
        <v>1139.541903409091</v>
      </c>
      <c r="L46">
        <f t="shared" si="9"/>
        <v>87.019373165531988</v>
      </c>
      <c r="M46">
        <f t="shared" si="10"/>
        <v>22.946494776967604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BFFF6-E191-49FC-81C5-97613BBC6268}">
  <dimension ref="A1:Y73"/>
  <sheetViews>
    <sheetView zoomScaleNormal="100" workbookViewId="0">
      <selection activeCell="E31" sqref="E31"/>
    </sheetView>
  </sheetViews>
  <sheetFormatPr baseColWidth="10" defaultColWidth="8.83203125" defaultRowHeight="15" x14ac:dyDescent="0.2"/>
  <cols>
    <col min="1" max="1" width="26.5" bestFit="1" customWidth="1"/>
    <col min="2" max="2" width="12.5" bestFit="1" customWidth="1"/>
    <col min="3" max="3" width="11.1640625" bestFit="1" customWidth="1"/>
    <col min="4" max="4" width="17.83203125" bestFit="1" customWidth="1"/>
    <col min="5" max="14" width="16.1640625" customWidth="1"/>
  </cols>
  <sheetData>
    <row r="1" spans="1:22" ht="16" thickBot="1" x14ac:dyDescent="0.25">
      <c r="A1" s="42" t="s">
        <v>136</v>
      </c>
      <c r="B1" s="56">
        <f>B12</f>
        <v>9842.52</v>
      </c>
      <c r="C1" s="65" t="s">
        <v>128</v>
      </c>
      <c r="D1" s="53" t="s">
        <v>138</v>
      </c>
      <c r="E1" s="53" t="s">
        <v>137</v>
      </c>
      <c r="F1" s="53" t="s">
        <v>139</v>
      </c>
      <c r="G1" s="54" t="s">
        <v>140</v>
      </c>
      <c r="H1" s="54" t="s">
        <v>141</v>
      </c>
      <c r="I1" s="54" t="s">
        <v>142</v>
      </c>
      <c r="J1" s="54" t="s">
        <v>143</v>
      </c>
      <c r="K1" s="55" t="s">
        <v>145</v>
      </c>
      <c r="L1" s="47" t="s">
        <v>148</v>
      </c>
      <c r="O1" s="47" t="s">
        <v>146</v>
      </c>
      <c r="P1" s="47"/>
      <c r="V1" t="s">
        <v>147</v>
      </c>
    </row>
    <row r="2" spans="1:22" x14ac:dyDescent="0.2">
      <c r="A2" s="49" t="s">
        <v>135</v>
      </c>
      <c r="B2" s="22">
        <f>VLOOKUP(B1,Atmosphere!A3:B33,2,TRUE)</f>
        <v>1.78324E-3</v>
      </c>
      <c r="C2" s="59">
        <f t="shared" ref="C2:C65" si="0">D2*0.592484</f>
        <v>0</v>
      </c>
      <c r="D2" s="60">
        <v>0</v>
      </c>
      <c r="E2" s="60">
        <v>0</v>
      </c>
      <c r="F2" s="60">
        <f>$B$6+$B$8*E2^2</f>
        <v>0.05</v>
      </c>
      <c r="G2" s="60">
        <f>0.5*$B$2*D2^2*$B$4*F2</f>
        <v>0</v>
      </c>
      <c r="H2" s="60">
        <f>(0.5*$B$2*D2^2)*$B$4*$B$6</f>
        <v>0</v>
      </c>
      <c r="I2" s="60">
        <f>(0.5*$B$2*D2^2)*$B$4*E2^2/(PI()*$B$7*$B$5)</f>
        <v>0</v>
      </c>
      <c r="J2" s="60">
        <f t="shared" ref="J2:J33" si="1">H2+I2</f>
        <v>0</v>
      </c>
      <c r="K2" s="61">
        <f t="shared" ref="K2:K65" si="2">$J$63</f>
        <v>285.31334993147254</v>
      </c>
      <c r="L2" s="60"/>
      <c r="Q2">
        <f>0.5*B2*D2^2*5</f>
        <v>0</v>
      </c>
    </row>
    <row r="3" spans="1:22" x14ac:dyDescent="0.2">
      <c r="A3" s="50" t="s">
        <v>133</v>
      </c>
      <c r="B3" s="48">
        <f>B14</f>
        <v>1322.7719999999999</v>
      </c>
      <c r="C3" s="59">
        <f t="shared" si="0"/>
        <v>2.9624199999999998</v>
      </c>
      <c r="D3" s="60">
        <v>5</v>
      </c>
      <c r="E3" s="60">
        <f>(2*$B$3)/(($B$2*D3^2)*$B$4)</f>
        <v>936.96294669091174</v>
      </c>
      <c r="F3" s="60">
        <f t="shared" ref="F3:F66" si="3">$B$6+$B$8*E3^2</f>
        <v>59710.329942196913</v>
      </c>
      <c r="G3" s="60">
        <f t="shared" ref="G3:G66" si="4">0.5*$B$2*D3^2*$B$4*F3</f>
        <v>84296.986169245924</v>
      </c>
      <c r="H3" s="60">
        <f t="shared" ref="H3:H66" si="5">(0.5*$B$2*D3^2)*$B$4*$B$6</f>
        <v>7.0588276978916661E-2</v>
      </c>
      <c r="I3" s="60">
        <f t="shared" ref="I3:I66" si="6">(0.5*$B$2*D3^2)*$B$4*E3^2/(PI()*$B$7*$B$5)</f>
        <v>84296.91558096894</v>
      </c>
      <c r="J3" s="60">
        <f t="shared" si="1"/>
        <v>84296.986169245924</v>
      </c>
      <c r="K3" s="61">
        <f t="shared" si="2"/>
        <v>285.31334993147254</v>
      </c>
      <c r="L3" s="60">
        <f t="shared" ref="L3:L34" si="7">D3/J3</f>
        <v>5.9314101573706682E-5</v>
      </c>
    </row>
    <row r="4" spans="1:22" x14ac:dyDescent="0.2">
      <c r="A4" s="50" t="s">
        <v>134</v>
      </c>
      <c r="B4" s="48">
        <f>airplane!B60</f>
        <v>63.334852945350406</v>
      </c>
      <c r="C4" s="59">
        <f t="shared" si="0"/>
        <v>5.9248399999999997</v>
      </c>
      <c r="D4" s="60">
        <v>10</v>
      </c>
      <c r="E4" s="60">
        <f t="shared" ref="E4:E67" si="8">(2*$B$3)/(($B$2*D4^2)*$B$4)</f>
        <v>234.24073667272793</v>
      </c>
      <c r="F4" s="60">
        <f t="shared" si="3"/>
        <v>3731.9424963873071</v>
      </c>
      <c r="G4" s="60">
        <f t="shared" si="4"/>
        <v>21074.511248350151</v>
      </c>
      <c r="H4" s="60">
        <f t="shared" si="5"/>
        <v>0.28235310791566665</v>
      </c>
      <c r="I4" s="60">
        <f t="shared" si="6"/>
        <v>21074.228895242235</v>
      </c>
      <c r="J4" s="60">
        <f t="shared" si="1"/>
        <v>21074.511248350151</v>
      </c>
      <c r="K4" s="61">
        <f t="shared" si="2"/>
        <v>285.31334993147254</v>
      </c>
      <c r="L4" s="60">
        <f t="shared" si="7"/>
        <v>4.7450685247957361E-4</v>
      </c>
    </row>
    <row r="5" spans="1:22" x14ac:dyDescent="0.2">
      <c r="A5" s="50" t="s">
        <v>95</v>
      </c>
      <c r="B5" s="48">
        <f>airplane!B6</f>
        <v>5.2</v>
      </c>
      <c r="C5" s="59">
        <f t="shared" si="0"/>
        <v>8.8872599999999995</v>
      </c>
      <c r="D5" s="60">
        <v>15</v>
      </c>
      <c r="E5" s="60">
        <f t="shared" si="8"/>
        <v>104.10699407676796</v>
      </c>
      <c r="F5" s="60">
        <f t="shared" si="3"/>
        <v>737.21394990366537</v>
      </c>
      <c r="G5" s="60">
        <f t="shared" si="4"/>
        <v>9366.9592479338025</v>
      </c>
      <c r="H5" s="60">
        <f t="shared" si="5"/>
        <v>0.63529449281024997</v>
      </c>
      <c r="I5" s="60">
        <f t="shared" si="6"/>
        <v>9366.3239534409931</v>
      </c>
      <c r="J5" s="60">
        <f t="shared" si="1"/>
        <v>9366.9592479338025</v>
      </c>
      <c r="K5" s="61">
        <f t="shared" si="2"/>
        <v>285.31334993147254</v>
      </c>
      <c r="L5" s="60">
        <f t="shared" si="7"/>
        <v>1.6013734663475508E-3</v>
      </c>
    </row>
    <row r="6" spans="1:22" x14ac:dyDescent="0.2">
      <c r="A6" s="50" t="s">
        <v>96</v>
      </c>
      <c r="B6" s="48">
        <f>0.05</f>
        <v>0.05</v>
      </c>
      <c r="C6" s="59">
        <f t="shared" si="0"/>
        <v>11.849679999999999</v>
      </c>
      <c r="D6" s="60">
        <v>20</v>
      </c>
      <c r="E6" s="60">
        <f t="shared" si="8"/>
        <v>58.560184168181983</v>
      </c>
      <c r="F6" s="60">
        <f t="shared" si="3"/>
        <v>233.29328102420669</v>
      </c>
      <c r="G6" s="60">
        <f t="shared" si="4"/>
        <v>5269.6866362422215</v>
      </c>
      <c r="H6" s="60">
        <f t="shared" si="5"/>
        <v>1.1294124316626666</v>
      </c>
      <c r="I6" s="60">
        <f t="shared" si="6"/>
        <v>5268.5572238105588</v>
      </c>
      <c r="J6" s="60">
        <f t="shared" si="1"/>
        <v>5269.6866362422215</v>
      </c>
      <c r="K6" s="61">
        <f t="shared" si="2"/>
        <v>285.31334993147254</v>
      </c>
      <c r="L6" s="60">
        <f t="shared" si="7"/>
        <v>3.7952920886130466E-3</v>
      </c>
    </row>
    <row r="7" spans="1:22" x14ac:dyDescent="0.2">
      <c r="A7" s="50" t="s">
        <v>97</v>
      </c>
      <c r="B7" s="48">
        <v>0.9</v>
      </c>
      <c r="C7" s="59">
        <f t="shared" si="0"/>
        <v>14.812100000000001</v>
      </c>
      <c r="D7" s="60">
        <v>25</v>
      </c>
      <c r="E7" s="60">
        <f t="shared" si="8"/>
        <v>37.478517867636469</v>
      </c>
      <c r="F7" s="60">
        <f t="shared" si="3"/>
        <v>95.586447907515037</v>
      </c>
      <c r="G7" s="60">
        <f t="shared" si="4"/>
        <v>3373.6413301632297</v>
      </c>
      <c r="H7" s="60">
        <f t="shared" si="5"/>
        <v>1.7647069244729163</v>
      </c>
      <c r="I7" s="60">
        <f t="shared" si="6"/>
        <v>3371.8766232387575</v>
      </c>
      <c r="J7" s="60">
        <f t="shared" si="1"/>
        <v>3373.6413301632306</v>
      </c>
      <c r="K7" s="61">
        <f t="shared" si="2"/>
        <v>285.31334993147254</v>
      </c>
      <c r="L7" s="60">
        <f t="shared" si="7"/>
        <v>7.410390599758984E-3</v>
      </c>
    </row>
    <row r="8" spans="1:22" ht="16" thickBot="1" x14ac:dyDescent="0.25">
      <c r="A8" s="51" t="s">
        <v>127</v>
      </c>
      <c r="B8" s="23">
        <f>1/(PI()*B7*B5)</f>
        <v>6.8014932945254417E-2</v>
      </c>
      <c r="C8" s="59">
        <f t="shared" si="0"/>
        <v>17.774519999999999</v>
      </c>
      <c r="D8" s="60">
        <v>30</v>
      </c>
      <c r="E8" s="60">
        <f t="shared" si="8"/>
        <v>26.02674851919199</v>
      </c>
      <c r="F8" s="60">
        <f t="shared" si="3"/>
        <v>46.122746868979085</v>
      </c>
      <c r="G8" s="60">
        <f t="shared" si="4"/>
        <v>2344.1221663314891</v>
      </c>
      <c r="H8" s="60">
        <f t="shared" si="5"/>
        <v>2.5411779712409999</v>
      </c>
      <c r="I8" s="60">
        <f t="shared" si="6"/>
        <v>2341.5809883602483</v>
      </c>
      <c r="J8" s="60">
        <f t="shared" si="1"/>
        <v>2344.1221663314891</v>
      </c>
      <c r="K8" s="61">
        <f t="shared" si="2"/>
        <v>285.31334993147254</v>
      </c>
      <c r="L8" s="60">
        <f t="shared" si="7"/>
        <v>1.2797967798303569E-2</v>
      </c>
    </row>
    <row r="9" spans="1:22" ht="16" thickBot="1" x14ac:dyDescent="0.25">
      <c r="C9" s="59">
        <f t="shared" si="0"/>
        <v>20.736940000000001</v>
      </c>
      <c r="D9" s="60">
        <v>35</v>
      </c>
      <c r="E9" s="60">
        <f t="shared" si="8"/>
        <v>19.121692789610442</v>
      </c>
      <c r="F9" s="60">
        <f t="shared" si="3"/>
        <v>24.918921258724243</v>
      </c>
      <c r="G9" s="60">
        <f t="shared" si="4"/>
        <v>1723.8040415101086</v>
      </c>
      <c r="H9" s="60">
        <f t="shared" si="5"/>
        <v>3.4588255719669165</v>
      </c>
      <c r="I9" s="60">
        <f t="shared" si="6"/>
        <v>1720.3452159381416</v>
      </c>
      <c r="J9" s="60">
        <f t="shared" si="1"/>
        <v>1723.8040415101084</v>
      </c>
      <c r="K9" s="61">
        <f t="shared" si="2"/>
        <v>285.31334993147254</v>
      </c>
      <c r="L9" s="60">
        <f t="shared" si="7"/>
        <v>2.0303931976710567E-2</v>
      </c>
    </row>
    <row r="10" spans="1:22" ht="16" thickBot="1" x14ac:dyDescent="0.25">
      <c r="A10" s="67" t="s">
        <v>144</v>
      </c>
      <c r="B10" s="68"/>
      <c r="C10" s="59">
        <f t="shared" si="0"/>
        <v>23.699359999999999</v>
      </c>
      <c r="D10" s="60">
        <v>40</v>
      </c>
      <c r="E10" s="60">
        <f t="shared" si="8"/>
        <v>14.640046042045496</v>
      </c>
      <c r="F10" s="60">
        <f t="shared" si="3"/>
        <v>14.627705064012918</v>
      </c>
      <c r="G10" s="60">
        <f t="shared" si="4"/>
        <v>1321.6569556792904</v>
      </c>
      <c r="H10" s="60">
        <f t="shared" si="5"/>
        <v>4.5176497266506663</v>
      </c>
      <c r="I10" s="60">
        <f t="shared" si="6"/>
        <v>1317.1393059526397</v>
      </c>
      <c r="J10" s="60">
        <f t="shared" si="1"/>
        <v>1321.6569556792904</v>
      </c>
      <c r="K10" s="61">
        <f t="shared" si="2"/>
        <v>285.31334993147254</v>
      </c>
      <c r="L10" s="60">
        <f t="shared" si="7"/>
        <v>3.0265039523392247E-2</v>
      </c>
      <c r="N10">
        <f>MAX(L2:L73)</f>
        <v>1.2208609658449023</v>
      </c>
    </row>
    <row r="11" spans="1:22" x14ac:dyDescent="0.2">
      <c r="A11" s="42" t="s">
        <v>126</v>
      </c>
      <c r="B11" s="57" t="s">
        <v>39</v>
      </c>
      <c r="C11" s="59">
        <f t="shared" si="0"/>
        <v>26.66178</v>
      </c>
      <c r="D11" s="60">
        <v>45</v>
      </c>
      <c r="E11" s="60">
        <f t="shared" si="8"/>
        <v>11.567443786307551</v>
      </c>
      <c r="F11" s="60">
        <f t="shared" si="3"/>
        <v>9.1507895049835248</v>
      </c>
      <c r="G11" s="60">
        <f t="shared" si="4"/>
        <v>1046.4203119287358</v>
      </c>
      <c r="H11" s="60">
        <f t="shared" si="5"/>
        <v>5.7176504352922493</v>
      </c>
      <c r="I11" s="60">
        <f t="shared" si="6"/>
        <v>1040.7026614934437</v>
      </c>
      <c r="J11" s="60">
        <f t="shared" si="1"/>
        <v>1046.4203119287358</v>
      </c>
      <c r="K11" s="61">
        <f t="shared" si="2"/>
        <v>285.31334993147254</v>
      </c>
      <c r="L11" s="60">
        <f t="shared" si="7"/>
        <v>4.3003752399508682E-2</v>
      </c>
    </row>
    <row r="12" spans="1:22" ht="16" thickBot="1" x14ac:dyDescent="0.25">
      <c r="A12" s="40">
        <v>3000</v>
      </c>
      <c r="B12" s="58">
        <f>A12*3.28084</f>
        <v>9842.52</v>
      </c>
      <c r="C12" s="59">
        <f t="shared" si="0"/>
        <v>29.624200000000002</v>
      </c>
      <c r="D12" s="60">
        <v>50</v>
      </c>
      <c r="E12" s="60">
        <f t="shared" si="8"/>
        <v>9.3696294669091174</v>
      </c>
      <c r="F12" s="60">
        <f t="shared" si="3"/>
        <v>6.0210279942196898</v>
      </c>
      <c r="G12" s="60">
        <f t="shared" si="4"/>
        <v>850.02798350758087</v>
      </c>
      <c r="H12" s="60">
        <f t="shared" si="5"/>
        <v>7.0588276978916653</v>
      </c>
      <c r="I12" s="60">
        <f t="shared" si="6"/>
        <v>842.96915580968937</v>
      </c>
      <c r="J12" s="60">
        <f t="shared" si="1"/>
        <v>850.02798350758098</v>
      </c>
      <c r="K12" s="61">
        <f t="shared" si="2"/>
        <v>285.31334993147254</v>
      </c>
      <c r="L12" s="60">
        <f t="shared" si="7"/>
        <v>5.882159290059899E-2</v>
      </c>
    </row>
    <row r="13" spans="1:22" x14ac:dyDescent="0.2">
      <c r="A13" s="42" t="s">
        <v>125</v>
      </c>
      <c r="B13" s="57" t="s">
        <v>124</v>
      </c>
      <c r="C13" s="59">
        <f t="shared" si="0"/>
        <v>32.586620000000003</v>
      </c>
      <c r="D13" s="60">
        <v>55</v>
      </c>
      <c r="E13" s="60">
        <f t="shared" si="8"/>
        <v>7.7434954271976171</v>
      </c>
      <c r="F13" s="60">
        <f t="shared" si="3"/>
        <v>4.1282924624135573</v>
      </c>
      <c r="G13" s="60">
        <f t="shared" si="4"/>
        <v>705.2099053241094</v>
      </c>
      <c r="H13" s="60">
        <f t="shared" si="5"/>
        <v>8.5411815144489154</v>
      </c>
      <c r="I13" s="60">
        <f t="shared" si="6"/>
        <v>696.66872380966061</v>
      </c>
      <c r="J13" s="60">
        <f t="shared" si="1"/>
        <v>705.20990532410951</v>
      </c>
      <c r="K13" s="61">
        <f t="shared" si="2"/>
        <v>285.31334993147254</v>
      </c>
      <c r="L13" s="60">
        <f t="shared" si="7"/>
        <v>7.799096351989325E-2</v>
      </c>
    </row>
    <row r="14" spans="1:22" ht="16" thickBot="1" x14ac:dyDescent="0.25">
      <c r="A14" s="40">
        <v>600</v>
      </c>
      <c r="B14" s="58">
        <f>A14*2.20462</f>
        <v>1322.7719999999999</v>
      </c>
      <c r="C14" s="59">
        <f t="shared" si="0"/>
        <v>35.549039999999998</v>
      </c>
      <c r="D14" s="60">
        <v>60</v>
      </c>
      <c r="E14" s="60">
        <f t="shared" si="8"/>
        <v>6.5066871297979976</v>
      </c>
      <c r="F14" s="60">
        <f t="shared" si="3"/>
        <v>2.9295466793111928</v>
      </c>
      <c r="G14" s="60">
        <f t="shared" si="4"/>
        <v>595.55995897502601</v>
      </c>
      <c r="H14" s="60">
        <f t="shared" si="5"/>
        <v>10.164711884963999</v>
      </c>
      <c r="I14" s="60">
        <f t="shared" si="6"/>
        <v>585.39524709006207</v>
      </c>
      <c r="J14" s="60">
        <f t="shared" si="1"/>
        <v>595.55995897502612</v>
      </c>
      <c r="K14" s="61">
        <f t="shared" si="2"/>
        <v>285.31334993147254</v>
      </c>
      <c r="L14" s="60">
        <f t="shared" si="7"/>
        <v>0.10074552376432681</v>
      </c>
    </row>
    <row r="15" spans="1:22" x14ac:dyDescent="0.2">
      <c r="C15" s="59">
        <f t="shared" si="0"/>
        <v>38.51146</v>
      </c>
      <c r="D15" s="60">
        <v>65</v>
      </c>
      <c r="E15" s="60">
        <f t="shared" si="8"/>
        <v>5.5441594478752174</v>
      </c>
      <c r="F15" s="60">
        <f t="shared" si="3"/>
        <v>2.1406228753263861</v>
      </c>
      <c r="G15" s="60">
        <f t="shared" si="4"/>
        <v>510.72773585659041</v>
      </c>
      <c r="H15" s="60">
        <f t="shared" si="5"/>
        <v>11.929418809436916</v>
      </c>
      <c r="I15" s="60">
        <f t="shared" si="6"/>
        <v>498.79831704715349</v>
      </c>
      <c r="J15" s="60">
        <f t="shared" si="1"/>
        <v>510.72773585659041</v>
      </c>
      <c r="K15" s="61">
        <f t="shared" si="2"/>
        <v>285.31334993147254</v>
      </c>
      <c r="L15" s="60">
        <f t="shared" si="7"/>
        <v>0.12726937551371137</v>
      </c>
    </row>
    <row r="16" spans="1:22" x14ac:dyDescent="0.2">
      <c r="B16">
        <f>B4*B6</f>
        <v>3.1667426472675206</v>
      </c>
      <c r="C16" s="59">
        <f t="shared" si="0"/>
        <v>41.473880000000001</v>
      </c>
      <c r="D16" s="60">
        <v>70</v>
      </c>
      <c r="E16" s="60">
        <f t="shared" si="8"/>
        <v>4.7804231974026106</v>
      </c>
      <c r="F16" s="60">
        <f t="shared" si="3"/>
        <v>1.6043075786702652</v>
      </c>
      <c r="G16" s="60">
        <f t="shared" si="4"/>
        <v>443.9216062724031</v>
      </c>
      <c r="H16" s="60">
        <f t="shared" si="5"/>
        <v>13.835302287867666</v>
      </c>
      <c r="I16" s="60">
        <f t="shared" si="6"/>
        <v>430.08630398453539</v>
      </c>
      <c r="J16" s="60">
        <f t="shared" si="1"/>
        <v>443.92160627240304</v>
      </c>
      <c r="K16" s="61">
        <f t="shared" si="2"/>
        <v>285.31334993147254</v>
      </c>
      <c r="L16" s="60">
        <f t="shared" si="7"/>
        <v>0.15768549899561768</v>
      </c>
    </row>
    <row r="17" spans="3:21" x14ac:dyDescent="0.2">
      <c r="C17" s="59">
        <f t="shared" si="0"/>
        <v>44.436300000000003</v>
      </c>
      <c r="D17" s="60">
        <v>75</v>
      </c>
      <c r="E17" s="60">
        <f t="shared" si="8"/>
        <v>4.1642797630707182</v>
      </c>
      <c r="F17" s="60">
        <f t="shared" si="3"/>
        <v>1.2294623198458645</v>
      </c>
      <c r="G17" s="60">
        <f t="shared" si="4"/>
        <v>390.53532045789592</v>
      </c>
      <c r="H17" s="60">
        <f t="shared" si="5"/>
        <v>15.882362320256249</v>
      </c>
      <c r="I17" s="60">
        <f t="shared" si="6"/>
        <v>374.65295813763964</v>
      </c>
      <c r="J17" s="60">
        <f t="shared" si="1"/>
        <v>390.53532045789586</v>
      </c>
      <c r="K17" s="61">
        <f t="shared" si="2"/>
        <v>285.31334993147254</v>
      </c>
      <c r="L17" s="60">
        <f t="shared" si="7"/>
        <v>0.1920440894105655</v>
      </c>
    </row>
    <row r="18" spans="3:21" x14ac:dyDescent="0.2">
      <c r="C18" s="59">
        <f t="shared" si="0"/>
        <v>47.398719999999997</v>
      </c>
      <c r="D18" s="60">
        <v>80</v>
      </c>
      <c r="E18" s="60">
        <f t="shared" si="8"/>
        <v>3.660011510511374</v>
      </c>
      <c r="F18" s="60">
        <f t="shared" si="3"/>
        <v>0.96110656650080739</v>
      </c>
      <c r="G18" s="60">
        <f t="shared" si="4"/>
        <v>347.35542539476262</v>
      </c>
      <c r="H18" s="60">
        <f t="shared" si="5"/>
        <v>18.070598906602665</v>
      </c>
      <c r="I18" s="60">
        <f t="shared" si="6"/>
        <v>329.28482648815992</v>
      </c>
      <c r="J18" s="60">
        <f t="shared" si="1"/>
        <v>347.35542539476256</v>
      </c>
      <c r="K18" s="61">
        <f t="shared" si="2"/>
        <v>285.31334993147254</v>
      </c>
      <c r="L18" s="60">
        <f t="shared" si="7"/>
        <v>0.23031164666301551</v>
      </c>
    </row>
    <row r="19" spans="3:21" x14ac:dyDescent="0.2">
      <c r="C19" s="59">
        <f t="shared" si="0"/>
        <v>50.361139999999999</v>
      </c>
      <c r="D19" s="60">
        <v>85</v>
      </c>
      <c r="E19" s="60">
        <f t="shared" si="8"/>
        <v>3.2420863207297983</v>
      </c>
      <c r="F19" s="60">
        <f t="shared" si="3"/>
        <v>0.76491337438724283</v>
      </c>
      <c r="G19" s="60">
        <f t="shared" si="4"/>
        <v>312.08484104679945</v>
      </c>
      <c r="H19" s="60">
        <f t="shared" si="5"/>
        <v>20.400012046906916</v>
      </c>
      <c r="I19" s="60">
        <f t="shared" si="6"/>
        <v>291.68482899989249</v>
      </c>
      <c r="J19" s="60">
        <f t="shared" si="1"/>
        <v>312.0848410467994</v>
      </c>
      <c r="K19" s="61">
        <f t="shared" si="2"/>
        <v>285.31334993147254</v>
      </c>
      <c r="L19" s="60">
        <f t="shared" si="7"/>
        <v>0.2723618350538648</v>
      </c>
    </row>
    <row r="20" spans="3:21" x14ac:dyDescent="0.2">
      <c r="C20" s="59">
        <f t="shared" si="0"/>
        <v>53.323560000000001</v>
      </c>
      <c r="D20" s="60">
        <v>90</v>
      </c>
      <c r="E20" s="60">
        <f t="shared" si="8"/>
        <v>2.8918609465768879</v>
      </c>
      <c r="F20" s="60">
        <f t="shared" si="3"/>
        <v>0.6187993440614703</v>
      </c>
      <c r="G20" s="60">
        <f t="shared" si="4"/>
        <v>283.04626711452994</v>
      </c>
      <c r="H20" s="60">
        <f t="shared" si="5"/>
        <v>22.870601741168997</v>
      </c>
      <c r="I20" s="60">
        <f t="shared" si="6"/>
        <v>260.17566537336091</v>
      </c>
      <c r="J20" s="60">
        <f t="shared" si="1"/>
        <v>283.04626711452988</v>
      </c>
      <c r="K20" s="61">
        <f t="shared" si="2"/>
        <v>285.31334993147254</v>
      </c>
      <c r="L20" s="60">
        <f t="shared" si="7"/>
        <v>0.31796921725020671</v>
      </c>
    </row>
    <row r="21" spans="3:21" x14ac:dyDescent="0.2">
      <c r="C21" s="59">
        <f t="shared" si="0"/>
        <v>56.285980000000002</v>
      </c>
      <c r="D21" s="60">
        <v>95</v>
      </c>
      <c r="E21" s="60">
        <f t="shared" si="8"/>
        <v>2.5954652262906142</v>
      </c>
      <c r="F21" s="60">
        <f t="shared" si="3"/>
        <v>0.50817849726595798</v>
      </c>
      <c r="G21" s="60">
        <f t="shared" si="4"/>
        <v>258.99182943251617</v>
      </c>
      <c r="H21" s="60">
        <f t="shared" si="5"/>
        <v>25.482367989388912</v>
      </c>
      <c r="I21" s="60">
        <f t="shared" si="6"/>
        <v>233.50946144312721</v>
      </c>
      <c r="J21" s="60">
        <f t="shared" si="1"/>
        <v>258.99182943251611</v>
      </c>
      <c r="K21" s="61">
        <f t="shared" si="2"/>
        <v>285.31334993147254</v>
      </c>
      <c r="L21" s="60">
        <f t="shared" si="7"/>
        <v>0.36680693830441302</v>
      </c>
    </row>
    <row r="22" spans="3:21" x14ac:dyDescent="0.2">
      <c r="C22" s="59">
        <f t="shared" si="0"/>
        <v>59.248400000000004</v>
      </c>
      <c r="D22" s="60">
        <v>100</v>
      </c>
      <c r="E22" s="60">
        <f t="shared" si="8"/>
        <v>2.3424073667272793</v>
      </c>
      <c r="F22" s="60">
        <f t="shared" si="3"/>
        <v>0.42318924963873061</v>
      </c>
      <c r="G22" s="60">
        <f t="shared" si="4"/>
        <v>238.97759974398897</v>
      </c>
      <c r="H22" s="60">
        <f t="shared" si="5"/>
        <v>28.235310791566661</v>
      </c>
      <c r="I22" s="60">
        <f t="shared" si="6"/>
        <v>210.74228895242234</v>
      </c>
      <c r="J22" s="60">
        <f t="shared" si="1"/>
        <v>238.977599743989</v>
      </c>
      <c r="K22" s="61">
        <f t="shared" si="2"/>
        <v>285.31334993147254</v>
      </c>
      <c r="L22" s="60">
        <f t="shared" si="7"/>
        <v>0.4184492609647415</v>
      </c>
    </row>
    <row r="23" spans="3:21" x14ac:dyDescent="0.2">
      <c r="C23" s="59">
        <f t="shared" si="0"/>
        <v>62.210819999999998</v>
      </c>
      <c r="D23" s="60">
        <v>105</v>
      </c>
      <c r="E23" s="60">
        <f t="shared" si="8"/>
        <v>2.1246325321789379</v>
      </c>
      <c r="F23" s="60">
        <f t="shared" si="3"/>
        <v>0.35702371924350906</v>
      </c>
      <c r="G23" s="60">
        <f t="shared" si="4"/>
        <v>222.27889858527348</v>
      </c>
      <c r="H23" s="60">
        <f t="shared" si="5"/>
        <v>31.129430147702251</v>
      </c>
      <c r="I23" s="60">
        <f t="shared" si="6"/>
        <v>191.14946843757127</v>
      </c>
      <c r="J23" s="60">
        <f t="shared" si="1"/>
        <v>222.27889858527351</v>
      </c>
      <c r="K23" s="61">
        <f t="shared" si="2"/>
        <v>285.31334993147254</v>
      </c>
      <c r="L23" s="60">
        <f t="shared" si="7"/>
        <v>0.4723795226100535</v>
      </c>
    </row>
    <row r="24" spans="3:21" x14ac:dyDescent="0.2">
      <c r="C24" s="16">
        <f t="shared" si="0"/>
        <v>65.173240000000007</v>
      </c>
      <c r="D24" s="22">
        <v>110</v>
      </c>
      <c r="E24" s="22">
        <f t="shared" si="8"/>
        <v>1.9358738567994043</v>
      </c>
      <c r="F24" s="22">
        <f t="shared" si="3"/>
        <v>0.30489327890084733</v>
      </c>
      <c r="G24" s="22">
        <f t="shared" si="4"/>
        <v>208.33190701021078</v>
      </c>
      <c r="H24" s="22">
        <f t="shared" si="5"/>
        <v>34.164726057795662</v>
      </c>
      <c r="I24" s="22">
        <f t="shared" si="6"/>
        <v>174.16718095241515</v>
      </c>
      <c r="J24">
        <f t="shared" si="1"/>
        <v>208.33190701021081</v>
      </c>
      <c r="K24">
        <f t="shared" si="2"/>
        <v>285.31334993147254</v>
      </c>
      <c r="L24" s="60">
        <f t="shared" si="7"/>
        <v>0.52800361489807057</v>
      </c>
      <c r="M24">
        <f>J24-J23</f>
        <v>-13.946991575062697</v>
      </c>
      <c r="O24">
        <f t="shared" ref="O24:O55" si="9">D24-D23</f>
        <v>5</v>
      </c>
      <c r="Q24">
        <f>M24/O24</f>
        <v>-2.7893983150125394</v>
      </c>
      <c r="S24">
        <f t="shared" ref="S24:S55" si="10">Q24*D24</f>
        <v>-306.83381465137933</v>
      </c>
      <c r="U24">
        <f>J24-S24</f>
        <v>515.16572166159017</v>
      </c>
    </row>
    <row r="25" spans="3:21" x14ac:dyDescent="0.2">
      <c r="C25" s="16">
        <f t="shared" si="0"/>
        <v>68.135660000000001</v>
      </c>
      <c r="D25" s="22">
        <v>115</v>
      </c>
      <c r="E25" s="22">
        <f t="shared" si="8"/>
        <v>1.7711964965801734</v>
      </c>
      <c r="F25" s="22">
        <f t="shared" si="3"/>
        <v>0.26337216470137292</v>
      </c>
      <c r="G25" s="22">
        <f t="shared" si="4"/>
        <v>196.69264574485055</v>
      </c>
      <c r="H25" s="22">
        <f t="shared" si="5"/>
        <v>37.341198521846913</v>
      </c>
      <c r="I25" s="22">
        <f t="shared" si="6"/>
        <v>159.35144722300367</v>
      </c>
      <c r="J25">
        <f t="shared" si="1"/>
        <v>196.69264574485058</v>
      </c>
      <c r="K25">
        <f t="shared" si="2"/>
        <v>285.31334993147254</v>
      </c>
      <c r="L25" s="60">
        <f t="shared" si="7"/>
        <v>0.58466852974857964</v>
      </c>
      <c r="M25">
        <f t="shared" ref="M25:M73" si="11">J25-J24</f>
        <v>-11.639261265360233</v>
      </c>
      <c r="O25">
        <f t="shared" si="9"/>
        <v>5</v>
      </c>
      <c r="Q25">
        <f t="shared" ref="Q25:Q73" si="12">M25/O25</f>
        <v>-2.3278522530720465</v>
      </c>
      <c r="S25">
        <f t="shared" si="10"/>
        <v>-267.70300910328535</v>
      </c>
      <c r="U25">
        <f t="shared" ref="U25:U73" si="13">J25-S25</f>
        <v>464.39565484813591</v>
      </c>
    </row>
    <row r="26" spans="3:21" x14ac:dyDescent="0.2">
      <c r="C26" s="16">
        <f t="shared" si="0"/>
        <v>71.098079999999996</v>
      </c>
      <c r="D26" s="22">
        <v>120</v>
      </c>
      <c r="E26" s="22">
        <f t="shared" si="8"/>
        <v>1.6266717824494994</v>
      </c>
      <c r="F26" s="22">
        <f t="shared" si="3"/>
        <v>0.22997166745694958</v>
      </c>
      <c r="G26" s="22">
        <f t="shared" si="4"/>
        <v>187.00765931237152</v>
      </c>
      <c r="H26" s="22">
        <f t="shared" si="5"/>
        <v>40.658847539855998</v>
      </c>
      <c r="I26" s="22">
        <f t="shared" si="6"/>
        <v>146.34881177251552</v>
      </c>
      <c r="J26">
        <f t="shared" si="1"/>
        <v>187.00765931237152</v>
      </c>
      <c r="K26">
        <f t="shared" si="2"/>
        <v>285.31334993147254</v>
      </c>
      <c r="L26" s="60">
        <f t="shared" si="7"/>
        <v>0.64168494724355596</v>
      </c>
      <c r="M26">
        <f t="shared" si="11"/>
        <v>-9.6849864324790644</v>
      </c>
      <c r="O26">
        <f t="shared" si="9"/>
        <v>5</v>
      </c>
      <c r="Q26">
        <f t="shared" si="12"/>
        <v>-1.9369972864958129</v>
      </c>
      <c r="S26">
        <f t="shared" si="10"/>
        <v>-232.43967437949755</v>
      </c>
      <c r="U26">
        <f t="shared" si="13"/>
        <v>419.44733369186906</v>
      </c>
    </row>
    <row r="27" spans="3:21" x14ac:dyDescent="0.2">
      <c r="C27" s="16">
        <f t="shared" si="0"/>
        <v>74.060500000000005</v>
      </c>
      <c r="D27" s="22">
        <v>125</v>
      </c>
      <c r="E27" s="22">
        <f t="shared" si="8"/>
        <v>1.4991407147054585</v>
      </c>
      <c r="F27" s="22">
        <f t="shared" si="3"/>
        <v>0.20285831665202403</v>
      </c>
      <c r="G27" s="22">
        <f t="shared" si="4"/>
        <v>178.99273804137317</v>
      </c>
      <c r="H27" s="22">
        <f t="shared" si="5"/>
        <v>44.117673111822917</v>
      </c>
      <c r="I27" s="22">
        <f t="shared" si="6"/>
        <v>134.87506492955026</v>
      </c>
      <c r="J27">
        <f t="shared" si="1"/>
        <v>178.99273804137317</v>
      </c>
      <c r="K27">
        <f t="shared" si="2"/>
        <v>285.31334993147254</v>
      </c>
      <c r="L27" s="60">
        <f t="shared" si="7"/>
        <v>0.69835235422292352</v>
      </c>
      <c r="M27">
        <f t="shared" si="11"/>
        <v>-8.0149212709983431</v>
      </c>
      <c r="O27">
        <f t="shared" si="9"/>
        <v>5</v>
      </c>
      <c r="Q27">
        <f t="shared" si="12"/>
        <v>-1.6029842541996686</v>
      </c>
      <c r="S27">
        <f t="shared" si="10"/>
        <v>-200.37303177495858</v>
      </c>
      <c r="U27">
        <f t="shared" si="13"/>
        <v>379.36576981633175</v>
      </c>
    </row>
    <row r="28" spans="3:21" x14ac:dyDescent="0.2">
      <c r="C28" s="16">
        <f t="shared" si="0"/>
        <v>77.022919999999999</v>
      </c>
      <c r="D28" s="22">
        <v>130</v>
      </c>
      <c r="E28" s="22">
        <f t="shared" si="8"/>
        <v>1.3860398619688044</v>
      </c>
      <c r="F28" s="22">
        <f t="shared" si="3"/>
        <v>0.18066392970789913</v>
      </c>
      <c r="G28" s="22">
        <f t="shared" si="4"/>
        <v>172.41725449953603</v>
      </c>
      <c r="H28" s="22">
        <f t="shared" si="5"/>
        <v>47.717675237747663</v>
      </c>
      <c r="I28" s="22">
        <f t="shared" si="6"/>
        <v>124.69957926178837</v>
      </c>
      <c r="J28">
        <f t="shared" si="1"/>
        <v>172.41725449953603</v>
      </c>
      <c r="K28">
        <f t="shared" si="2"/>
        <v>285.31334993147254</v>
      </c>
      <c r="L28" s="60">
        <f t="shared" si="7"/>
        <v>0.75398486292652245</v>
      </c>
      <c r="M28">
        <f t="shared" si="11"/>
        <v>-6.5754835418371442</v>
      </c>
      <c r="O28">
        <f t="shared" si="9"/>
        <v>5</v>
      </c>
      <c r="Q28">
        <f t="shared" si="12"/>
        <v>-1.3150967083674288</v>
      </c>
      <c r="S28">
        <f t="shared" si="10"/>
        <v>-170.96257208776575</v>
      </c>
      <c r="U28">
        <f t="shared" si="13"/>
        <v>343.37982658730175</v>
      </c>
    </row>
    <row r="29" spans="3:21" x14ac:dyDescent="0.2">
      <c r="C29" s="16">
        <f t="shared" si="0"/>
        <v>79.985340000000008</v>
      </c>
      <c r="D29" s="22">
        <v>135</v>
      </c>
      <c r="E29" s="22">
        <f t="shared" si="8"/>
        <v>1.2852715318119501</v>
      </c>
      <c r="F29" s="22">
        <f t="shared" si="3"/>
        <v>0.1623554259874509</v>
      </c>
      <c r="G29" s="22">
        <f t="shared" si="4"/>
        <v>167.0924829724573</v>
      </c>
      <c r="H29" s="22">
        <f t="shared" si="5"/>
        <v>51.45885391763025</v>
      </c>
      <c r="I29" s="22">
        <f t="shared" si="6"/>
        <v>115.63362905482704</v>
      </c>
      <c r="J29">
        <f t="shared" si="1"/>
        <v>167.09248297245728</v>
      </c>
      <c r="K29">
        <f t="shared" si="2"/>
        <v>285.31334993147254</v>
      </c>
      <c r="L29" s="60">
        <f t="shared" si="7"/>
        <v>0.80793580655721509</v>
      </c>
      <c r="M29">
        <f t="shared" si="11"/>
        <v>-5.3247715270787523</v>
      </c>
      <c r="O29">
        <f t="shared" si="9"/>
        <v>5</v>
      </c>
      <c r="Q29">
        <f t="shared" si="12"/>
        <v>-1.0649543054157504</v>
      </c>
      <c r="S29">
        <f t="shared" si="10"/>
        <v>-143.76883123112631</v>
      </c>
      <c r="U29">
        <f t="shared" si="13"/>
        <v>310.86131420358356</v>
      </c>
    </row>
    <row r="30" spans="3:21" x14ac:dyDescent="0.2">
      <c r="C30" s="16">
        <f t="shared" si="0"/>
        <v>82.947760000000002</v>
      </c>
      <c r="D30" s="22">
        <v>140</v>
      </c>
      <c r="E30" s="22">
        <f t="shared" si="8"/>
        <v>1.1951057993506526</v>
      </c>
      <c r="F30" s="22">
        <f t="shared" si="3"/>
        <v>0.14714422366689156</v>
      </c>
      <c r="G30" s="22">
        <f t="shared" si="4"/>
        <v>162.86278514760451</v>
      </c>
      <c r="H30" s="22">
        <f t="shared" si="5"/>
        <v>55.341209151470665</v>
      </c>
      <c r="I30" s="22">
        <f t="shared" si="6"/>
        <v>107.52157599613385</v>
      </c>
      <c r="J30">
        <f t="shared" si="1"/>
        <v>162.86278514760451</v>
      </c>
      <c r="K30">
        <f t="shared" si="2"/>
        <v>285.31334993147254</v>
      </c>
      <c r="L30" s="60">
        <f t="shared" si="7"/>
        <v>0.8596193407420627</v>
      </c>
      <c r="M30">
        <f t="shared" si="11"/>
        <v>-4.2296978248527637</v>
      </c>
      <c r="O30">
        <f t="shared" si="9"/>
        <v>5</v>
      </c>
      <c r="Q30">
        <f t="shared" si="12"/>
        <v>-0.84593956497055278</v>
      </c>
      <c r="S30">
        <f t="shared" si="10"/>
        <v>-118.43153909587738</v>
      </c>
      <c r="U30">
        <f t="shared" si="13"/>
        <v>281.29432424348192</v>
      </c>
    </row>
    <row r="31" spans="3:21" x14ac:dyDescent="0.2">
      <c r="C31" s="16">
        <f t="shared" si="0"/>
        <v>85.910179999999997</v>
      </c>
      <c r="D31" s="22">
        <v>145</v>
      </c>
      <c r="E31" s="22">
        <f t="shared" si="8"/>
        <v>1.1141057630094073</v>
      </c>
      <c r="F31" s="22">
        <f t="shared" si="3"/>
        <v>0.13442228752390761</v>
      </c>
      <c r="G31" s="22">
        <f t="shared" si="4"/>
        <v>159.59888550641392</v>
      </c>
      <c r="H31" s="22">
        <f t="shared" si="5"/>
        <v>59.36474093926892</v>
      </c>
      <c r="I31" s="22">
        <f t="shared" si="6"/>
        <v>100.23414456714497</v>
      </c>
      <c r="J31">
        <f t="shared" si="1"/>
        <v>159.59888550641389</v>
      </c>
      <c r="K31">
        <f t="shared" si="2"/>
        <v>285.31334993147254</v>
      </c>
      <c r="L31" s="60">
        <f t="shared" si="7"/>
        <v>0.90852764754533832</v>
      </c>
      <c r="M31">
        <f t="shared" si="11"/>
        <v>-3.2638996411906191</v>
      </c>
      <c r="O31">
        <f t="shared" si="9"/>
        <v>5</v>
      </c>
      <c r="Q31">
        <f t="shared" si="12"/>
        <v>-0.65277992823812381</v>
      </c>
      <c r="S31">
        <f t="shared" si="10"/>
        <v>-94.653089594527955</v>
      </c>
      <c r="U31">
        <f t="shared" si="13"/>
        <v>254.25197510094185</v>
      </c>
    </row>
    <row r="32" spans="3:21" x14ac:dyDescent="0.2">
      <c r="C32" s="16">
        <f t="shared" si="0"/>
        <v>88.872600000000006</v>
      </c>
      <c r="D32" s="22">
        <v>150</v>
      </c>
      <c r="E32" s="22">
        <f t="shared" si="8"/>
        <v>1.0410699407676796</v>
      </c>
      <c r="F32" s="22">
        <f t="shared" si="3"/>
        <v>0.12371639499036653</v>
      </c>
      <c r="G32" s="22">
        <f t="shared" si="4"/>
        <v>157.19268881543491</v>
      </c>
      <c r="H32" s="22">
        <f t="shared" si="5"/>
        <v>63.529449281024995</v>
      </c>
      <c r="I32" s="22">
        <f t="shared" si="6"/>
        <v>93.663239534409911</v>
      </c>
      <c r="J32">
        <f t="shared" si="1"/>
        <v>157.19268881543491</v>
      </c>
      <c r="K32">
        <f t="shared" si="2"/>
        <v>285.31334993147254</v>
      </c>
      <c r="L32" s="60">
        <f t="shared" si="7"/>
        <v>0.95424285397980513</v>
      </c>
      <c r="M32">
        <f t="shared" si="11"/>
        <v>-2.4061966909789874</v>
      </c>
      <c r="O32">
        <f t="shared" si="9"/>
        <v>5</v>
      </c>
      <c r="Q32">
        <f t="shared" si="12"/>
        <v>-0.48123933819579745</v>
      </c>
      <c r="S32">
        <f t="shared" si="10"/>
        <v>-72.185900729369621</v>
      </c>
      <c r="U32">
        <f t="shared" si="13"/>
        <v>229.37858954480453</v>
      </c>
    </row>
    <row r="33" spans="3:25" x14ac:dyDescent="0.2">
      <c r="C33" s="16">
        <f t="shared" si="0"/>
        <v>91.83502</v>
      </c>
      <c r="D33" s="22">
        <v>155</v>
      </c>
      <c r="E33" s="22">
        <f t="shared" si="8"/>
        <v>0.97498745753476757</v>
      </c>
      <c r="F33" s="22">
        <f t="shared" si="3"/>
        <v>0.11465503214566522</v>
      </c>
      <c r="G33" s="22">
        <f t="shared" si="4"/>
        <v>155.55324841291886</v>
      </c>
      <c r="H33" s="22">
        <f t="shared" si="5"/>
        <v>67.835334176738911</v>
      </c>
      <c r="I33" s="22">
        <f t="shared" si="6"/>
        <v>87.717914236179951</v>
      </c>
      <c r="J33">
        <f t="shared" si="1"/>
        <v>155.55324841291886</v>
      </c>
      <c r="K33">
        <f t="shared" si="2"/>
        <v>285.31334993147254</v>
      </c>
      <c r="L33" s="60">
        <f t="shared" si="7"/>
        <v>0.99644335030889064</v>
      </c>
      <c r="M33">
        <f t="shared" si="11"/>
        <v>-1.6394404025160441</v>
      </c>
      <c r="O33">
        <f t="shared" si="9"/>
        <v>5</v>
      </c>
      <c r="Q33">
        <f t="shared" si="12"/>
        <v>-0.32788808050320883</v>
      </c>
      <c r="S33">
        <f t="shared" si="10"/>
        <v>-50.822652477997366</v>
      </c>
      <c r="U33">
        <f t="shared" si="13"/>
        <v>206.37590089091623</v>
      </c>
      <c r="Y33">
        <f ca="1">+Y30:AH33</f>
        <v>0</v>
      </c>
    </row>
    <row r="34" spans="3:25" x14ac:dyDescent="0.2">
      <c r="C34" s="16">
        <f t="shared" si="0"/>
        <v>94.797439999999995</v>
      </c>
      <c r="D34" s="22">
        <v>160</v>
      </c>
      <c r="E34" s="22">
        <f t="shared" si="8"/>
        <v>0.91500287762784349</v>
      </c>
      <c r="F34" s="22">
        <f t="shared" si="3"/>
        <v>0.10694416040630046</v>
      </c>
      <c r="G34" s="22">
        <f t="shared" si="4"/>
        <v>154.60360224845064</v>
      </c>
      <c r="H34" s="22">
        <f t="shared" si="5"/>
        <v>72.282395626410661</v>
      </c>
      <c r="I34" s="22">
        <f t="shared" si="6"/>
        <v>82.321206622039981</v>
      </c>
      <c r="J34">
        <f t="shared" ref="J34:J65" si="14">H34+I34</f>
        <v>154.60360224845064</v>
      </c>
      <c r="K34">
        <f t="shared" si="2"/>
        <v>285.31334993147254</v>
      </c>
      <c r="L34" s="60">
        <f t="shared" si="7"/>
        <v>1.0349047349031186</v>
      </c>
      <c r="M34">
        <f t="shared" si="11"/>
        <v>-0.94964616446821992</v>
      </c>
      <c r="O34">
        <f t="shared" si="9"/>
        <v>5</v>
      </c>
      <c r="Q34">
        <f t="shared" si="12"/>
        <v>-0.189929232893644</v>
      </c>
      <c r="S34">
        <f t="shared" si="10"/>
        <v>-30.388677262983038</v>
      </c>
      <c r="U34">
        <f t="shared" si="13"/>
        <v>184.99227951143368</v>
      </c>
    </row>
    <row r="35" spans="3:25" x14ac:dyDescent="0.2">
      <c r="C35" s="16">
        <f t="shared" si="0"/>
        <v>97.759860000000003</v>
      </c>
      <c r="D35" s="22">
        <v>165</v>
      </c>
      <c r="E35" s="22">
        <f t="shared" si="8"/>
        <v>0.86038838079973523</v>
      </c>
      <c r="F35" s="22">
        <f t="shared" si="3"/>
        <v>0.10034928965942663</v>
      </c>
      <c r="G35" s="22">
        <f t="shared" si="4"/>
        <v>154.27826960889141</v>
      </c>
      <c r="H35" s="22">
        <f t="shared" si="5"/>
        <v>76.870633630040246</v>
      </c>
      <c r="I35" s="22">
        <f t="shared" si="6"/>
        <v>77.407635978851175</v>
      </c>
      <c r="J35">
        <f t="shared" si="14"/>
        <v>154.27826960889143</v>
      </c>
      <c r="K35">
        <f t="shared" si="2"/>
        <v>285.31334993147254</v>
      </c>
      <c r="L35" s="60">
        <f t="shared" ref="L35:L66" si="15">D35/J35</f>
        <v>1.0694960503400062</v>
      </c>
      <c r="M35">
        <f t="shared" si="11"/>
        <v>-0.32533263955920688</v>
      </c>
      <c r="O35">
        <f t="shared" si="9"/>
        <v>5</v>
      </c>
      <c r="Q35">
        <f t="shared" si="12"/>
        <v>-6.5066527911841379E-2</v>
      </c>
      <c r="S35">
        <f t="shared" si="10"/>
        <v>-10.735977105453827</v>
      </c>
      <c r="U35">
        <f t="shared" si="13"/>
        <v>165.01424671434526</v>
      </c>
    </row>
    <row r="36" spans="3:25" x14ac:dyDescent="0.2">
      <c r="C36" s="16">
        <f t="shared" si="0"/>
        <v>100.72228</v>
      </c>
      <c r="D36" s="22">
        <v>170</v>
      </c>
      <c r="E36" s="22">
        <f t="shared" si="8"/>
        <v>0.81052158018244957</v>
      </c>
      <c r="F36" s="22">
        <f t="shared" si="3"/>
        <v>9.4682085899202684E-2</v>
      </c>
      <c r="G36" s="22">
        <f t="shared" si="4"/>
        <v>154.52125543760081</v>
      </c>
      <c r="H36" s="22">
        <f t="shared" si="5"/>
        <v>81.600048187627664</v>
      </c>
      <c r="I36" s="22">
        <f t="shared" si="6"/>
        <v>72.921207249973122</v>
      </c>
      <c r="J36">
        <f t="shared" si="14"/>
        <v>154.52125543760079</v>
      </c>
      <c r="K36">
        <f t="shared" si="2"/>
        <v>285.31334993147254</v>
      </c>
      <c r="L36" s="60">
        <f t="shared" si="15"/>
        <v>1.1001722676829395</v>
      </c>
      <c r="M36">
        <f t="shared" si="11"/>
        <v>0.24298582870935093</v>
      </c>
      <c r="O36">
        <f t="shared" si="9"/>
        <v>5</v>
      </c>
      <c r="Q36">
        <f t="shared" si="12"/>
        <v>4.8597165741870188E-2</v>
      </c>
      <c r="S36">
        <f t="shared" si="10"/>
        <v>8.2615181761179315</v>
      </c>
      <c r="U36">
        <f t="shared" si="13"/>
        <v>146.25973726148285</v>
      </c>
    </row>
    <row r="37" spans="3:25" x14ac:dyDescent="0.2">
      <c r="C37" s="16">
        <f t="shared" si="0"/>
        <v>103.68470000000001</v>
      </c>
      <c r="D37" s="22">
        <v>175</v>
      </c>
      <c r="E37" s="22">
        <f t="shared" si="8"/>
        <v>0.76486771158441769</v>
      </c>
      <c r="F37" s="22">
        <f t="shared" si="3"/>
        <v>8.9790274013958782E-2</v>
      </c>
      <c r="G37" s="22">
        <f t="shared" si="4"/>
        <v>155.28444793669857</v>
      </c>
      <c r="H37" s="22">
        <f t="shared" si="5"/>
        <v>86.470639299172916</v>
      </c>
      <c r="I37" s="22">
        <f t="shared" si="6"/>
        <v>68.813808637525668</v>
      </c>
      <c r="J37">
        <f t="shared" si="14"/>
        <v>155.2844479366986</v>
      </c>
      <c r="K37">
        <f t="shared" si="2"/>
        <v>285.31334993147254</v>
      </c>
      <c r="L37" s="60">
        <f t="shared" si="15"/>
        <v>1.1269641121520322</v>
      </c>
      <c r="M37">
        <f t="shared" si="11"/>
        <v>0.76319249909781206</v>
      </c>
      <c r="O37">
        <f t="shared" si="9"/>
        <v>5</v>
      </c>
      <c r="Q37">
        <f t="shared" si="12"/>
        <v>0.1526384998195624</v>
      </c>
      <c r="S37">
        <f t="shared" si="10"/>
        <v>26.711737468423419</v>
      </c>
      <c r="U37">
        <f t="shared" si="13"/>
        <v>128.57271046827518</v>
      </c>
    </row>
    <row r="38" spans="3:25" x14ac:dyDescent="0.2">
      <c r="C38" s="64">
        <f t="shared" si="0"/>
        <v>106.64712</v>
      </c>
      <c r="D38" s="64">
        <v>180</v>
      </c>
      <c r="E38" s="64">
        <f t="shared" si="8"/>
        <v>0.72296523664422196</v>
      </c>
      <c r="F38" s="64">
        <f t="shared" si="3"/>
        <v>8.5549959003841894E-2</v>
      </c>
      <c r="G38" s="64">
        <f t="shared" si="4"/>
        <v>156.52632330801623</v>
      </c>
      <c r="H38" s="64">
        <f t="shared" si="5"/>
        <v>91.482406964675988</v>
      </c>
      <c r="I38" s="64">
        <f t="shared" si="6"/>
        <v>65.043916343340229</v>
      </c>
      <c r="J38" s="64">
        <f t="shared" si="14"/>
        <v>156.52632330801623</v>
      </c>
      <c r="K38" s="64">
        <f t="shared" si="2"/>
        <v>285.31334993147254</v>
      </c>
      <c r="L38" s="66">
        <f t="shared" si="15"/>
        <v>1.1499663200150156</v>
      </c>
      <c r="M38">
        <f t="shared" si="11"/>
        <v>1.2418753713176329</v>
      </c>
      <c r="O38">
        <f t="shared" si="9"/>
        <v>5</v>
      </c>
      <c r="Q38">
        <f t="shared" si="12"/>
        <v>0.24837507426352659</v>
      </c>
      <c r="S38">
        <f t="shared" si="10"/>
        <v>44.707513367434785</v>
      </c>
      <c r="U38">
        <f t="shared" si="13"/>
        <v>111.81880994058145</v>
      </c>
    </row>
    <row r="39" spans="3:25" x14ac:dyDescent="0.2">
      <c r="C39" s="16">
        <f t="shared" si="0"/>
        <v>109.60954</v>
      </c>
      <c r="D39" s="22">
        <v>185</v>
      </c>
      <c r="E39" s="22">
        <f t="shared" si="8"/>
        <v>0.68441413198751766</v>
      </c>
      <c r="F39" s="22">
        <f t="shared" si="3"/>
        <v>8.1859738806963178E-2</v>
      </c>
      <c r="G39" s="22">
        <f t="shared" si="4"/>
        <v>158.21089214905214</v>
      </c>
      <c r="H39" s="22">
        <f t="shared" si="5"/>
        <v>96.635351184136908</v>
      </c>
      <c r="I39" s="22">
        <f t="shared" si="6"/>
        <v>61.575540964915213</v>
      </c>
      <c r="J39">
        <f t="shared" si="14"/>
        <v>158.21089214905211</v>
      </c>
      <c r="K39">
        <f t="shared" si="2"/>
        <v>285.31334993147254</v>
      </c>
      <c r="L39" s="60">
        <f t="shared" si="15"/>
        <v>1.1693253067918332</v>
      </c>
      <c r="M39">
        <f t="shared" si="11"/>
        <v>1.6845688410358832</v>
      </c>
      <c r="O39">
        <f t="shared" si="9"/>
        <v>5</v>
      </c>
      <c r="Q39">
        <f t="shared" si="12"/>
        <v>0.33691376820717667</v>
      </c>
      <c r="S39">
        <f t="shared" si="10"/>
        <v>62.329047118327686</v>
      </c>
      <c r="U39">
        <f t="shared" si="13"/>
        <v>95.881845030724435</v>
      </c>
    </row>
    <row r="40" spans="3:25" x14ac:dyDescent="0.2">
      <c r="C40" s="16">
        <f t="shared" si="0"/>
        <v>112.57196</v>
      </c>
      <c r="D40" s="22">
        <v>190</v>
      </c>
      <c r="E40" s="22">
        <f t="shared" si="8"/>
        <v>0.64886630657265354</v>
      </c>
      <c r="F40" s="22">
        <f t="shared" si="3"/>
        <v>7.8636156079122374E-2</v>
      </c>
      <c r="G40" s="22">
        <f t="shared" si="4"/>
        <v>160.30683731833744</v>
      </c>
      <c r="H40" s="22">
        <f t="shared" si="5"/>
        <v>101.92947195755565</v>
      </c>
      <c r="I40" s="22">
        <f t="shared" si="6"/>
        <v>58.377365360781802</v>
      </c>
      <c r="J40">
        <f t="shared" si="14"/>
        <v>160.30683731833744</v>
      </c>
      <c r="K40">
        <f t="shared" si="2"/>
        <v>285.31334993147254</v>
      </c>
      <c r="L40" s="60">
        <f t="shared" si="15"/>
        <v>1.1852270506884111</v>
      </c>
      <c r="M40">
        <f t="shared" si="11"/>
        <v>2.0959451692853293</v>
      </c>
      <c r="O40">
        <f t="shared" si="9"/>
        <v>5</v>
      </c>
      <c r="Q40">
        <f t="shared" si="12"/>
        <v>0.41918903385706585</v>
      </c>
      <c r="S40">
        <f t="shared" si="10"/>
        <v>79.645916432842512</v>
      </c>
      <c r="U40">
        <f t="shared" si="13"/>
        <v>80.660920885494932</v>
      </c>
    </row>
    <row r="41" spans="3:25" x14ac:dyDescent="0.2">
      <c r="C41" s="16">
        <f t="shared" si="0"/>
        <v>115.53438</v>
      </c>
      <c r="D41" s="22">
        <v>195</v>
      </c>
      <c r="E41" s="22">
        <f t="shared" si="8"/>
        <v>0.61601771643057968</v>
      </c>
      <c r="F41" s="22">
        <f t="shared" si="3"/>
        <v>7.5810158954646739E-2</v>
      </c>
      <c r="G41" s="22">
        <f t="shared" si="4"/>
        <v>162.78680451239373</v>
      </c>
      <c r="H41" s="22">
        <f t="shared" si="5"/>
        <v>107.36476928493224</v>
      </c>
      <c r="I41" s="22">
        <f t="shared" si="6"/>
        <v>55.4220352274615</v>
      </c>
      <c r="J41">
        <f t="shared" si="14"/>
        <v>162.78680451239373</v>
      </c>
      <c r="K41">
        <f t="shared" si="2"/>
        <v>285.31334993147254</v>
      </c>
      <c r="L41" s="60">
        <f t="shared" si="15"/>
        <v>1.1978857904613129</v>
      </c>
      <c r="M41">
        <f t="shared" si="11"/>
        <v>2.479967194056286</v>
      </c>
      <c r="O41">
        <f t="shared" si="9"/>
        <v>5</v>
      </c>
      <c r="Q41">
        <f t="shared" si="12"/>
        <v>0.49599343881125718</v>
      </c>
      <c r="S41">
        <f t="shared" si="10"/>
        <v>96.718720568195153</v>
      </c>
      <c r="U41">
        <f t="shared" si="13"/>
        <v>66.068083944198577</v>
      </c>
    </row>
    <row r="42" spans="3:25" x14ac:dyDescent="0.2">
      <c r="C42" s="16">
        <f t="shared" si="0"/>
        <v>118.49680000000001</v>
      </c>
      <c r="D42" s="22">
        <v>200</v>
      </c>
      <c r="E42" s="22">
        <f t="shared" si="8"/>
        <v>0.58560184168181983</v>
      </c>
      <c r="F42" s="22">
        <f t="shared" si="3"/>
        <v>7.3324328102420663E-2</v>
      </c>
      <c r="G42" s="22">
        <f t="shared" si="4"/>
        <v>165.62681540437222</v>
      </c>
      <c r="H42" s="22">
        <f t="shared" si="5"/>
        <v>112.94124316626664</v>
      </c>
      <c r="I42" s="22">
        <f t="shared" si="6"/>
        <v>52.685572238105586</v>
      </c>
      <c r="J42">
        <f t="shared" si="14"/>
        <v>165.62681540437222</v>
      </c>
      <c r="K42">
        <f t="shared" si="2"/>
        <v>285.31334993147254</v>
      </c>
      <c r="L42" s="60">
        <f t="shared" si="15"/>
        <v>1.2075339341139104</v>
      </c>
      <c r="M42">
        <f t="shared" si="11"/>
        <v>2.8400108919784941</v>
      </c>
      <c r="O42">
        <f t="shared" si="9"/>
        <v>5</v>
      </c>
      <c r="Q42">
        <f t="shared" si="12"/>
        <v>0.56800217839569878</v>
      </c>
      <c r="S42">
        <f t="shared" si="10"/>
        <v>113.60043567913975</v>
      </c>
      <c r="U42">
        <f t="shared" si="13"/>
        <v>52.026379725232474</v>
      </c>
    </row>
    <row r="43" spans="3:25" x14ac:dyDescent="0.2">
      <c r="C43" s="16">
        <f t="shared" si="0"/>
        <v>121.45922</v>
      </c>
      <c r="D43" s="22">
        <v>205</v>
      </c>
      <c r="E43" s="22">
        <f t="shared" si="8"/>
        <v>0.55738426334973934</v>
      </c>
      <c r="F43" s="22">
        <f t="shared" si="3"/>
        <v>7.1130690083909057E-2</v>
      </c>
      <c r="G43" s="22">
        <f t="shared" si="4"/>
        <v>168.80577972944047</v>
      </c>
      <c r="H43" s="22">
        <f t="shared" si="5"/>
        <v>118.65889360155889</v>
      </c>
      <c r="I43" s="22">
        <f t="shared" si="6"/>
        <v>50.146886127881587</v>
      </c>
      <c r="J43">
        <f t="shared" si="14"/>
        <v>168.80577972944047</v>
      </c>
      <c r="K43">
        <f t="shared" si="2"/>
        <v>285.31334993147254</v>
      </c>
      <c r="L43" s="60">
        <f t="shared" si="15"/>
        <v>1.2144133946632107</v>
      </c>
      <c r="M43">
        <f t="shared" si="11"/>
        <v>3.1789643250682502</v>
      </c>
      <c r="O43">
        <f t="shared" si="9"/>
        <v>5</v>
      </c>
      <c r="Q43">
        <f t="shared" si="12"/>
        <v>0.63579286501365007</v>
      </c>
      <c r="S43">
        <f t="shared" si="10"/>
        <v>130.33753732779826</v>
      </c>
      <c r="U43">
        <f t="shared" si="13"/>
        <v>38.468242401642215</v>
      </c>
    </row>
    <row r="44" spans="3:25" x14ac:dyDescent="0.2">
      <c r="C44" s="16">
        <f t="shared" si="0"/>
        <v>124.42164</v>
      </c>
      <c r="D44" s="22">
        <v>210</v>
      </c>
      <c r="E44" s="22">
        <f t="shared" si="8"/>
        <v>0.53115813304473447</v>
      </c>
      <c r="F44" s="22">
        <f t="shared" si="3"/>
        <v>6.9188982452719316E-2</v>
      </c>
      <c r="G44" s="22">
        <f t="shared" si="4"/>
        <v>172.3050877002018</v>
      </c>
      <c r="H44" s="22">
        <f t="shared" si="5"/>
        <v>124.51772059080901</v>
      </c>
      <c r="I44" s="22">
        <f t="shared" si="6"/>
        <v>47.787367109392818</v>
      </c>
      <c r="J44">
        <f t="shared" si="14"/>
        <v>172.30508770020182</v>
      </c>
      <c r="K44">
        <f t="shared" si="2"/>
        <v>285.31334993147254</v>
      </c>
      <c r="L44" s="60">
        <f t="shared" si="15"/>
        <v>1.2187684229346991</v>
      </c>
      <c r="M44">
        <f t="shared" si="11"/>
        <v>3.4993079707613504</v>
      </c>
      <c r="O44">
        <f t="shared" si="9"/>
        <v>5</v>
      </c>
      <c r="Q44">
        <f t="shared" si="12"/>
        <v>0.69986159415227012</v>
      </c>
      <c r="S44">
        <f t="shared" si="10"/>
        <v>146.97093477197672</v>
      </c>
      <c r="U44">
        <f t="shared" si="13"/>
        <v>25.334152928225109</v>
      </c>
    </row>
    <row r="45" spans="3:25" x14ac:dyDescent="0.2">
      <c r="C45" s="16">
        <f t="shared" si="0"/>
        <v>127.38406000000001</v>
      </c>
      <c r="D45" s="22">
        <v>215</v>
      </c>
      <c r="E45" s="22">
        <f t="shared" si="8"/>
        <v>0.50674037138502526</v>
      </c>
      <c r="F45" s="22">
        <f t="shared" si="3"/>
        <v>6.7465269239770587E-2</v>
      </c>
      <c r="G45" s="22">
        <f t="shared" si="4"/>
        <v>176.10826798527108</v>
      </c>
      <c r="H45" s="22">
        <f t="shared" si="5"/>
        <v>130.5177241340169</v>
      </c>
      <c r="I45" s="22">
        <f t="shared" si="6"/>
        <v>45.590543851254154</v>
      </c>
      <c r="J45">
        <f t="shared" si="14"/>
        <v>176.10826798527106</v>
      </c>
      <c r="K45">
        <f t="shared" si="2"/>
        <v>285.31334993147254</v>
      </c>
      <c r="L45" s="60">
        <f t="shared" si="15"/>
        <v>1.2208398984310134</v>
      </c>
      <c r="M45">
        <f t="shared" si="11"/>
        <v>3.8031802850692316</v>
      </c>
      <c r="O45">
        <f t="shared" si="9"/>
        <v>5</v>
      </c>
      <c r="Q45">
        <f t="shared" si="12"/>
        <v>0.76063605701384629</v>
      </c>
      <c r="S45">
        <f t="shared" si="10"/>
        <v>163.53675225797696</v>
      </c>
      <c r="U45">
        <f t="shared" si="13"/>
        <v>12.571515727294098</v>
      </c>
    </row>
    <row r="46" spans="3:25" x14ac:dyDescent="0.2">
      <c r="C46">
        <f t="shared" si="0"/>
        <v>130.34648000000001</v>
      </c>
      <c r="D46">
        <v>220</v>
      </c>
      <c r="E46">
        <f t="shared" si="8"/>
        <v>0.48396846419985107</v>
      </c>
      <c r="F46">
        <f t="shared" si="3"/>
        <v>6.5930829931302962E-2</v>
      </c>
      <c r="G46">
        <f t="shared" si="4"/>
        <v>180.20069946928643</v>
      </c>
      <c r="H46">
        <f t="shared" si="5"/>
        <v>136.65890423118265</v>
      </c>
      <c r="I46">
        <f t="shared" si="6"/>
        <v>43.541795238103788</v>
      </c>
      <c r="J46">
        <f t="shared" si="14"/>
        <v>180.20069946928643</v>
      </c>
      <c r="K46">
        <f t="shared" si="2"/>
        <v>285.31334993147254</v>
      </c>
      <c r="L46" s="60">
        <f t="shared" si="15"/>
        <v>1.2208609658449023</v>
      </c>
      <c r="M46">
        <f t="shared" si="11"/>
        <v>4.0924314840153784</v>
      </c>
      <c r="O46">
        <f t="shared" si="9"/>
        <v>5</v>
      </c>
      <c r="Q46">
        <f t="shared" si="12"/>
        <v>0.81848629680307572</v>
      </c>
      <c r="S46">
        <f t="shared" si="10"/>
        <v>180.06698529667665</v>
      </c>
      <c r="U46">
        <f t="shared" si="13"/>
        <v>0.13371417260978546</v>
      </c>
    </row>
    <row r="47" spans="3:25" x14ac:dyDescent="0.2">
      <c r="C47" s="16">
        <f t="shared" si="0"/>
        <v>133.30889999999999</v>
      </c>
      <c r="D47" s="64">
        <v>225</v>
      </c>
      <c r="E47" s="64">
        <f t="shared" si="8"/>
        <v>0.46269775145230208</v>
      </c>
      <c r="F47" s="64">
        <f t="shared" si="3"/>
        <v>6.4561263207973646E-2</v>
      </c>
      <c r="G47" s="64">
        <f t="shared" si="4"/>
        <v>184.56936734204399</v>
      </c>
      <c r="H47" s="64">
        <f t="shared" si="5"/>
        <v>142.94126088230624</v>
      </c>
      <c r="I47" s="64">
        <f t="shared" si="6"/>
        <v>41.628106459737744</v>
      </c>
      <c r="J47">
        <f t="shared" si="14"/>
        <v>184.56936734204399</v>
      </c>
      <c r="K47">
        <f t="shared" si="2"/>
        <v>285.31334993147254</v>
      </c>
      <c r="L47" s="60">
        <f t="shared" si="15"/>
        <v>1.2190538616466617</v>
      </c>
      <c r="M47">
        <f t="shared" si="11"/>
        <v>4.3686678727575554</v>
      </c>
      <c r="O47">
        <f t="shared" si="9"/>
        <v>5</v>
      </c>
      <c r="Q47">
        <f t="shared" si="12"/>
        <v>0.87373357455151113</v>
      </c>
      <c r="S47">
        <f t="shared" si="10"/>
        <v>196.59005427408999</v>
      </c>
      <c r="U47">
        <f t="shared" si="13"/>
        <v>-12.020686932046004</v>
      </c>
    </row>
    <row r="48" spans="3:25" x14ac:dyDescent="0.2">
      <c r="C48" s="16">
        <f t="shared" si="0"/>
        <v>136.27132</v>
      </c>
      <c r="D48" s="22">
        <v>230</v>
      </c>
      <c r="E48" s="22">
        <f t="shared" si="8"/>
        <v>0.44279912414504335</v>
      </c>
      <c r="F48" s="22">
        <f t="shared" si="3"/>
        <v>6.3335760293835808E-2</v>
      </c>
      <c r="G48" s="22">
        <f t="shared" si="4"/>
        <v>189.20265589313857</v>
      </c>
      <c r="H48" s="22">
        <f t="shared" si="5"/>
        <v>149.36479408738765</v>
      </c>
      <c r="I48" s="22">
        <f t="shared" si="6"/>
        <v>39.837861805750919</v>
      </c>
      <c r="J48">
        <f t="shared" si="14"/>
        <v>189.20265589313857</v>
      </c>
      <c r="K48">
        <f t="shared" si="2"/>
        <v>285.31334993147254</v>
      </c>
      <c r="L48" s="60">
        <f t="shared" si="15"/>
        <v>1.2156277559333191</v>
      </c>
      <c r="M48">
        <f t="shared" si="11"/>
        <v>4.63328855109458</v>
      </c>
      <c r="O48">
        <f t="shared" si="9"/>
        <v>5</v>
      </c>
      <c r="Q48">
        <f t="shared" si="12"/>
        <v>0.92665771021891596</v>
      </c>
      <c r="S48">
        <f t="shared" si="10"/>
        <v>213.13127335035068</v>
      </c>
      <c r="U48">
        <f t="shared" si="13"/>
        <v>-23.928617457212113</v>
      </c>
    </row>
    <row r="49" spans="3:21" x14ac:dyDescent="0.2">
      <c r="C49" s="16">
        <f t="shared" si="0"/>
        <v>139.23374000000001</v>
      </c>
      <c r="D49" s="22">
        <v>235</v>
      </c>
      <c r="E49" s="22">
        <f t="shared" si="8"/>
        <v>0.42415706052101027</v>
      </c>
      <c r="F49" s="22">
        <f t="shared" si="3"/>
        <v>6.2236512989721438E-2</v>
      </c>
      <c r="G49" s="22">
        <f t="shared" si="4"/>
        <v>194.09017183237933</v>
      </c>
      <c r="H49" s="22">
        <f t="shared" si="5"/>
        <v>155.92950384642691</v>
      </c>
      <c r="I49" s="22">
        <f t="shared" si="6"/>
        <v>38.160667985952436</v>
      </c>
      <c r="J49">
        <f t="shared" si="14"/>
        <v>194.09017183237935</v>
      </c>
      <c r="K49">
        <f t="shared" si="2"/>
        <v>285.31334993147254</v>
      </c>
      <c r="L49" s="60">
        <f t="shared" si="15"/>
        <v>1.2107774328880048</v>
      </c>
      <c r="M49">
        <f t="shared" si="11"/>
        <v>4.8875159392407852</v>
      </c>
      <c r="O49">
        <f t="shared" si="9"/>
        <v>5</v>
      </c>
      <c r="Q49">
        <f t="shared" si="12"/>
        <v>0.97750318784815704</v>
      </c>
      <c r="S49">
        <f t="shared" si="10"/>
        <v>229.7132491443169</v>
      </c>
      <c r="U49">
        <f t="shared" si="13"/>
        <v>-35.62307731193755</v>
      </c>
    </row>
    <row r="50" spans="3:21" x14ac:dyDescent="0.2">
      <c r="C50" s="16">
        <f t="shared" si="0"/>
        <v>142.19615999999999</v>
      </c>
      <c r="D50" s="22">
        <v>240</v>
      </c>
      <c r="E50" s="22">
        <f t="shared" si="8"/>
        <v>0.40666794561237485</v>
      </c>
      <c r="F50" s="22">
        <f t="shared" si="3"/>
        <v>6.1248229216059352E-2</v>
      </c>
      <c r="G50" s="22">
        <f t="shared" si="4"/>
        <v>199.22259310255288</v>
      </c>
      <c r="H50" s="22">
        <f t="shared" si="5"/>
        <v>162.63539015942399</v>
      </c>
      <c r="I50" s="22">
        <f t="shared" si="6"/>
        <v>36.587202943128879</v>
      </c>
      <c r="J50">
        <f t="shared" si="14"/>
        <v>199.22259310255288</v>
      </c>
      <c r="K50">
        <f t="shared" si="2"/>
        <v>285.31334993147254</v>
      </c>
      <c r="L50" s="60">
        <f t="shared" si="15"/>
        <v>1.2046826429794353</v>
      </c>
      <c r="M50">
        <f t="shared" si="11"/>
        <v>5.1324212701735235</v>
      </c>
      <c r="O50">
        <f t="shared" si="9"/>
        <v>5</v>
      </c>
      <c r="Q50">
        <f t="shared" si="12"/>
        <v>1.0264842540347048</v>
      </c>
      <c r="S50">
        <f t="shared" si="10"/>
        <v>246.35622096832915</v>
      </c>
      <c r="U50">
        <f t="shared" si="13"/>
        <v>-47.133627865776276</v>
      </c>
    </row>
    <row r="51" spans="3:21" x14ac:dyDescent="0.2">
      <c r="C51" s="16">
        <f t="shared" si="0"/>
        <v>145.15858</v>
      </c>
      <c r="D51" s="22">
        <v>245</v>
      </c>
      <c r="E51" s="22">
        <f t="shared" si="8"/>
        <v>0.39023862835939682</v>
      </c>
      <c r="F51" s="22">
        <f t="shared" si="3"/>
        <v>6.0357734801634422E-2</v>
      </c>
      <c r="G51" s="22">
        <f t="shared" si="4"/>
        <v>204.59153906593281</v>
      </c>
      <c r="H51" s="22">
        <f t="shared" si="5"/>
        <v>169.48245302637889</v>
      </c>
      <c r="I51" s="22">
        <f t="shared" si="6"/>
        <v>35.109086039553908</v>
      </c>
      <c r="J51">
        <f t="shared" si="14"/>
        <v>204.59153906593281</v>
      </c>
      <c r="K51">
        <f t="shared" si="2"/>
        <v>285.31334993147254</v>
      </c>
      <c r="L51" s="60">
        <f t="shared" si="15"/>
        <v>1.1975079767157182</v>
      </c>
      <c r="M51">
        <f t="shared" si="11"/>
        <v>5.3689459633799288</v>
      </c>
      <c r="O51">
        <f t="shared" si="9"/>
        <v>5</v>
      </c>
      <c r="Q51">
        <f t="shared" si="12"/>
        <v>1.0737891926759857</v>
      </c>
      <c r="S51">
        <f t="shared" si="10"/>
        <v>263.07835220561651</v>
      </c>
      <c r="U51">
        <f t="shared" si="13"/>
        <v>-58.486813139683704</v>
      </c>
    </row>
    <row r="52" spans="3:21" x14ac:dyDescent="0.2">
      <c r="C52" s="16">
        <f t="shared" si="0"/>
        <v>148.12100000000001</v>
      </c>
      <c r="D52" s="22">
        <v>250</v>
      </c>
      <c r="E52" s="22">
        <f t="shared" si="8"/>
        <v>0.37478517867636463</v>
      </c>
      <c r="F52" s="22">
        <f t="shared" si="3"/>
        <v>5.9553644790751509E-2</v>
      </c>
      <c r="G52" s="22">
        <f t="shared" si="4"/>
        <v>210.18945867967926</v>
      </c>
      <c r="H52" s="22">
        <f t="shared" si="5"/>
        <v>176.47069244729167</v>
      </c>
      <c r="I52" s="22">
        <f t="shared" si="6"/>
        <v>33.718766232387566</v>
      </c>
      <c r="J52">
        <f t="shared" si="14"/>
        <v>210.18945867967923</v>
      </c>
      <c r="K52">
        <f t="shared" si="2"/>
        <v>285.31334993147254</v>
      </c>
      <c r="L52" s="60">
        <f t="shared" si="15"/>
        <v>1.1894031297782184</v>
      </c>
      <c r="M52">
        <f t="shared" si="11"/>
        <v>5.5979196137464271</v>
      </c>
      <c r="O52">
        <f t="shared" si="9"/>
        <v>5</v>
      </c>
      <c r="Q52">
        <f t="shared" si="12"/>
        <v>1.1195839227492854</v>
      </c>
      <c r="S52">
        <f t="shared" si="10"/>
        <v>279.89598068732136</v>
      </c>
      <c r="U52">
        <f t="shared" si="13"/>
        <v>-69.706522007642121</v>
      </c>
    </row>
    <row r="53" spans="3:21" x14ac:dyDescent="0.2">
      <c r="C53" s="16">
        <f t="shared" si="0"/>
        <v>151.08341999999999</v>
      </c>
      <c r="D53" s="22">
        <v>255</v>
      </c>
      <c r="E53" s="22">
        <f t="shared" si="8"/>
        <v>0.36023181341442201</v>
      </c>
      <c r="F53" s="22">
        <f t="shared" si="3"/>
        <v>5.882609104181781E-2</v>
      </c>
      <c r="G53" s="22">
        <f t="shared" si="4"/>
        <v>216.00953386659472</v>
      </c>
      <c r="H53" s="22">
        <f t="shared" si="5"/>
        <v>183.60010842216224</v>
      </c>
      <c r="I53" s="22">
        <f t="shared" si="6"/>
        <v>32.4094254444325</v>
      </c>
      <c r="J53">
        <f t="shared" si="14"/>
        <v>216.00953386659472</v>
      </c>
      <c r="K53">
        <f t="shared" si="2"/>
        <v>285.31334993147254</v>
      </c>
      <c r="L53" s="60">
        <f t="shared" si="15"/>
        <v>1.1805034501740344</v>
      </c>
      <c r="M53">
        <f t="shared" si="11"/>
        <v>5.8200751869154885</v>
      </c>
      <c r="O53">
        <f t="shared" si="9"/>
        <v>5</v>
      </c>
      <c r="Q53">
        <f t="shared" si="12"/>
        <v>1.1640150373830978</v>
      </c>
      <c r="S53">
        <f t="shared" si="10"/>
        <v>296.82383453268994</v>
      </c>
      <c r="U53">
        <f t="shared" si="13"/>
        <v>-80.814300666095221</v>
      </c>
    </row>
    <row r="54" spans="3:21" x14ac:dyDescent="0.2">
      <c r="C54" s="16">
        <f t="shared" si="0"/>
        <v>154.04584</v>
      </c>
      <c r="D54" s="22">
        <v>260</v>
      </c>
      <c r="E54" s="22">
        <f t="shared" si="8"/>
        <v>0.34650996549220109</v>
      </c>
      <c r="F54" s="22">
        <f t="shared" si="3"/>
        <v>5.8166495606743696E-2</v>
      </c>
      <c r="G54" s="22">
        <f t="shared" si="4"/>
        <v>222.04559576643774</v>
      </c>
      <c r="H54" s="22">
        <f t="shared" si="5"/>
        <v>190.87070095099065</v>
      </c>
      <c r="I54" s="22">
        <f t="shared" si="6"/>
        <v>31.174894815447093</v>
      </c>
      <c r="J54">
        <f t="shared" si="14"/>
        <v>222.04559576643774</v>
      </c>
      <c r="K54">
        <f t="shared" si="2"/>
        <v>285.31334993147254</v>
      </c>
      <c r="L54" s="60">
        <f t="shared" si="15"/>
        <v>1.1709306780103184</v>
      </c>
      <c r="M54">
        <f t="shared" si="11"/>
        <v>6.0360618998430198</v>
      </c>
      <c r="O54">
        <f t="shared" si="9"/>
        <v>5</v>
      </c>
      <c r="Q54">
        <f t="shared" si="12"/>
        <v>1.2072123799686039</v>
      </c>
      <c r="S54">
        <f t="shared" si="10"/>
        <v>313.87521879183703</v>
      </c>
      <c r="U54">
        <f t="shared" si="13"/>
        <v>-91.829623025399286</v>
      </c>
    </row>
    <row r="55" spans="3:21" x14ac:dyDescent="0.2">
      <c r="C55" s="16">
        <f t="shared" si="0"/>
        <v>157.00826000000001</v>
      </c>
      <c r="D55" s="22">
        <v>265</v>
      </c>
      <c r="E55" s="22">
        <f t="shared" si="8"/>
        <v>0.33355747479206538</v>
      </c>
      <c r="F55" s="22">
        <f t="shared" si="3"/>
        <v>5.7567381499581197E-2</v>
      </c>
      <c r="G55" s="22">
        <f t="shared" si="4"/>
        <v>228.29205194227421</v>
      </c>
      <c r="H55" s="22">
        <f t="shared" si="5"/>
        <v>198.28247003377692</v>
      </c>
      <c r="I55" s="22">
        <f t="shared" si="6"/>
        <v>30.009581908497307</v>
      </c>
      <c r="J55">
        <f t="shared" si="14"/>
        <v>228.29205194227421</v>
      </c>
      <c r="K55">
        <f t="shared" si="2"/>
        <v>285.31334993147254</v>
      </c>
      <c r="L55" s="60">
        <f t="shared" si="15"/>
        <v>1.1607938066411867</v>
      </c>
      <c r="M55">
        <f t="shared" si="11"/>
        <v>6.2464561758364709</v>
      </c>
      <c r="O55">
        <f t="shared" si="9"/>
        <v>5</v>
      </c>
      <c r="Q55">
        <f t="shared" si="12"/>
        <v>1.2492912351672942</v>
      </c>
      <c r="S55">
        <f t="shared" si="10"/>
        <v>331.06217731933299</v>
      </c>
      <c r="U55">
        <f t="shared" si="13"/>
        <v>-102.77012537705878</v>
      </c>
    </row>
    <row r="56" spans="3:21" x14ac:dyDescent="0.2">
      <c r="C56" s="16">
        <f t="shared" si="0"/>
        <v>159.97068000000002</v>
      </c>
      <c r="D56" s="22">
        <v>270</v>
      </c>
      <c r="E56" s="22">
        <f t="shared" si="8"/>
        <v>0.32131788295298752</v>
      </c>
      <c r="F56" s="22">
        <f t="shared" si="3"/>
        <v>5.7022214124215681E-2</v>
      </c>
      <c r="G56" s="22">
        <f t="shared" si="4"/>
        <v>234.74382293422775</v>
      </c>
      <c r="H56" s="22">
        <f t="shared" si="5"/>
        <v>205.835415670521</v>
      </c>
      <c r="I56" s="22">
        <f t="shared" si="6"/>
        <v>28.90840726370676</v>
      </c>
      <c r="J56">
        <f t="shared" si="14"/>
        <v>234.74382293422775</v>
      </c>
      <c r="K56">
        <f t="shared" si="2"/>
        <v>285.31334993147254</v>
      </c>
      <c r="L56" s="60">
        <f t="shared" si="15"/>
        <v>1.1501900097948503</v>
      </c>
      <c r="M56">
        <f t="shared" si="11"/>
        <v>6.4517709919535378</v>
      </c>
      <c r="O56">
        <f t="shared" ref="O56:O73" si="16">D56-D55</f>
        <v>5</v>
      </c>
      <c r="Q56">
        <f t="shared" si="12"/>
        <v>1.2903541983907076</v>
      </c>
      <c r="S56">
        <f t="shared" ref="S56:S73" si="17">Q56*D56</f>
        <v>348.39563356549104</v>
      </c>
      <c r="U56">
        <f t="shared" si="13"/>
        <v>-113.65181063126329</v>
      </c>
    </row>
    <row r="57" spans="3:21" x14ac:dyDescent="0.2">
      <c r="C57" s="16">
        <f t="shared" si="0"/>
        <v>162.9331</v>
      </c>
      <c r="D57" s="22">
        <v>275</v>
      </c>
      <c r="E57" s="22">
        <f t="shared" si="8"/>
        <v>0.3097398170879046</v>
      </c>
      <c r="F57" s="22">
        <f t="shared" si="3"/>
        <v>5.6525267939861693E-2</v>
      </c>
      <c r="G57" s="22">
        <f t="shared" si="4"/>
        <v>241.39628681360935</v>
      </c>
      <c r="H57" s="22">
        <f t="shared" si="5"/>
        <v>213.52953786122293</v>
      </c>
      <c r="I57" s="22">
        <f t="shared" si="6"/>
        <v>27.866748952386413</v>
      </c>
      <c r="J57">
        <f t="shared" si="14"/>
        <v>241.39628681360935</v>
      </c>
      <c r="K57">
        <f t="shared" si="2"/>
        <v>285.31334993147254</v>
      </c>
      <c r="L57" s="60">
        <f t="shared" si="15"/>
        <v>1.1392055927203937</v>
      </c>
      <c r="M57">
        <f t="shared" si="11"/>
        <v>6.6524638793815996</v>
      </c>
      <c r="O57">
        <f t="shared" si="16"/>
        <v>5</v>
      </c>
      <c r="Q57">
        <f t="shared" si="12"/>
        <v>1.3304927758763199</v>
      </c>
      <c r="S57">
        <f t="shared" si="17"/>
        <v>365.88551336598795</v>
      </c>
      <c r="U57">
        <f t="shared" si="13"/>
        <v>-124.4892265523786</v>
      </c>
    </row>
    <row r="58" spans="3:21" x14ac:dyDescent="0.2">
      <c r="C58" s="16">
        <f t="shared" si="0"/>
        <v>165.89552</v>
      </c>
      <c r="D58" s="22">
        <v>280</v>
      </c>
      <c r="E58" s="22">
        <f t="shared" si="8"/>
        <v>0.29877644983766316</v>
      </c>
      <c r="F58" s="22">
        <f t="shared" si="3"/>
        <v>5.6071513979180726E-2</v>
      </c>
      <c r="G58" s="22">
        <f t="shared" si="4"/>
        <v>248.24523060491612</v>
      </c>
      <c r="H58" s="22">
        <f t="shared" si="5"/>
        <v>221.36483660588266</v>
      </c>
      <c r="I58" s="22">
        <f t="shared" si="6"/>
        <v>26.880393999033462</v>
      </c>
      <c r="J58">
        <f t="shared" si="14"/>
        <v>248.24523060491612</v>
      </c>
      <c r="K58">
        <f t="shared" si="2"/>
        <v>285.31334993147254</v>
      </c>
      <c r="L58" s="60">
        <f t="shared" si="15"/>
        <v>1.1279169364813368</v>
      </c>
      <c r="M58">
        <f t="shared" si="11"/>
        <v>6.8489437913067661</v>
      </c>
      <c r="O58">
        <f t="shared" si="16"/>
        <v>5</v>
      </c>
      <c r="Q58">
        <f t="shared" si="12"/>
        <v>1.3697887582613533</v>
      </c>
      <c r="S58">
        <f t="shared" si="17"/>
        <v>383.5408523131789</v>
      </c>
      <c r="U58">
        <f t="shared" si="13"/>
        <v>-135.29562170826279</v>
      </c>
    </row>
    <row r="59" spans="3:21" x14ac:dyDescent="0.2">
      <c r="C59" s="16">
        <f t="shared" si="0"/>
        <v>168.85794000000001</v>
      </c>
      <c r="D59" s="22">
        <v>285</v>
      </c>
      <c r="E59" s="22">
        <f t="shared" si="8"/>
        <v>0.28838502514340153</v>
      </c>
      <c r="F59" s="22">
        <f t="shared" si="3"/>
        <v>5.5656524657604421E-2</v>
      </c>
      <c r="G59" s="22">
        <f t="shared" si="4"/>
        <v>255.28680762040329</v>
      </c>
      <c r="H59" s="22">
        <f t="shared" si="5"/>
        <v>229.34131190450026</v>
      </c>
      <c r="I59" s="22">
        <f t="shared" si="6"/>
        <v>25.945495715903025</v>
      </c>
      <c r="J59">
        <f t="shared" si="14"/>
        <v>255.28680762040329</v>
      </c>
      <c r="K59">
        <f t="shared" si="2"/>
        <v>285.31334993147254</v>
      </c>
      <c r="L59" s="60">
        <f t="shared" si="15"/>
        <v>1.1163914134716217</v>
      </c>
      <c r="M59">
        <f t="shared" si="11"/>
        <v>7.041577015487178</v>
      </c>
      <c r="O59">
        <f t="shared" si="16"/>
        <v>5</v>
      </c>
      <c r="Q59">
        <f t="shared" si="12"/>
        <v>1.4083154030974356</v>
      </c>
      <c r="S59">
        <f t="shared" si="17"/>
        <v>401.36988988276914</v>
      </c>
      <c r="U59">
        <f t="shared" si="13"/>
        <v>-146.08308226236585</v>
      </c>
    </row>
    <row r="60" spans="3:21" x14ac:dyDescent="0.2">
      <c r="C60" s="16">
        <f t="shared" si="0"/>
        <v>171.82035999999999</v>
      </c>
      <c r="D60" s="22">
        <v>290</v>
      </c>
      <c r="E60" s="22">
        <f t="shared" si="8"/>
        <v>0.27852644075235183</v>
      </c>
      <c r="F60" s="22">
        <f t="shared" si="3"/>
        <v>5.5276392970244226E-2</v>
      </c>
      <c r="G60" s="22">
        <f t="shared" si="4"/>
        <v>262.5174998988619</v>
      </c>
      <c r="H60" s="22">
        <f t="shared" si="5"/>
        <v>237.45896375707568</v>
      </c>
      <c r="I60" s="22">
        <f t="shared" si="6"/>
        <v>25.058536141786242</v>
      </c>
      <c r="J60">
        <f t="shared" si="14"/>
        <v>262.5174998988619</v>
      </c>
      <c r="K60">
        <f t="shared" si="2"/>
        <v>285.31334993147254</v>
      </c>
      <c r="L60" s="60">
        <f t="shared" si="15"/>
        <v>1.1046882593035743</v>
      </c>
      <c r="M60">
        <f t="shared" si="11"/>
        <v>7.230692278458605</v>
      </c>
      <c r="O60">
        <f t="shared" si="16"/>
        <v>5</v>
      </c>
      <c r="Q60">
        <f t="shared" si="12"/>
        <v>1.4461384556917209</v>
      </c>
      <c r="S60">
        <f t="shared" si="17"/>
        <v>419.38015215059909</v>
      </c>
      <c r="U60">
        <f t="shared" si="13"/>
        <v>-156.86265225173719</v>
      </c>
    </row>
    <row r="61" spans="3:21" x14ac:dyDescent="0.2">
      <c r="C61" s="16">
        <f t="shared" si="0"/>
        <v>174.78278</v>
      </c>
      <c r="D61" s="22">
        <v>295</v>
      </c>
      <c r="E61" s="22">
        <f t="shared" si="8"/>
        <v>0.26916487983077036</v>
      </c>
      <c r="F61" s="22">
        <f t="shared" si="3"/>
        <v>5.4927663700222923E-2</v>
      </c>
      <c r="G61" s="22">
        <f t="shared" si="4"/>
        <v>269.93408506247965</v>
      </c>
      <c r="H61" s="22">
        <f t="shared" si="5"/>
        <v>245.71779216360892</v>
      </c>
      <c r="I61" s="22">
        <f t="shared" si="6"/>
        <v>24.216292898870709</v>
      </c>
      <c r="J61">
        <f t="shared" si="14"/>
        <v>269.93408506247965</v>
      </c>
      <c r="K61">
        <f t="shared" si="2"/>
        <v>285.31334993147254</v>
      </c>
      <c r="L61" s="60">
        <f t="shared" si="15"/>
        <v>1.0928593916982308</v>
      </c>
      <c r="M61">
        <f t="shared" si="11"/>
        <v>7.4165851636177536</v>
      </c>
      <c r="O61">
        <f t="shared" si="16"/>
        <v>5</v>
      </c>
      <c r="Q61">
        <f t="shared" si="12"/>
        <v>1.4833170327235508</v>
      </c>
      <c r="S61">
        <f t="shared" si="17"/>
        <v>437.57852465344746</v>
      </c>
      <c r="U61">
        <f t="shared" si="13"/>
        <v>-167.64443959096781</v>
      </c>
    </row>
    <row r="62" spans="3:21" x14ac:dyDescent="0.2">
      <c r="C62" s="16">
        <f t="shared" si="0"/>
        <v>177.74520000000001</v>
      </c>
      <c r="D62" s="22">
        <v>300</v>
      </c>
      <c r="E62" s="22">
        <f t="shared" si="8"/>
        <v>0.26026748519191989</v>
      </c>
      <c r="F62" s="22">
        <f t="shared" si="3"/>
        <v>5.4607274686897911E-2</v>
      </c>
      <c r="G62" s="22">
        <f t="shared" si="4"/>
        <v>277.53360700770247</v>
      </c>
      <c r="H62" s="22">
        <f t="shared" si="5"/>
        <v>254.11779712409998</v>
      </c>
      <c r="I62" s="22">
        <f t="shared" si="6"/>
        <v>23.415809883602478</v>
      </c>
      <c r="J62">
        <f t="shared" si="14"/>
        <v>277.53360700770247</v>
      </c>
      <c r="K62">
        <f t="shared" si="2"/>
        <v>285.31334993147254</v>
      </c>
      <c r="L62" s="60">
        <f t="shared" si="15"/>
        <v>1.0809501711685461</v>
      </c>
      <c r="M62">
        <f t="shared" si="11"/>
        <v>7.5995219452228184</v>
      </c>
      <c r="O62">
        <f t="shared" si="16"/>
        <v>5</v>
      </c>
      <c r="Q62">
        <f t="shared" si="12"/>
        <v>1.5199043890445636</v>
      </c>
      <c r="S62">
        <f t="shared" si="17"/>
        <v>455.97131671336911</v>
      </c>
      <c r="U62">
        <f t="shared" si="13"/>
        <v>-178.43770970566663</v>
      </c>
    </row>
    <row r="63" spans="3:21" x14ac:dyDescent="0.2">
      <c r="C63" s="62">
        <f t="shared" si="0"/>
        <v>180.70761999999999</v>
      </c>
      <c r="D63" s="63">
        <v>305</v>
      </c>
      <c r="E63" s="63">
        <f t="shared" si="8"/>
        <v>0.25180407059685883</v>
      </c>
      <c r="F63" s="63">
        <f t="shared" si="3"/>
        <v>5.4312506545626006E-2</v>
      </c>
      <c r="G63" s="63">
        <f t="shared" si="4"/>
        <v>285.31334993147254</v>
      </c>
      <c r="H63" s="63">
        <f t="shared" si="5"/>
        <v>262.65897863854889</v>
      </c>
      <c r="I63" s="63">
        <f t="shared" si="6"/>
        <v>22.65437129292366</v>
      </c>
      <c r="J63">
        <f t="shared" si="14"/>
        <v>285.31334993147254</v>
      </c>
      <c r="K63">
        <f t="shared" si="2"/>
        <v>285.31334993147254</v>
      </c>
      <c r="L63" s="60">
        <f t="shared" si="15"/>
        <v>1.0690001013736505</v>
      </c>
      <c r="M63">
        <f t="shared" si="11"/>
        <v>7.7797429237700726</v>
      </c>
      <c r="O63">
        <f t="shared" si="16"/>
        <v>5</v>
      </c>
      <c r="Q63">
        <f t="shared" si="12"/>
        <v>1.5559485847540144</v>
      </c>
      <c r="S63">
        <f t="shared" si="17"/>
        <v>474.56431834997443</v>
      </c>
      <c r="U63">
        <f t="shared" si="13"/>
        <v>-189.25096841850188</v>
      </c>
    </row>
    <row r="64" spans="3:21" x14ac:dyDescent="0.2">
      <c r="C64" s="16">
        <f t="shared" si="0"/>
        <v>183.67004</v>
      </c>
      <c r="D64" s="22">
        <v>310</v>
      </c>
      <c r="E64" s="22">
        <f t="shared" si="8"/>
        <v>0.24374686438369189</v>
      </c>
      <c r="F64" s="22">
        <f t="shared" si="3"/>
        <v>5.4040939509104081E-2</v>
      </c>
      <c r="G64" s="22">
        <f t="shared" si="4"/>
        <v>293.27081526600068</v>
      </c>
      <c r="H64" s="22">
        <f t="shared" si="5"/>
        <v>271.34133670695564</v>
      </c>
      <c r="I64" s="22">
        <f t="shared" si="6"/>
        <v>21.929478559044988</v>
      </c>
      <c r="J64">
        <f t="shared" si="14"/>
        <v>293.27081526600062</v>
      </c>
      <c r="K64">
        <f t="shared" si="2"/>
        <v>285.31334993147254</v>
      </c>
      <c r="L64" s="60">
        <f t="shared" si="15"/>
        <v>1.0570434692549471</v>
      </c>
      <c r="M64">
        <f t="shared" si="11"/>
        <v>7.9574653345280808</v>
      </c>
      <c r="O64">
        <f t="shared" si="16"/>
        <v>5</v>
      </c>
      <c r="Q64">
        <f t="shared" si="12"/>
        <v>1.5914930669056162</v>
      </c>
      <c r="S64">
        <f t="shared" si="17"/>
        <v>493.36285074074101</v>
      </c>
      <c r="U64">
        <f t="shared" si="13"/>
        <v>-200.09203547474038</v>
      </c>
    </row>
    <row r="65" spans="3:21" x14ac:dyDescent="0.2">
      <c r="C65" s="16">
        <f t="shared" si="0"/>
        <v>186.63246000000001</v>
      </c>
      <c r="D65" s="22">
        <v>315</v>
      </c>
      <c r="E65" s="22">
        <f t="shared" si="8"/>
        <v>0.23607028135321531</v>
      </c>
      <c r="F65" s="22">
        <f t="shared" si="3"/>
        <v>5.3790416286956903E-2</v>
      </c>
      <c r="G65" s="22">
        <f t="shared" si="4"/>
        <v>301.40370115571704</v>
      </c>
      <c r="H65" s="22">
        <f t="shared" si="5"/>
        <v>280.16487132932025</v>
      </c>
      <c r="I65" s="22">
        <f t="shared" si="6"/>
        <v>21.238829826396806</v>
      </c>
      <c r="J65">
        <f t="shared" si="14"/>
        <v>301.40370115571704</v>
      </c>
      <c r="K65">
        <f t="shared" si="2"/>
        <v>285.31334993147254</v>
      </c>
      <c r="L65" s="60">
        <f t="shared" si="15"/>
        <v>1.0451099266271404</v>
      </c>
      <c r="M65">
        <f t="shared" si="11"/>
        <v>8.1328858897164196</v>
      </c>
      <c r="O65">
        <f t="shared" si="16"/>
        <v>5</v>
      </c>
      <c r="Q65">
        <f t="shared" si="12"/>
        <v>1.6265771779432838</v>
      </c>
      <c r="S65">
        <f t="shared" si="17"/>
        <v>512.37181105213438</v>
      </c>
      <c r="U65">
        <f t="shared" si="13"/>
        <v>-210.96810989641733</v>
      </c>
    </row>
    <row r="66" spans="3:21" x14ac:dyDescent="0.2">
      <c r="C66" s="16">
        <f t="shared" ref="C66:C73" si="18">D66*0.592484</f>
        <v>189.59487999999999</v>
      </c>
      <c r="D66" s="22">
        <v>320</v>
      </c>
      <c r="E66" s="22">
        <f t="shared" si="8"/>
        <v>0.22875071940696087</v>
      </c>
      <c r="F66" s="22">
        <f t="shared" si="3"/>
        <v>5.3559010025393781E-2</v>
      </c>
      <c r="G66" s="22">
        <f t="shared" si="4"/>
        <v>309.70988416115262</v>
      </c>
      <c r="H66" s="22">
        <f t="shared" si="5"/>
        <v>289.12958250564265</v>
      </c>
      <c r="I66" s="22">
        <f t="shared" si="6"/>
        <v>20.580301655509995</v>
      </c>
      <c r="J66">
        <f t="shared" ref="J66:J73" si="19">H66+I66</f>
        <v>309.70988416115262</v>
      </c>
      <c r="K66">
        <f t="shared" ref="K66:K73" si="20">$J$63</f>
        <v>285.31334993147254</v>
      </c>
      <c r="L66" s="60">
        <f t="shared" si="15"/>
        <v>1.0332250159426397</v>
      </c>
      <c r="M66">
        <f t="shared" si="11"/>
        <v>8.306183005435571</v>
      </c>
      <c r="O66">
        <f t="shared" si="16"/>
        <v>5</v>
      </c>
      <c r="Q66">
        <f t="shared" si="12"/>
        <v>1.6612366010871142</v>
      </c>
      <c r="S66">
        <f t="shared" si="17"/>
        <v>531.59571234787654</v>
      </c>
      <c r="U66">
        <f t="shared" si="13"/>
        <v>-221.88582818672393</v>
      </c>
    </row>
    <row r="67" spans="3:21" x14ac:dyDescent="0.2">
      <c r="C67" s="16">
        <f t="shared" si="18"/>
        <v>192.5573</v>
      </c>
      <c r="D67" s="22">
        <v>325</v>
      </c>
      <c r="E67" s="22">
        <f t="shared" si="8"/>
        <v>0.22176637791500867</v>
      </c>
      <c r="F67" s="22">
        <f t="shared" ref="F67:F73" si="21">$B$6+$B$8*E67^2</f>
        <v>5.3344996600522221E-2</v>
      </c>
      <c r="G67" s="22">
        <f t="shared" ref="G67:G73" si="22">0.5*$B$2*D67^2*$B$4*F67</f>
        <v>318.1874029178091</v>
      </c>
      <c r="H67" s="22">
        <f t="shared" ref="H67:H73" si="23">(0.5*$B$2*D67^2)*$B$4*$B$6</f>
        <v>298.23547023592295</v>
      </c>
      <c r="I67" s="22">
        <f t="shared" ref="I67:I73" si="24">(0.5*$B$2*D67^2)*$B$4*E67^2/(PI()*$B$7*$B$5)</f>
        <v>19.951932681886138</v>
      </c>
      <c r="J67">
        <f t="shared" si="19"/>
        <v>318.1874029178091</v>
      </c>
      <c r="K67">
        <f t="shared" si="20"/>
        <v>285.31334993147254</v>
      </c>
      <c r="L67" s="60">
        <f t="shared" ref="L67:L73" si="25">D67/J67</f>
        <v>1.0214106436009682</v>
      </c>
      <c r="M67">
        <f t="shared" si="11"/>
        <v>8.4775187566564796</v>
      </c>
      <c r="O67">
        <f t="shared" si="16"/>
        <v>5</v>
      </c>
      <c r="Q67">
        <f t="shared" si="12"/>
        <v>1.6955037513312958</v>
      </c>
      <c r="S67">
        <f t="shared" si="17"/>
        <v>551.03871918267112</v>
      </c>
      <c r="U67">
        <f t="shared" si="13"/>
        <v>-232.85131626486202</v>
      </c>
    </row>
    <row r="68" spans="3:21" x14ac:dyDescent="0.2">
      <c r="C68" s="16">
        <f t="shared" si="18"/>
        <v>195.51972000000001</v>
      </c>
      <c r="D68" s="22">
        <v>330</v>
      </c>
      <c r="E68" s="22">
        <f t="shared" ref="E68:E73" si="26">(2*$B$3)/(($B$2*D68^2)*$B$4)</f>
        <v>0.21509709519993381</v>
      </c>
      <c r="F68" s="22">
        <f t="shared" si="21"/>
        <v>5.3146830603714168E-2</v>
      </c>
      <c r="G68" s="22">
        <f t="shared" si="22"/>
        <v>326.83444351487378</v>
      </c>
      <c r="H68" s="22">
        <f t="shared" si="23"/>
        <v>307.48253452016098</v>
      </c>
      <c r="I68" s="22">
        <f t="shared" si="24"/>
        <v>19.351908994712794</v>
      </c>
      <c r="J68">
        <f t="shared" si="19"/>
        <v>326.83444351487378</v>
      </c>
      <c r="K68">
        <f t="shared" si="20"/>
        <v>285.31334993147254</v>
      </c>
      <c r="L68" s="60">
        <f t="shared" si="25"/>
        <v>1.0096855045358222</v>
      </c>
      <c r="M68">
        <f t="shared" si="11"/>
        <v>8.647040597064688</v>
      </c>
      <c r="O68">
        <f t="shared" si="16"/>
        <v>5</v>
      </c>
      <c r="Q68">
        <f t="shared" si="12"/>
        <v>1.7294081194129376</v>
      </c>
      <c r="S68">
        <f t="shared" si="17"/>
        <v>570.70467940626941</v>
      </c>
      <c r="U68">
        <f t="shared" si="13"/>
        <v>-243.87023589139562</v>
      </c>
    </row>
    <row r="69" spans="3:21" x14ac:dyDescent="0.2">
      <c r="C69" s="16">
        <f t="shared" si="18"/>
        <v>198.48214000000002</v>
      </c>
      <c r="D69" s="22">
        <v>335</v>
      </c>
      <c r="E69" s="22">
        <f t="shared" si="26"/>
        <v>0.20872420287166668</v>
      </c>
      <c r="F69" s="22">
        <f t="shared" si="21"/>
        <v>5.2963124480379875E-2</v>
      </c>
      <c r="G69" s="22">
        <f t="shared" si="22"/>
        <v>335.64932638998289</v>
      </c>
      <c r="H69" s="22">
        <f t="shared" si="23"/>
        <v>316.87077535835692</v>
      </c>
      <c r="I69" s="22">
        <f t="shared" si="24"/>
        <v>18.778551031625966</v>
      </c>
      <c r="J69">
        <f t="shared" si="19"/>
        <v>335.64932638998289</v>
      </c>
      <c r="K69">
        <f t="shared" si="20"/>
        <v>285.31334993147254</v>
      </c>
      <c r="L69" s="60">
        <f t="shared" si="25"/>
        <v>0.9980654619600563</v>
      </c>
      <c r="M69">
        <f t="shared" si="11"/>
        <v>8.814882875109106</v>
      </c>
      <c r="O69">
        <f t="shared" si="16"/>
        <v>5</v>
      </c>
      <c r="Q69">
        <f t="shared" si="12"/>
        <v>1.7629765750218211</v>
      </c>
      <c r="S69">
        <f t="shared" si="17"/>
        <v>590.5971526323101</v>
      </c>
      <c r="U69">
        <f t="shared" si="13"/>
        <v>-254.94782624232721</v>
      </c>
    </row>
    <row r="70" spans="3:21" x14ac:dyDescent="0.2">
      <c r="C70" s="16">
        <f t="shared" si="18"/>
        <v>201.44456</v>
      </c>
      <c r="D70" s="22">
        <v>340</v>
      </c>
      <c r="E70" s="22">
        <f t="shared" si="26"/>
        <v>0.20263039504561239</v>
      </c>
      <c r="F70" s="22">
        <f t="shared" si="21"/>
        <v>5.2792630368700168E-2</v>
      </c>
      <c r="G70" s="22">
        <f t="shared" si="22"/>
        <v>344.63049456300394</v>
      </c>
      <c r="H70" s="22">
        <f t="shared" si="23"/>
        <v>326.40019275051066</v>
      </c>
      <c r="I70" s="22">
        <f t="shared" si="24"/>
        <v>18.230301812493281</v>
      </c>
      <c r="J70">
        <f t="shared" si="19"/>
        <v>344.63049456300394</v>
      </c>
      <c r="K70">
        <f t="shared" si="20"/>
        <v>285.31334993147254</v>
      </c>
      <c r="L70" s="60">
        <f t="shared" si="25"/>
        <v>0.98656388614456347</v>
      </c>
      <c r="M70">
        <f t="shared" si="11"/>
        <v>8.9811681730210466</v>
      </c>
      <c r="O70">
        <f t="shared" si="16"/>
        <v>5</v>
      </c>
      <c r="Q70">
        <f t="shared" si="12"/>
        <v>1.7962336346042094</v>
      </c>
      <c r="S70">
        <f t="shared" si="17"/>
        <v>610.71943576543117</v>
      </c>
      <c r="U70">
        <f t="shared" si="13"/>
        <v>-266.08894120242724</v>
      </c>
    </row>
    <row r="71" spans="3:21" x14ac:dyDescent="0.2">
      <c r="C71" s="16">
        <f t="shared" si="18"/>
        <v>204.40698</v>
      </c>
      <c r="D71" s="22">
        <v>345</v>
      </c>
      <c r="E71" s="22">
        <f t="shared" si="26"/>
        <v>0.19679961073113039</v>
      </c>
      <c r="F71" s="22">
        <f t="shared" si="21"/>
        <v>5.2634224255572508E-2</v>
      </c>
      <c r="G71" s="22">
        <f t="shared" si="22"/>
        <v>353.77650305473372</v>
      </c>
      <c r="H71" s="22">
        <f t="shared" si="23"/>
        <v>336.07078669662224</v>
      </c>
      <c r="I71" s="22">
        <f t="shared" si="24"/>
        <v>17.70571635811152</v>
      </c>
      <c r="J71">
        <f t="shared" si="19"/>
        <v>353.77650305473378</v>
      </c>
      <c r="K71">
        <f t="shared" si="20"/>
        <v>285.31334993147254</v>
      </c>
      <c r="L71" s="60">
        <f t="shared" si="25"/>
        <v>0.97519195599777875</v>
      </c>
      <c r="M71">
        <f t="shared" si="11"/>
        <v>9.1460084917298445</v>
      </c>
      <c r="O71">
        <f t="shared" si="16"/>
        <v>5</v>
      </c>
      <c r="Q71">
        <f t="shared" si="12"/>
        <v>1.8292016983459689</v>
      </c>
      <c r="S71">
        <f t="shared" si="17"/>
        <v>631.07458592935927</v>
      </c>
      <c r="U71">
        <f t="shared" si="13"/>
        <v>-277.29808287462549</v>
      </c>
    </row>
    <row r="72" spans="3:21" x14ac:dyDescent="0.2">
      <c r="C72" s="16">
        <f t="shared" si="18"/>
        <v>207.36940000000001</v>
      </c>
      <c r="D72" s="22">
        <v>350</v>
      </c>
      <c r="E72" s="22">
        <f t="shared" si="26"/>
        <v>0.19121692789610442</v>
      </c>
      <c r="F72" s="22">
        <f t="shared" si="21"/>
        <v>5.2486892125872424E-2</v>
      </c>
      <c r="G72" s="22">
        <f t="shared" si="22"/>
        <v>363.08600935607308</v>
      </c>
      <c r="H72" s="22">
        <f t="shared" si="23"/>
        <v>345.88255719669166</v>
      </c>
      <c r="I72" s="22">
        <f t="shared" si="24"/>
        <v>17.203452159381417</v>
      </c>
      <c r="J72">
        <f t="shared" si="19"/>
        <v>363.08600935607308</v>
      </c>
      <c r="K72">
        <f t="shared" si="20"/>
        <v>285.31334993147254</v>
      </c>
      <c r="L72" s="60">
        <f t="shared" si="25"/>
        <v>0.9639589270341733</v>
      </c>
      <c r="M72">
        <f t="shared" si="11"/>
        <v>9.3095063013392974</v>
      </c>
      <c r="O72">
        <f t="shared" si="16"/>
        <v>5</v>
      </c>
      <c r="Q72">
        <f t="shared" si="12"/>
        <v>1.8619012602678595</v>
      </c>
      <c r="S72">
        <f t="shared" si="17"/>
        <v>651.66544109375081</v>
      </c>
      <c r="U72">
        <f t="shared" si="13"/>
        <v>-288.57943173767774</v>
      </c>
    </row>
    <row r="73" spans="3:21" ht="16" thickBot="1" x14ac:dyDescent="0.25">
      <c r="C73" s="18">
        <f t="shared" si="18"/>
        <v>210.33181999999999</v>
      </c>
      <c r="D73" s="23">
        <v>355</v>
      </c>
      <c r="E73" s="23">
        <f t="shared" si="26"/>
        <v>0.18586846790139092</v>
      </c>
      <c r="F73" s="23">
        <f t="shared" si="21"/>
        <v>5.2349717830244953E-2</v>
      </c>
      <c r="G73" s="23">
        <f t="shared" si="22"/>
        <v>372.55776483016126</v>
      </c>
      <c r="H73" s="23">
        <f t="shared" si="23"/>
        <v>355.83550425071894</v>
      </c>
      <c r="I73" s="23">
        <f t="shared" si="24"/>
        <v>16.722260579442359</v>
      </c>
      <c r="J73">
        <f t="shared" si="19"/>
        <v>372.55776483016132</v>
      </c>
      <c r="K73">
        <f t="shared" si="20"/>
        <v>285.31334993147254</v>
      </c>
      <c r="L73" s="60">
        <f t="shared" si="25"/>
        <v>0.95287236909915052</v>
      </c>
      <c r="M73">
        <f t="shared" si="11"/>
        <v>9.4717554740882406</v>
      </c>
      <c r="O73">
        <f t="shared" si="16"/>
        <v>5</v>
      </c>
      <c r="Q73">
        <f t="shared" si="12"/>
        <v>1.8943510948176481</v>
      </c>
      <c r="S73">
        <f t="shared" si="17"/>
        <v>672.49463866026508</v>
      </c>
      <c r="U73">
        <f t="shared" si="13"/>
        <v>-299.93687383010376</v>
      </c>
    </row>
  </sheetData>
  <mergeCells count="1">
    <mergeCell ref="A10:B10"/>
  </mergeCells>
  <conditionalFormatting sqref="D2:D73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{72AD68A3-4EE5-4C1C-B6BF-B5B620A00122}</x14:id>
        </ext>
      </extLst>
    </cfRule>
  </conditionalFormatting>
  <conditionalFormatting sqref="E24:E73">
    <cfRule type="dataBar" priority="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{767E90E3-766E-4EA8-A621-C00384580148}</x14:id>
        </ext>
      </extLst>
    </cfRule>
  </conditionalFormatting>
  <conditionalFormatting sqref="F24:F73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{028197B5-4377-4DF9-B980-BC7883D68D56}</x14:id>
        </ext>
      </extLst>
    </cfRule>
  </conditionalFormatting>
  <conditionalFormatting sqref="G24:G73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{1F279613-C749-4CE8-B60E-5E90E6A48DBF}</x14:id>
        </ext>
      </extLst>
    </cfRule>
  </conditionalFormatting>
  <conditionalFormatting sqref="H24:H73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{BF70BEE0-A197-4E94-BB01-221489428009}</x14:id>
        </ext>
      </extLst>
    </cfRule>
  </conditionalFormatting>
  <conditionalFormatting sqref="L3:L73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{23A51810-1908-42C3-B392-DB3DC23EF8AA}</x14:id>
        </ext>
      </extLst>
    </cfRule>
  </conditionalFormatting>
  <pageMargins left="0.7" right="0.7" top="0.75" bottom="0.75" header="0.3" footer="0.3"/>
  <pageSetup orientation="portrait" horizontalDpi="300" verticalDpi="30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2AD68A3-4EE5-4C1C-B6BF-B5B620A0012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D2:D73</xm:sqref>
        </x14:conditionalFormatting>
        <x14:conditionalFormatting xmlns:xm="http://schemas.microsoft.com/office/excel/2006/main">
          <x14:cfRule type="dataBar" id="{767E90E3-766E-4EA8-A621-C0038458014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E24:E73</xm:sqref>
        </x14:conditionalFormatting>
        <x14:conditionalFormatting xmlns:xm="http://schemas.microsoft.com/office/excel/2006/main">
          <x14:cfRule type="dataBar" id="{028197B5-4377-4DF9-B980-BC7883D68D5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F24:F73</xm:sqref>
        </x14:conditionalFormatting>
        <x14:conditionalFormatting xmlns:xm="http://schemas.microsoft.com/office/excel/2006/main">
          <x14:cfRule type="dataBar" id="{1F279613-C749-4CE8-B60E-5E90E6A48DB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G24:G73</xm:sqref>
        </x14:conditionalFormatting>
        <x14:conditionalFormatting xmlns:xm="http://schemas.microsoft.com/office/excel/2006/main">
          <x14:cfRule type="dataBar" id="{BF70BEE0-A197-4E94-BB01-22148942800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H24:H73</xm:sqref>
        </x14:conditionalFormatting>
        <x14:conditionalFormatting xmlns:xm="http://schemas.microsoft.com/office/excel/2006/main">
          <x14:cfRule type="dataBar" id="{23A51810-1908-42C3-B392-DB3DC23EF8A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L3:L73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55B45-8219-42B3-A1B0-D1281C6D2D4A}">
  <dimension ref="A1:R73"/>
  <sheetViews>
    <sheetView workbookViewId="0">
      <selection activeCell="G36" sqref="G36"/>
    </sheetView>
  </sheetViews>
  <sheetFormatPr baseColWidth="10" defaultColWidth="8.83203125" defaultRowHeight="15" x14ac:dyDescent="0.2"/>
  <cols>
    <col min="1" max="10" width="16.1640625" customWidth="1"/>
  </cols>
  <sheetData>
    <row r="1" spans="1:18" ht="16" thickBot="1" x14ac:dyDescent="0.25">
      <c r="A1" s="53" t="s">
        <v>137</v>
      </c>
      <c r="B1" s="53" t="s">
        <v>139</v>
      </c>
      <c r="C1" s="54" t="s">
        <v>140</v>
      </c>
      <c r="D1" s="54" t="s">
        <v>141</v>
      </c>
      <c r="E1" s="54" t="s">
        <v>142</v>
      </c>
      <c r="F1" s="54" t="s">
        <v>143</v>
      </c>
      <c r="G1" s="55" t="s">
        <v>145</v>
      </c>
      <c r="H1" s="47" t="s">
        <v>148</v>
      </c>
      <c r="K1" s="47" t="s">
        <v>146</v>
      </c>
      <c r="L1" s="47"/>
      <c r="R1" t="s">
        <v>147</v>
      </c>
    </row>
    <row r="2" spans="1:18" x14ac:dyDescent="0.2">
      <c r="A2" s="60">
        <v>0</v>
      </c>
      <c r="B2" s="60">
        <v>0.05</v>
      </c>
      <c r="C2" s="60">
        <v>0</v>
      </c>
      <c r="D2" s="60">
        <v>0</v>
      </c>
      <c r="E2" s="60">
        <v>0</v>
      </c>
      <c r="F2" s="60">
        <v>0</v>
      </c>
      <c r="G2" s="61">
        <v>285.31334993147254</v>
      </c>
      <c r="H2" s="60"/>
      <c r="M2">
        <v>0</v>
      </c>
    </row>
    <row r="3" spans="1:18" x14ac:dyDescent="0.2">
      <c r="A3" s="60">
        <v>936.96294669091174</v>
      </c>
      <c r="B3" s="60">
        <v>59710.329942196913</v>
      </c>
      <c r="C3" s="60">
        <v>84296.986169245924</v>
      </c>
      <c r="D3" s="60">
        <v>7.0588276978916661E-2</v>
      </c>
      <c r="E3" s="60">
        <v>84296.91558096894</v>
      </c>
      <c r="F3" s="60">
        <v>84296.986169245924</v>
      </c>
      <c r="G3" s="61">
        <v>285.31334993147254</v>
      </c>
      <c r="H3" s="60">
        <v>5.9314101573706682E-5</v>
      </c>
    </row>
    <row r="4" spans="1:18" x14ac:dyDescent="0.2">
      <c r="A4" s="60">
        <v>234.24073667272793</v>
      </c>
      <c r="B4" s="60">
        <v>3731.9424963873071</v>
      </c>
      <c r="C4" s="60">
        <v>21074.511248350151</v>
      </c>
      <c r="D4" s="60">
        <v>0.28235310791566665</v>
      </c>
      <c r="E4" s="60">
        <v>21074.228895242235</v>
      </c>
      <c r="F4" s="60">
        <v>21074.511248350151</v>
      </c>
      <c r="G4" s="61">
        <v>285.31334993147254</v>
      </c>
      <c r="H4" s="60">
        <v>4.7450685247957361E-4</v>
      </c>
    </row>
    <row r="5" spans="1:18" x14ac:dyDescent="0.2">
      <c r="A5" s="60">
        <v>104.10699407676796</v>
      </c>
      <c r="B5" s="60">
        <v>737.21394990366537</v>
      </c>
      <c r="C5" s="60">
        <v>9366.9592479338025</v>
      </c>
      <c r="D5" s="60">
        <v>0.63529449281024997</v>
      </c>
      <c r="E5" s="60">
        <v>9366.3239534409931</v>
      </c>
      <c r="F5" s="60">
        <v>9366.9592479338025</v>
      </c>
      <c r="G5" s="61">
        <v>285.31334993147254</v>
      </c>
      <c r="H5" s="60">
        <v>1.6013734663475508E-3</v>
      </c>
    </row>
    <row r="6" spans="1:18" x14ac:dyDescent="0.2">
      <c r="A6" s="60">
        <v>58.560184168181983</v>
      </c>
      <c r="B6" s="60">
        <v>233.29328102420669</v>
      </c>
      <c r="C6" s="60">
        <v>5269.6866362422215</v>
      </c>
      <c r="D6" s="60">
        <v>1.1294124316626666</v>
      </c>
      <c r="E6" s="60">
        <v>5268.5572238105588</v>
      </c>
      <c r="F6" s="60">
        <v>5269.6866362422215</v>
      </c>
      <c r="G6" s="61">
        <v>285.31334993147254</v>
      </c>
      <c r="H6" s="60">
        <v>3.7952920886130466E-3</v>
      </c>
    </row>
    <row r="7" spans="1:18" x14ac:dyDescent="0.2">
      <c r="A7" s="60">
        <v>37.478517867636469</v>
      </c>
      <c r="B7" s="60">
        <v>95.586447907515037</v>
      </c>
      <c r="C7" s="60">
        <v>3373.6413301632297</v>
      </c>
      <c r="D7" s="60">
        <v>1.7647069244729163</v>
      </c>
      <c r="E7" s="60">
        <v>3371.8766232387575</v>
      </c>
      <c r="F7" s="60">
        <v>3373.6413301632306</v>
      </c>
      <c r="G7" s="61">
        <v>285.31334993147254</v>
      </c>
      <c r="H7" s="60">
        <v>7.410390599758984E-3</v>
      </c>
    </row>
    <row r="8" spans="1:18" x14ac:dyDescent="0.2">
      <c r="A8" s="60">
        <v>26.02674851919199</v>
      </c>
      <c r="B8" s="60">
        <v>46.122746868979085</v>
      </c>
      <c r="C8" s="60">
        <v>2344.1221663314891</v>
      </c>
      <c r="D8" s="60">
        <v>2.5411779712409999</v>
      </c>
      <c r="E8" s="60">
        <v>2341.5809883602483</v>
      </c>
      <c r="F8" s="60">
        <v>2344.1221663314891</v>
      </c>
      <c r="G8" s="61">
        <v>285.31334993147254</v>
      </c>
      <c r="H8" s="60">
        <v>1.2797967798303569E-2</v>
      </c>
    </row>
    <row r="9" spans="1:18" x14ac:dyDescent="0.2">
      <c r="A9" s="60">
        <v>19.121692789610442</v>
      </c>
      <c r="B9" s="60">
        <v>24.918921258724243</v>
      </c>
      <c r="C9" s="60">
        <v>1723.8040415101086</v>
      </c>
      <c r="D9" s="60">
        <v>3.4588255719669165</v>
      </c>
      <c r="E9" s="60">
        <v>1720.3452159381416</v>
      </c>
      <c r="F9" s="60">
        <v>1723.8040415101084</v>
      </c>
      <c r="G9" s="61">
        <v>285.31334993147254</v>
      </c>
      <c r="H9" s="60">
        <v>2.0303931976710567E-2</v>
      </c>
    </row>
    <row r="10" spans="1:18" x14ac:dyDescent="0.2">
      <c r="A10" s="60">
        <v>14.640046042045496</v>
      </c>
      <c r="B10" s="60">
        <v>14.627705064012918</v>
      </c>
      <c r="C10" s="60">
        <v>1321.6569556792904</v>
      </c>
      <c r="D10" s="60">
        <v>4.5176497266506663</v>
      </c>
      <c r="E10" s="60">
        <v>1317.1393059526397</v>
      </c>
      <c r="F10" s="60">
        <v>1321.6569556792904</v>
      </c>
      <c r="G10" s="61">
        <v>285.31334993147254</v>
      </c>
      <c r="H10" s="60">
        <v>3.0265039523392247E-2</v>
      </c>
      <c r="J10">
        <v>1.2208609658449023</v>
      </c>
    </row>
    <row r="11" spans="1:18" x14ac:dyDescent="0.2">
      <c r="A11" s="60">
        <v>11.567443786307551</v>
      </c>
      <c r="B11" s="60">
        <v>9.1507895049835248</v>
      </c>
      <c r="C11" s="60">
        <v>1046.4203119287358</v>
      </c>
      <c r="D11" s="60">
        <v>5.7176504352922493</v>
      </c>
      <c r="E11" s="60">
        <v>1040.7026614934437</v>
      </c>
      <c r="F11" s="60">
        <v>1046.4203119287358</v>
      </c>
      <c r="G11" s="61">
        <v>285.31334993147254</v>
      </c>
      <c r="H11" s="60">
        <v>4.3003752399508682E-2</v>
      </c>
    </row>
    <row r="12" spans="1:18" x14ac:dyDescent="0.2">
      <c r="A12" s="60">
        <v>9.3696294669091174</v>
      </c>
      <c r="B12" s="60">
        <v>6.0210279942196898</v>
      </c>
      <c r="C12" s="60">
        <v>850.02798350758087</v>
      </c>
      <c r="D12" s="60">
        <v>7.0588276978916653</v>
      </c>
      <c r="E12" s="60">
        <v>842.96915580968937</v>
      </c>
      <c r="F12" s="60">
        <v>850.02798350758098</v>
      </c>
      <c r="G12" s="61">
        <v>285.31334993147254</v>
      </c>
      <c r="H12" s="60">
        <v>5.882159290059899E-2</v>
      </c>
    </row>
    <row r="13" spans="1:18" x14ac:dyDescent="0.2">
      <c r="A13" s="60">
        <v>7.7434954271976171</v>
      </c>
      <c r="B13" s="60">
        <v>4.1282924624135573</v>
      </c>
      <c r="C13" s="60">
        <v>705.2099053241094</v>
      </c>
      <c r="D13" s="60">
        <v>8.5411815144489154</v>
      </c>
      <c r="E13" s="60">
        <v>696.66872380966061</v>
      </c>
      <c r="F13" s="60">
        <v>705.20990532410951</v>
      </c>
      <c r="G13" s="61">
        <v>285.31334993147254</v>
      </c>
      <c r="H13" s="60">
        <v>7.799096351989325E-2</v>
      </c>
    </row>
    <row r="14" spans="1:18" x14ac:dyDescent="0.2">
      <c r="A14" s="60">
        <v>6.5066871297979976</v>
      </c>
      <c r="B14" s="60">
        <v>2.9295466793111928</v>
      </c>
      <c r="C14" s="60">
        <v>595.55995897502601</v>
      </c>
      <c r="D14" s="60">
        <v>10.164711884963999</v>
      </c>
      <c r="E14" s="60">
        <v>585.39524709006207</v>
      </c>
      <c r="F14" s="60">
        <v>595.55995897502612</v>
      </c>
      <c r="G14" s="61">
        <v>285.31334993147254</v>
      </c>
      <c r="H14" s="60">
        <v>0.10074552376432681</v>
      </c>
    </row>
    <row r="15" spans="1:18" x14ac:dyDescent="0.2">
      <c r="A15" s="60">
        <v>5.5441594478752174</v>
      </c>
      <c r="B15" s="60">
        <v>2.1406228753263861</v>
      </c>
      <c r="C15" s="60">
        <v>510.72773585659041</v>
      </c>
      <c r="D15" s="60">
        <v>11.929418809436916</v>
      </c>
      <c r="E15" s="60">
        <v>498.79831704715349</v>
      </c>
      <c r="F15" s="60">
        <v>510.72773585659041</v>
      </c>
      <c r="G15" s="61">
        <v>285.31334993147254</v>
      </c>
      <c r="H15" s="60">
        <v>0.12726937551371137</v>
      </c>
    </row>
    <row r="16" spans="1:18" x14ac:dyDescent="0.2">
      <c r="A16" s="60">
        <v>4.7804231974026106</v>
      </c>
      <c r="B16" s="60">
        <v>1.6043075786702652</v>
      </c>
      <c r="C16" s="60">
        <v>443.9216062724031</v>
      </c>
      <c r="D16" s="60">
        <v>13.835302287867666</v>
      </c>
      <c r="E16" s="60">
        <v>430.08630398453539</v>
      </c>
      <c r="F16" s="60">
        <v>443.92160627240304</v>
      </c>
      <c r="G16" s="61">
        <v>285.31334993147254</v>
      </c>
      <c r="H16" s="60">
        <v>0.15768549899561768</v>
      </c>
    </row>
    <row r="17" spans="1:17" x14ac:dyDescent="0.2">
      <c r="A17" s="60">
        <v>4.1642797630707182</v>
      </c>
      <c r="B17" s="60">
        <v>1.2294623198458645</v>
      </c>
      <c r="C17" s="60">
        <v>390.53532045789592</v>
      </c>
      <c r="D17" s="60">
        <v>15.882362320256249</v>
      </c>
      <c r="E17" s="60">
        <v>374.65295813763964</v>
      </c>
      <c r="F17" s="60">
        <v>390.53532045789586</v>
      </c>
      <c r="G17" s="61">
        <v>285.31334993147254</v>
      </c>
      <c r="H17" s="60">
        <v>0.1920440894105655</v>
      </c>
    </row>
    <row r="18" spans="1:17" x14ac:dyDescent="0.2">
      <c r="A18" s="60">
        <v>3.660011510511374</v>
      </c>
      <c r="B18" s="60">
        <v>0.96110656650080739</v>
      </c>
      <c r="C18" s="60">
        <v>347.35542539476262</v>
      </c>
      <c r="D18" s="60">
        <v>18.070598906602665</v>
      </c>
      <c r="E18" s="60">
        <v>329.28482648815992</v>
      </c>
      <c r="F18" s="60">
        <v>347.35542539476256</v>
      </c>
      <c r="G18" s="61">
        <v>285.31334993147254</v>
      </c>
      <c r="H18" s="60">
        <v>0.23031164666301551</v>
      </c>
    </row>
    <row r="19" spans="1:17" x14ac:dyDescent="0.2">
      <c r="A19" s="60">
        <v>3.2420863207297983</v>
      </c>
      <c r="B19" s="60">
        <v>0.76491337438724283</v>
      </c>
      <c r="C19" s="60">
        <v>312.08484104679945</v>
      </c>
      <c r="D19" s="60">
        <v>20.400012046906916</v>
      </c>
      <c r="E19" s="60">
        <v>291.68482899989249</v>
      </c>
      <c r="F19" s="60">
        <v>312.0848410467994</v>
      </c>
      <c r="G19" s="61">
        <v>285.31334993147254</v>
      </c>
      <c r="H19" s="60">
        <v>0.2723618350538648</v>
      </c>
    </row>
    <row r="20" spans="1:17" x14ac:dyDescent="0.2">
      <c r="A20" s="60">
        <v>2.8918609465768879</v>
      </c>
      <c r="B20" s="60">
        <v>0.6187993440614703</v>
      </c>
      <c r="C20" s="60">
        <v>283.04626711452994</v>
      </c>
      <c r="D20" s="60">
        <v>22.870601741168997</v>
      </c>
      <c r="E20" s="60">
        <v>260.17566537336091</v>
      </c>
      <c r="F20" s="60">
        <v>283.04626711452988</v>
      </c>
      <c r="G20" s="61">
        <v>285.31334993147254</v>
      </c>
      <c r="H20" s="60">
        <v>0.31796921725020671</v>
      </c>
    </row>
    <row r="21" spans="1:17" x14ac:dyDescent="0.2">
      <c r="A21" s="60">
        <v>2.5954652262906142</v>
      </c>
      <c r="B21" s="60">
        <v>0.50817849726595798</v>
      </c>
      <c r="C21" s="60">
        <v>258.99182943251617</v>
      </c>
      <c r="D21" s="60">
        <v>25.482367989388912</v>
      </c>
      <c r="E21" s="60">
        <v>233.50946144312721</v>
      </c>
      <c r="F21" s="60">
        <v>258.99182943251611</v>
      </c>
      <c r="G21" s="61">
        <v>285.31334993147254</v>
      </c>
      <c r="H21" s="60">
        <v>0.36680693830441302</v>
      </c>
    </row>
    <row r="22" spans="1:17" x14ac:dyDescent="0.2">
      <c r="A22" s="60">
        <v>2.3424073667272793</v>
      </c>
      <c r="B22" s="60">
        <v>0.42318924963873061</v>
      </c>
      <c r="C22" s="60">
        <v>238.97759974398897</v>
      </c>
      <c r="D22" s="60">
        <v>28.235310791566661</v>
      </c>
      <c r="E22" s="60">
        <v>210.74228895242234</v>
      </c>
      <c r="F22" s="60">
        <v>238.977599743989</v>
      </c>
      <c r="G22" s="61">
        <v>285.31334993147254</v>
      </c>
      <c r="H22" s="60">
        <v>0.4184492609647415</v>
      </c>
    </row>
    <row r="23" spans="1:17" x14ac:dyDescent="0.2">
      <c r="A23" s="60">
        <v>2.1246325321789379</v>
      </c>
      <c r="B23" s="60">
        <v>0.35702371924350906</v>
      </c>
      <c r="C23" s="60">
        <v>222.27889858527348</v>
      </c>
      <c r="D23" s="60">
        <v>31.129430147702251</v>
      </c>
      <c r="E23" s="60">
        <v>191.14946843757127</v>
      </c>
      <c r="F23" s="60">
        <v>222.27889858527351</v>
      </c>
      <c r="G23" s="61">
        <v>285.31334993147254</v>
      </c>
      <c r="H23" s="60">
        <v>0.4723795226100535</v>
      </c>
    </row>
    <row r="24" spans="1:17" x14ac:dyDescent="0.2">
      <c r="A24" s="22">
        <v>1.9358738567994043</v>
      </c>
      <c r="B24" s="22">
        <v>0.30489327890084733</v>
      </c>
      <c r="C24" s="22">
        <v>208.33190701021078</v>
      </c>
      <c r="D24" s="22">
        <v>34.164726057795662</v>
      </c>
      <c r="E24" s="22">
        <v>174.16718095241515</v>
      </c>
      <c r="F24">
        <v>208.33190701021081</v>
      </c>
      <c r="G24">
        <v>285.31334993147254</v>
      </c>
      <c r="H24" s="60">
        <v>0.52800361489807057</v>
      </c>
      <c r="I24">
        <v>-13.946991575062697</v>
      </c>
      <c r="K24">
        <v>5</v>
      </c>
      <c r="M24">
        <v>-2.7893983150125394</v>
      </c>
      <c r="O24">
        <v>-306.83381465137933</v>
      </c>
      <c r="Q24">
        <v>515.16572166159017</v>
      </c>
    </row>
    <row r="25" spans="1:17" x14ac:dyDescent="0.2">
      <c r="A25" s="22">
        <v>1.7711964965801734</v>
      </c>
      <c r="B25" s="22">
        <v>0.26337216470137292</v>
      </c>
      <c r="C25" s="22">
        <v>196.69264574485055</v>
      </c>
      <c r="D25" s="22">
        <v>37.341198521846913</v>
      </c>
      <c r="E25" s="22">
        <v>159.35144722300367</v>
      </c>
      <c r="F25">
        <v>196.69264574485058</v>
      </c>
      <c r="G25">
        <v>285.31334993147254</v>
      </c>
      <c r="H25" s="60">
        <v>0.58466852974857964</v>
      </c>
      <c r="I25">
        <v>-11.639261265360233</v>
      </c>
      <c r="K25">
        <v>5</v>
      </c>
      <c r="M25">
        <v>-2.3278522530720465</v>
      </c>
      <c r="O25">
        <v>-267.70300910328535</v>
      </c>
      <c r="Q25">
        <v>464.39565484813591</v>
      </c>
    </row>
    <row r="26" spans="1:17" x14ac:dyDescent="0.2">
      <c r="A26" s="22">
        <v>1.6266717824494994</v>
      </c>
      <c r="B26" s="22">
        <v>0.22997166745694958</v>
      </c>
      <c r="C26" s="22">
        <v>187.00765931237152</v>
      </c>
      <c r="D26" s="22">
        <v>40.658847539855998</v>
      </c>
      <c r="E26" s="22">
        <v>146.34881177251552</v>
      </c>
      <c r="F26">
        <v>187.00765931237152</v>
      </c>
      <c r="G26">
        <v>285.31334993147254</v>
      </c>
      <c r="H26" s="60">
        <v>0.64168494724355596</v>
      </c>
      <c r="I26">
        <v>-9.6849864324790644</v>
      </c>
      <c r="K26">
        <v>5</v>
      </c>
      <c r="M26">
        <v>-1.9369972864958129</v>
      </c>
      <c r="O26">
        <v>-232.43967437949755</v>
      </c>
      <c r="Q26">
        <v>419.44733369186906</v>
      </c>
    </row>
    <row r="27" spans="1:17" x14ac:dyDescent="0.2">
      <c r="A27" s="22">
        <v>1.4991407147054585</v>
      </c>
      <c r="B27" s="22">
        <v>0.20285831665202403</v>
      </c>
      <c r="C27" s="22">
        <v>178.99273804137317</v>
      </c>
      <c r="D27" s="22">
        <v>44.117673111822917</v>
      </c>
      <c r="E27" s="22">
        <v>134.87506492955026</v>
      </c>
      <c r="F27">
        <v>178.99273804137317</v>
      </c>
      <c r="G27">
        <v>285.31334993147254</v>
      </c>
      <c r="H27" s="60">
        <v>0.69835235422292352</v>
      </c>
      <c r="I27">
        <v>-8.0149212709983431</v>
      </c>
      <c r="K27">
        <v>5</v>
      </c>
      <c r="M27">
        <v>-1.6029842541996686</v>
      </c>
      <c r="O27">
        <v>-200.37303177495858</v>
      </c>
      <c r="Q27">
        <v>379.36576981633175</v>
      </c>
    </row>
    <row r="28" spans="1:17" x14ac:dyDescent="0.2">
      <c r="A28" s="22">
        <v>1.3860398619688044</v>
      </c>
      <c r="B28" s="22">
        <v>0.18066392970789913</v>
      </c>
      <c r="C28" s="22">
        <v>172.41725449953603</v>
      </c>
      <c r="D28" s="22">
        <v>47.717675237747663</v>
      </c>
      <c r="E28" s="22">
        <v>124.69957926178837</v>
      </c>
      <c r="F28">
        <v>172.41725449953603</v>
      </c>
      <c r="G28">
        <v>285.31334993147254</v>
      </c>
      <c r="H28" s="60">
        <v>0.75398486292652245</v>
      </c>
      <c r="I28">
        <v>-6.5754835418371442</v>
      </c>
      <c r="K28">
        <v>5</v>
      </c>
      <c r="M28">
        <v>-1.3150967083674288</v>
      </c>
      <c r="O28">
        <v>-170.96257208776575</v>
      </c>
      <c r="Q28">
        <v>343.37982658730175</v>
      </c>
    </row>
    <row r="29" spans="1:17" x14ac:dyDescent="0.2">
      <c r="A29" s="22">
        <v>1.2852715318119501</v>
      </c>
      <c r="B29" s="22">
        <v>0.1623554259874509</v>
      </c>
      <c r="C29" s="22">
        <v>167.0924829724573</v>
      </c>
      <c r="D29" s="22">
        <v>51.45885391763025</v>
      </c>
      <c r="E29" s="22">
        <v>115.63362905482704</v>
      </c>
      <c r="F29">
        <v>167.09248297245728</v>
      </c>
      <c r="G29">
        <v>285.31334993147254</v>
      </c>
      <c r="H29" s="60">
        <v>0.80793580655721509</v>
      </c>
      <c r="I29">
        <v>-5.3247715270787523</v>
      </c>
      <c r="K29">
        <v>5</v>
      </c>
      <c r="M29">
        <v>-1.0649543054157504</v>
      </c>
      <c r="O29">
        <v>-143.76883123112631</v>
      </c>
      <c r="Q29">
        <v>310.86131420358356</v>
      </c>
    </row>
    <row r="30" spans="1:17" x14ac:dyDescent="0.2">
      <c r="A30" s="22">
        <v>1.1951057993506526</v>
      </c>
      <c r="B30" s="22">
        <v>0.14714422366689156</v>
      </c>
      <c r="C30" s="22">
        <v>162.86278514760451</v>
      </c>
      <c r="D30" s="22">
        <v>55.341209151470665</v>
      </c>
      <c r="E30" s="22">
        <v>107.52157599613385</v>
      </c>
      <c r="F30">
        <v>162.86278514760451</v>
      </c>
      <c r="G30">
        <v>285.31334993147254</v>
      </c>
      <c r="H30" s="60">
        <v>0.8596193407420627</v>
      </c>
      <c r="I30">
        <v>-4.2296978248527637</v>
      </c>
      <c r="K30">
        <v>5</v>
      </c>
      <c r="M30">
        <v>-0.84593956497055278</v>
      </c>
      <c r="O30">
        <v>-118.43153909587738</v>
      </c>
      <c r="Q30">
        <v>281.29432424348192</v>
      </c>
    </row>
    <row r="31" spans="1:17" x14ac:dyDescent="0.2">
      <c r="A31" s="22">
        <v>1.1141057630094073</v>
      </c>
      <c r="B31" s="22">
        <v>0.13442228752390761</v>
      </c>
      <c r="C31" s="22">
        <v>159.59888550641392</v>
      </c>
      <c r="D31" s="22">
        <v>59.36474093926892</v>
      </c>
      <c r="E31" s="22">
        <v>100.23414456714497</v>
      </c>
      <c r="F31">
        <v>159.59888550641389</v>
      </c>
      <c r="G31">
        <v>285.31334993147254</v>
      </c>
      <c r="H31" s="60">
        <v>0.90852764754533832</v>
      </c>
      <c r="I31">
        <v>-3.2638996411906191</v>
      </c>
      <c r="K31">
        <v>5</v>
      </c>
      <c r="M31">
        <v>-0.65277992823812381</v>
      </c>
      <c r="O31">
        <v>-94.653089594527955</v>
      </c>
      <c r="Q31">
        <v>254.25197510094185</v>
      </c>
    </row>
    <row r="32" spans="1:17" x14ac:dyDescent="0.2">
      <c r="A32" s="22">
        <v>1.0410699407676796</v>
      </c>
      <c r="B32" s="22">
        <v>0.12371639499036653</v>
      </c>
      <c r="C32" s="22">
        <v>157.19268881543491</v>
      </c>
      <c r="D32" s="22">
        <v>63.529449281024995</v>
      </c>
      <c r="E32" s="22">
        <v>93.663239534409911</v>
      </c>
      <c r="F32">
        <v>157.19268881543491</v>
      </c>
      <c r="G32">
        <v>285.31334993147254</v>
      </c>
      <c r="H32" s="60">
        <v>0.95424285397980513</v>
      </c>
      <c r="I32">
        <v>-2.4061966909789874</v>
      </c>
      <c r="K32">
        <v>5</v>
      </c>
      <c r="M32">
        <v>-0.48123933819579745</v>
      </c>
      <c r="O32">
        <v>-72.185900729369621</v>
      </c>
      <c r="Q32">
        <v>229.37858954480453</v>
      </c>
    </row>
    <row r="33" spans="1:17" x14ac:dyDescent="0.2">
      <c r="A33" s="22">
        <v>0.97498745753476757</v>
      </c>
      <c r="B33" s="22">
        <v>0.11465503214566522</v>
      </c>
      <c r="C33" s="22">
        <v>155.55324841291886</v>
      </c>
      <c r="D33" s="22">
        <v>67.835334176738911</v>
      </c>
      <c r="E33" s="22">
        <v>87.717914236179951</v>
      </c>
      <c r="F33">
        <v>155.55324841291886</v>
      </c>
      <c r="G33">
        <v>285.31334993147254</v>
      </c>
      <c r="H33" s="60">
        <v>0.99644335030889064</v>
      </c>
      <c r="I33">
        <v>-1.6394404025160441</v>
      </c>
      <c r="K33">
        <v>5</v>
      </c>
      <c r="M33">
        <v>-0.32788808050320883</v>
      </c>
      <c r="O33">
        <v>-50.822652477997366</v>
      </c>
      <c r="Q33">
        <v>206.37590089091623</v>
      </c>
    </row>
    <row r="34" spans="1:17" x14ac:dyDescent="0.2">
      <c r="A34" s="22">
        <v>0.91500287762784349</v>
      </c>
      <c r="B34" s="22">
        <v>0.10694416040630046</v>
      </c>
      <c r="C34" s="22">
        <v>154.60360224845064</v>
      </c>
      <c r="D34" s="22">
        <v>72.282395626410661</v>
      </c>
      <c r="E34" s="22">
        <v>82.321206622039981</v>
      </c>
      <c r="F34">
        <v>154.60360224845064</v>
      </c>
      <c r="G34">
        <v>285.31334993147254</v>
      </c>
      <c r="H34" s="60">
        <v>1.0349047349031186</v>
      </c>
      <c r="I34">
        <v>-0.94964616446821992</v>
      </c>
      <c r="K34">
        <v>5</v>
      </c>
      <c r="M34">
        <v>-0.189929232893644</v>
      </c>
      <c r="O34">
        <v>-30.388677262983038</v>
      </c>
      <c r="Q34">
        <v>184.99227951143368</v>
      </c>
    </row>
    <row r="35" spans="1:17" x14ac:dyDescent="0.2">
      <c r="A35" s="22">
        <v>0.86038838079973523</v>
      </c>
      <c r="B35" s="22">
        <v>0.10034928965942663</v>
      </c>
      <c r="C35" s="22">
        <v>154.27826960889141</v>
      </c>
      <c r="D35" s="22">
        <v>76.870633630040246</v>
      </c>
      <c r="E35" s="22">
        <v>77.407635978851175</v>
      </c>
      <c r="F35">
        <v>154.27826960889143</v>
      </c>
      <c r="G35">
        <v>285.31334993147254</v>
      </c>
      <c r="H35" s="60">
        <v>1.0694960503400062</v>
      </c>
      <c r="I35">
        <v>-0.32533263955920688</v>
      </c>
      <c r="K35">
        <v>5</v>
      </c>
      <c r="M35">
        <v>-6.5066527911841379E-2</v>
      </c>
      <c r="O35">
        <v>-10.735977105453827</v>
      </c>
      <c r="Q35">
        <v>165.01424671434526</v>
      </c>
    </row>
    <row r="36" spans="1:17" x14ac:dyDescent="0.2">
      <c r="A36" s="22">
        <v>0.81052158018244957</v>
      </c>
      <c r="B36" s="22">
        <v>9.4682085899202684E-2</v>
      </c>
      <c r="C36" s="22">
        <v>154.52125543760081</v>
      </c>
      <c r="D36" s="22">
        <v>81.600048187627664</v>
      </c>
      <c r="E36" s="22">
        <v>72.921207249973122</v>
      </c>
      <c r="F36">
        <v>154.52125543760079</v>
      </c>
      <c r="G36">
        <v>285.31334993147254</v>
      </c>
      <c r="H36" s="60">
        <v>1.1001722676829395</v>
      </c>
      <c r="I36">
        <v>0.24298582870935093</v>
      </c>
      <c r="K36">
        <v>5</v>
      </c>
      <c r="M36">
        <v>4.8597165741870188E-2</v>
      </c>
      <c r="O36">
        <v>8.2615181761179315</v>
      </c>
      <c r="Q36">
        <v>146.25973726148285</v>
      </c>
    </row>
    <row r="37" spans="1:17" x14ac:dyDescent="0.2">
      <c r="A37" s="22">
        <v>0.76486771158441769</v>
      </c>
      <c r="B37" s="22">
        <v>8.9790274013958782E-2</v>
      </c>
      <c r="C37" s="22">
        <v>155.28444793669857</v>
      </c>
      <c r="D37" s="22">
        <v>86.470639299172916</v>
      </c>
      <c r="E37" s="22">
        <v>68.813808637525668</v>
      </c>
      <c r="F37">
        <v>155.2844479366986</v>
      </c>
      <c r="G37">
        <v>285.31334993147254</v>
      </c>
      <c r="H37" s="60">
        <v>1.1269641121520322</v>
      </c>
      <c r="I37">
        <v>0.76319249909781206</v>
      </c>
      <c r="K37">
        <v>5</v>
      </c>
      <c r="M37">
        <v>0.1526384998195624</v>
      </c>
      <c r="O37">
        <v>26.711737468423419</v>
      </c>
      <c r="Q37">
        <v>128.57271046827518</v>
      </c>
    </row>
    <row r="38" spans="1:17" x14ac:dyDescent="0.2">
      <c r="A38" s="64">
        <v>0.72296523664422196</v>
      </c>
      <c r="B38" s="64">
        <v>8.5549959003841894E-2</v>
      </c>
      <c r="C38" s="64">
        <v>156.52632330801623</v>
      </c>
      <c r="D38" s="64">
        <v>91.482406964675988</v>
      </c>
      <c r="E38" s="64">
        <v>65.043916343340229</v>
      </c>
      <c r="F38" s="64">
        <v>156.52632330801623</v>
      </c>
      <c r="G38" s="64">
        <v>285.31334993147254</v>
      </c>
      <c r="H38" s="66">
        <v>1.1499663200150156</v>
      </c>
      <c r="I38">
        <v>1.2418753713176329</v>
      </c>
      <c r="K38">
        <v>5</v>
      </c>
      <c r="M38">
        <v>0.24837507426352659</v>
      </c>
      <c r="O38">
        <v>44.707513367434785</v>
      </c>
      <c r="Q38">
        <v>111.81880994058145</v>
      </c>
    </row>
    <row r="39" spans="1:17" x14ac:dyDescent="0.2">
      <c r="A39" s="22">
        <v>0.68441413198751766</v>
      </c>
      <c r="B39" s="22">
        <v>8.1859738806963178E-2</v>
      </c>
      <c r="C39" s="22">
        <v>158.21089214905214</v>
      </c>
      <c r="D39" s="22">
        <v>96.635351184136908</v>
      </c>
      <c r="E39" s="22">
        <v>61.575540964915213</v>
      </c>
      <c r="F39">
        <v>158.21089214905211</v>
      </c>
      <c r="G39">
        <v>285.31334993147254</v>
      </c>
      <c r="H39" s="60">
        <v>1.1693253067918332</v>
      </c>
      <c r="I39">
        <v>1.6845688410358832</v>
      </c>
      <c r="K39">
        <v>5</v>
      </c>
      <c r="M39">
        <v>0.33691376820717667</v>
      </c>
      <c r="O39">
        <v>62.329047118327686</v>
      </c>
      <c r="Q39">
        <v>95.881845030724435</v>
      </c>
    </row>
    <row r="40" spans="1:17" x14ac:dyDescent="0.2">
      <c r="A40" s="22">
        <v>0.64886630657265354</v>
      </c>
      <c r="B40" s="22">
        <v>7.8636156079122374E-2</v>
      </c>
      <c r="C40" s="22">
        <v>160.30683731833744</v>
      </c>
      <c r="D40" s="22">
        <v>101.92947195755565</v>
      </c>
      <c r="E40" s="22">
        <v>58.377365360781802</v>
      </c>
      <c r="F40">
        <v>160.30683731833744</v>
      </c>
      <c r="G40">
        <v>285.31334993147254</v>
      </c>
      <c r="H40" s="60">
        <v>1.1852270506884111</v>
      </c>
      <c r="I40">
        <v>2.0959451692853293</v>
      </c>
      <c r="K40">
        <v>5</v>
      </c>
      <c r="M40">
        <v>0.41918903385706585</v>
      </c>
      <c r="O40">
        <v>79.645916432842512</v>
      </c>
      <c r="Q40">
        <v>80.660920885494932</v>
      </c>
    </row>
    <row r="41" spans="1:17" x14ac:dyDescent="0.2">
      <c r="A41" s="22">
        <v>0.61601771643057968</v>
      </c>
      <c r="B41" s="22">
        <v>7.5810158954646739E-2</v>
      </c>
      <c r="C41" s="22">
        <v>162.78680451239373</v>
      </c>
      <c r="D41" s="22">
        <v>107.36476928493224</v>
      </c>
      <c r="E41" s="22">
        <v>55.4220352274615</v>
      </c>
      <c r="F41">
        <v>162.78680451239373</v>
      </c>
      <c r="G41">
        <v>285.31334993147254</v>
      </c>
      <c r="H41" s="60">
        <v>1.1978857904613129</v>
      </c>
      <c r="I41">
        <v>2.479967194056286</v>
      </c>
      <c r="K41">
        <v>5</v>
      </c>
      <c r="M41">
        <v>0.49599343881125718</v>
      </c>
      <c r="O41">
        <v>96.718720568195153</v>
      </c>
      <c r="Q41">
        <v>66.068083944198577</v>
      </c>
    </row>
    <row r="42" spans="1:17" x14ac:dyDescent="0.2">
      <c r="A42" s="22">
        <v>0.58560184168181983</v>
      </c>
      <c r="B42" s="22">
        <v>7.3324328102420663E-2</v>
      </c>
      <c r="C42" s="22">
        <v>165.62681540437222</v>
      </c>
      <c r="D42" s="22">
        <v>112.94124316626664</v>
      </c>
      <c r="E42" s="22">
        <v>52.685572238105586</v>
      </c>
      <c r="F42">
        <v>165.62681540437222</v>
      </c>
      <c r="G42">
        <v>285.31334993147254</v>
      </c>
      <c r="H42" s="60">
        <v>1.2075339341139104</v>
      </c>
      <c r="I42">
        <v>2.8400108919784941</v>
      </c>
      <c r="K42">
        <v>5</v>
      </c>
      <c r="M42">
        <v>0.56800217839569878</v>
      </c>
      <c r="O42">
        <v>113.60043567913975</v>
      </c>
      <c r="Q42">
        <v>52.026379725232474</v>
      </c>
    </row>
    <row r="43" spans="1:17" x14ac:dyDescent="0.2">
      <c r="A43" s="22">
        <v>0.55738426334973934</v>
      </c>
      <c r="B43" s="22">
        <v>7.1130690083909057E-2</v>
      </c>
      <c r="C43" s="22">
        <v>168.80577972944047</v>
      </c>
      <c r="D43" s="22">
        <v>118.65889360155889</v>
      </c>
      <c r="E43" s="22">
        <v>50.146886127881587</v>
      </c>
      <c r="F43">
        <v>168.80577972944047</v>
      </c>
      <c r="G43">
        <v>285.31334993147254</v>
      </c>
      <c r="H43" s="60">
        <v>1.2144133946632107</v>
      </c>
      <c r="I43">
        <v>3.1789643250682502</v>
      </c>
      <c r="K43">
        <v>5</v>
      </c>
      <c r="M43">
        <v>0.63579286501365007</v>
      </c>
      <c r="O43">
        <v>130.33753732779826</v>
      </c>
      <c r="Q43">
        <v>38.468242401642215</v>
      </c>
    </row>
    <row r="44" spans="1:17" x14ac:dyDescent="0.2">
      <c r="A44" s="22">
        <v>0.53115813304473447</v>
      </c>
      <c r="B44" s="22">
        <v>6.9188982452719316E-2</v>
      </c>
      <c r="C44" s="22">
        <v>172.3050877002018</v>
      </c>
      <c r="D44" s="22">
        <v>124.51772059080901</v>
      </c>
      <c r="E44" s="22">
        <v>47.787367109392818</v>
      </c>
      <c r="F44">
        <v>172.30508770020182</v>
      </c>
      <c r="G44">
        <v>285.31334993147254</v>
      </c>
      <c r="H44" s="60">
        <v>1.2187684229346991</v>
      </c>
      <c r="I44">
        <v>3.4993079707613504</v>
      </c>
      <c r="K44">
        <v>5</v>
      </c>
      <c r="M44">
        <v>0.69986159415227012</v>
      </c>
      <c r="O44">
        <v>146.97093477197672</v>
      </c>
      <c r="Q44">
        <v>25.334152928225109</v>
      </c>
    </row>
    <row r="45" spans="1:17" x14ac:dyDescent="0.2">
      <c r="A45" s="22">
        <v>0.50674037138502526</v>
      </c>
      <c r="B45" s="22">
        <v>6.7465269239770587E-2</v>
      </c>
      <c r="C45" s="22">
        <v>176.10826798527108</v>
      </c>
      <c r="D45" s="22">
        <v>130.5177241340169</v>
      </c>
      <c r="E45" s="22">
        <v>45.590543851254154</v>
      </c>
      <c r="F45">
        <v>176.10826798527106</v>
      </c>
      <c r="G45">
        <v>285.31334993147254</v>
      </c>
      <c r="H45" s="60">
        <v>1.2208398984310134</v>
      </c>
      <c r="I45">
        <v>3.8031802850692316</v>
      </c>
      <c r="K45">
        <v>5</v>
      </c>
      <c r="M45">
        <v>0.76063605701384629</v>
      </c>
      <c r="O45">
        <v>163.53675225797696</v>
      </c>
      <c r="Q45">
        <v>12.571515727294098</v>
      </c>
    </row>
    <row r="46" spans="1:17" x14ac:dyDescent="0.2">
      <c r="A46">
        <v>0.48396846419985107</v>
      </c>
      <c r="B46">
        <v>6.5930829931302962E-2</v>
      </c>
      <c r="C46">
        <v>180.20069946928643</v>
      </c>
      <c r="D46">
        <v>136.65890423118265</v>
      </c>
      <c r="E46">
        <v>43.541795238103788</v>
      </c>
      <c r="F46">
        <v>180.20069946928643</v>
      </c>
      <c r="G46">
        <v>285.31334993147254</v>
      </c>
      <c r="H46" s="60">
        <v>1.2208609658449023</v>
      </c>
      <c r="I46">
        <v>4.0924314840153784</v>
      </c>
      <c r="K46">
        <v>5</v>
      </c>
      <c r="M46">
        <v>0.81848629680307572</v>
      </c>
      <c r="O46">
        <v>180.06698529667665</v>
      </c>
      <c r="Q46">
        <v>0.13371417260978546</v>
      </c>
    </row>
    <row r="47" spans="1:17" x14ac:dyDescent="0.2">
      <c r="A47" s="64">
        <v>0.46269775145230208</v>
      </c>
      <c r="B47" s="64">
        <v>6.4561263207973646E-2</v>
      </c>
      <c r="C47" s="64">
        <v>184.56936734204399</v>
      </c>
      <c r="D47" s="64">
        <v>142.94126088230624</v>
      </c>
      <c r="E47" s="64">
        <v>41.628106459737744</v>
      </c>
      <c r="F47">
        <v>184.56936734204399</v>
      </c>
      <c r="G47">
        <v>285.31334993147254</v>
      </c>
      <c r="H47" s="60">
        <v>1.2190538616466617</v>
      </c>
      <c r="I47">
        <v>4.3686678727575554</v>
      </c>
      <c r="K47">
        <v>5</v>
      </c>
      <c r="M47">
        <v>0.87373357455151113</v>
      </c>
      <c r="O47">
        <v>196.59005427408999</v>
      </c>
      <c r="Q47">
        <v>-12.020686932046004</v>
      </c>
    </row>
    <row r="48" spans="1:17" x14ac:dyDescent="0.2">
      <c r="A48" s="22">
        <v>0.44279912414504335</v>
      </c>
      <c r="B48" s="22">
        <v>6.3335760293835808E-2</v>
      </c>
      <c r="C48" s="22">
        <v>189.20265589313857</v>
      </c>
      <c r="D48" s="22">
        <v>149.36479408738765</v>
      </c>
      <c r="E48" s="22">
        <v>39.837861805750919</v>
      </c>
      <c r="F48">
        <v>189.20265589313857</v>
      </c>
      <c r="G48">
        <v>285.31334993147254</v>
      </c>
      <c r="H48" s="60">
        <v>1.2156277559333191</v>
      </c>
      <c r="I48">
        <v>4.63328855109458</v>
      </c>
      <c r="K48">
        <v>5</v>
      </c>
      <c r="M48">
        <v>0.92665771021891596</v>
      </c>
      <c r="O48">
        <v>213.13127335035068</v>
      </c>
      <c r="Q48">
        <v>-23.928617457212113</v>
      </c>
    </row>
    <row r="49" spans="1:17" x14ac:dyDescent="0.2">
      <c r="A49" s="22">
        <v>0.42415706052101027</v>
      </c>
      <c r="B49" s="22">
        <v>6.2236512989721438E-2</v>
      </c>
      <c r="C49" s="22">
        <v>194.09017183237933</v>
      </c>
      <c r="D49" s="22">
        <v>155.92950384642691</v>
      </c>
      <c r="E49" s="22">
        <v>38.160667985952436</v>
      </c>
      <c r="F49">
        <v>194.09017183237935</v>
      </c>
      <c r="G49">
        <v>285.31334993147254</v>
      </c>
      <c r="H49" s="60">
        <v>1.2107774328880048</v>
      </c>
      <c r="I49">
        <v>4.8875159392407852</v>
      </c>
      <c r="K49">
        <v>5</v>
      </c>
      <c r="M49">
        <v>0.97750318784815704</v>
      </c>
      <c r="O49">
        <v>229.7132491443169</v>
      </c>
      <c r="Q49">
        <v>-35.62307731193755</v>
      </c>
    </row>
    <row r="50" spans="1:17" x14ac:dyDescent="0.2">
      <c r="A50" s="22">
        <v>0.40666794561237485</v>
      </c>
      <c r="B50" s="22">
        <v>6.1248229216059352E-2</v>
      </c>
      <c r="C50" s="22">
        <v>199.22259310255288</v>
      </c>
      <c r="D50" s="22">
        <v>162.63539015942399</v>
      </c>
      <c r="E50" s="22">
        <v>36.587202943128879</v>
      </c>
      <c r="F50">
        <v>199.22259310255288</v>
      </c>
      <c r="G50">
        <v>285.31334993147254</v>
      </c>
      <c r="H50" s="60">
        <v>1.2046826429794353</v>
      </c>
      <c r="I50">
        <v>5.1324212701735235</v>
      </c>
      <c r="K50">
        <v>5</v>
      </c>
      <c r="M50">
        <v>1.0264842540347048</v>
      </c>
      <c r="O50">
        <v>246.35622096832915</v>
      </c>
      <c r="Q50">
        <v>-47.133627865776276</v>
      </c>
    </row>
    <row r="51" spans="1:17" x14ac:dyDescent="0.2">
      <c r="A51" s="22">
        <v>0.39023862835939682</v>
      </c>
      <c r="B51" s="22">
        <v>6.0357734801634422E-2</v>
      </c>
      <c r="C51" s="22">
        <v>204.59153906593281</v>
      </c>
      <c r="D51" s="22">
        <v>169.48245302637889</v>
      </c>
      <c r="E51" s="22">
        <v>35.109086039553908</v>
      </c>
      <c r="F51">
        <v>204.59153906593281</v>
      </c>
      <c r="G51">
        <v>285.31334993147254</v>
      </c>
      <c r="H51" s="60">
        <v>1.1975079767157182</v>
      </c>
      <c r="I51">
        <v>5.3689459633799288</v>
      </c>
      <c r="K51">
        <v>5</v>
      </c>
      <c r="M51">
        <v>1.0737891926759857</v>
      </c>
      <c r="O51">
        <v>263.07835220561651</v>
      </c>
      <c r="Q51">
        <v>-58.486813139683704</v>
      </c>
    </row>
    <row r="52" spans="1:17" x14ac:dyDescent="0.2">
      <c r="A52" s="22">
        <v>0.37478517867636463</v>
      </c>
      <c r="B52" s="22">
        <v>5.9553644790751509E-2</v>
      </c>
      <c r="C52" s="22">
        <v>210.18945867967926</v>
      </c>
      <c r="D52" s="22">
        <v>176.47069244729167</v>
      </c>
      <c r="E52" s="22">
        <v>33.718766232387566</v>
      </c>
      <c r="F52">
        <v>210.18945867967923</v>
      </c>
      <c r="G52">
        <v>285.31334993147254</v>
      </c>
      <c r="H52" s="60">
        <v>1.1894031297782184</v>
      </c>
      <c r="I52">
        <v>5.5979196137464271</v>
      </c>
      <c r="K52">
        <v>5</v>
      </c>
      <c r="M52">
        <v>1.1195839227492854</v>
      </c>
      <c r="O52">
        <v>279.89598068732136</v>
      </c>
      <c r="Q52">
        <v>-69.706522007642121</v>
      </c>
    </row>
    <row r="53" spans="1:17" x14ac:dyDescent="0.2">
      <c r="A53" s="22">
        <v>0.36023181341442201</v>
      </c>
      <c r="B53" s="22">
        <v>5.882609104181781E-2</v>
      </c>
      <c r="C53" s="22">
        <v>216.00953386659472</v>
      </c>
      <c r="D53" s="22">
        <v>183.60010842216224</v>
      </c>
      <c r="E53" s="22">
        <v>32.4094254444325</v>
      </c>
      <c r="F53">
        <v>216.00953386659472</v>
      </c>
      <c r="G53">
        <v>285.31334993147254</v>
      </c>
      <c r="H53" s="60">
        <v>1.1805034501740344</v>
      </c>
      <c r="I53">
        <v>5.8200751869154885</v>
      </c>
      <c r="K53">
        <v>5</v>
      </c>
      <c r="M53">
        <v>1.1640150373830978</v>
      </c>
      <c r="O53">
        <v>296.82383453268994</v>
      </c>
      <c r="Q53">
        <v>-80.814300666095221</v>
      </c>
    </row>
    <row r="54" spans="1:17" x14ac:dyDescent="0.2">
      <c r="A54" s="22">
        <v>0.34650996549220109</v>
      </c>
      <c r="B54" s="22">
        <v>5.8166495606743696E-2</v>
      </c>
      <c r="C54" s="22">
        <v>222.04559576643774</v>
      </c>
      <c r="D54" s="22">
        <v>190.87070095099065</v>
      </c>
      <c r="E54" s="22">
        <v>31.174894815447093</v>
      </c>
      <c r="F54">
        <v>222.04559576643774</v>
      </c>
      <c r="G54">
        <v>285.31334993147254</v>
      </c>
      <c r="H54" s="60">
        <v>1.1709306780103184</v>
      </c>
      <c r="I54">
        <v>6.0360618998430198</v>
      </c>
      <c r="K54">
        <v>5</v>
      </c>
      <c r="M54">
        <v>1.2072123799686039</v>
      </c>
      <c r="O54">
        <v>313.87521879183703</v>
      </c>
      <c r="Q54">
        <v>-91.829623025399286</v>
      </c>
    </row>
    <row r="55" spans="1:17" x14ac:dyDescent="0.2">
      <c r="A55" s="22">
        <v>0.33355747479206538</v>
      </c>
      <c r="B55" s="22">
        <v>5.7567381499581197E-2</v>
      </c>
      <c r="C55" s="22">
        <v>228.29205194227421</v>
      </c>
      <c r="D55" s="22">
        <v>198.28247003377692</v>
      </c>
      <c r="E55" s="22">
        <v>30.009581908497307</v>
      </c>
      <c r="F55">
        <v>228.29205194227421</v>
      </c>
      <c r="G55">
        <v>285.31334993147254</v>
      </c>
      <c r="H55" s="60">
        <v>1.1607938066411867</v>
      </c>
      <c r="I55">
        <v>6.2464561758364709</v>
      </c>
      <c r="K55">
        <v>5</v>
      </c>
      <c r="M55">
        <v>1.2492912351672942</v>
      </c>
      <c r="O55">
        <v>331.06217731933299</v>
      </c>
      <c r="Q55">
        <v>-102.77012537705878</v>
      </c>
    </row>
    <row r="56" spans="1:17" x14ac:dyDescent="0.2">
      <c r="A56" s="22">
        <v>0.32131788295298752</v>
      </c>
      <c r="B56" s="22">
        <v>5.7022214124215681E-2</v>
      </c>
      <c r="C56" s="22">
        <v>234.74382293422775</v>
      </c>
      <c r="D56" s="22">
        <v>205.835415670521</v>
      </c>
      <c r="E56" s="22">
        <v>28.90840726370676</v>
      </c>
      <c r="F56">
        <v>234.74382293422775</v>
      </c>
      <c r="G56">
        <v>285.31334993147254</v>
      </c>
      <c r="H56" s="60">
        <v>1.1501900097948503</v>
      </c>
      <c r="I56">
        <v>6.4517709919535378</v>
      </c>
      <c r="K56">
        <v>5</v>
      </c>
      <c r="M56">
        <v>1.2903541983907076</v>
      </c>
      <c r="O56">
        <v>348.39563356549104</v>
      </c>
      <c r="Q56">
        <v>-113.65181063126329</v>
      </c>
    </row>
    <row r="57" spans="1:17" x14ac:dyDescent="0.2">
      <c r="A57" s="22">
        <v>0.3097398170879046</v>
      </c>
      <c r="B57" s="22">
        <v>5.6525267939861693E-2</v>
      </c>
      <c r="C57" s="22">
        <v>241.39628681360935</v>
      </c>
      <c r="D57" s="22">
        <v>213.52953786122293</v>
      </c>
      <c r="E57" s="22">
        <v>27.866748952386413</v>
      </c>
      <c r="F57">
        <v>241.39628681360935</v>
      </c>
      <c r="G57">
        <v>285.31334993147254</v>
      </c>
      <c r="H57" s="60">
        <v>1.1392055927203937</v>
      </c>
      <c r="I57">
        <v>6.6524638793815996</v>
      </c>
      <c r="K57">
        <v>5</v>
      </c>
      <c r="M57">
        <v>1.3304927758763199</v>
      </c>
      <c r="O57">
        <v>365.88551336598795</v>
      </c>
      <c r="Q57">
        <v>-124.4892265523786</v>
      </c>
    </row>
    <row r="58" spans="1:17" x14ac:dyDescent="0.2">
      <c r="A58" s="22">
        <v>0.29877644983766316</v>
      </c>
      <c r="B58" s="22">
        <v>5.6071513979180726E-2</v>
      </c>
      <c r="C58" s="22">
        <v>248.24523060491612</v>
      </c>
      <c r="D58" s="22">
        <v>221.36483660588266</v>
      </c>
      <c r="E58" s="22">
        <v>26.880393999033462</v>
      </c>
      <c r="F58">
        <v>248.24523060491612</v>
      </c>
      <c r="G58">
        <v>285.31334993147254</v>
      </c>
      <c r="H58" s="60">
        <v>1.1279169364813368</v>
      </c>
      <c r="I58">
        <v>6.8489437913067661</v>
      </c>
      <c r="K58">
        <v>5</v>
      </c>
      <c r="M58">
        <v>1.3697887582613533</v>
      </c>
      <c r="O58">
        <v>383.5408523131789</v>
      </c>
      <c r="Q58">
        <v>-135.29562170826279</v>
      </c>
    </row>
    <row r="59" spans="1:17" x14ac:dyDescent="0.2">
      <c r="A59" s="22">
        <v>0.28838502514340153</v>
      </c>
      <c r="B59" s="22">
        <v>5.5656524657604421E-2</v>
      </c>
      <c r="C59" s="22">
        <v>255.28680762040329</v>
      </c>
      <c r="D59" s="22">
        <v>229.34131190450026</v>
      </c>
      <c r="E59" s="22">
        <v>25.945495715903025</v>
      </c>
      <c r="F59">
        <v>255.28680762040329</v>
      </c>
      <c r="G59">
        <v>285.31334993147254</v>
      </c>
      <c r="H59" s="60">
        <v>1.1163914134716217</v>
      </c>
      <c r="I59">
        <v>7.041577015487178</v>
      </c>
      <c r="K59">
        <v>5</v>
      </c>
      <c r="M59">
        <v>1.4083154030974356</v>
      </c>
      <c r="O59">
        <v>401.36988988276914</v>
      </c>
      <c r="Q59">
        <v>-146.08308226236585</v>
      </c>
    </row>
    <row r="60" spans="1:17" x14ac:dyDescent="0.2">
      <c r="A60" s="22">
        <v>0.27852644075235183</v>
      </c>
      <c r="B60" s="22">
        <v>5.5276392970244226E-2</v>
      </c>
      <c r="C60" s="22">
        <v>262.5174998988619</v>
      </c>
      <c r="D60" s="22">
        <v>237.45896375707568</v>
      </c>
      <c r="E60" s="22">
        <v>25.058536141786242</v>
      </c>
      <c r="F60">
        <v>262.5174998988619</v>
      </c>
      <c r="G60">
        <v>285.31334993147254</v>
      </c>
      <c r="H60" s="60">
        <v>1.1046882593035743</v>
      </c>
      <c r="I60">
        <v>7.230692278458605</v>
      </c>
      <c r="K60">
        <v>5</v>
      </c>
      <c r="M60">
        <v>1.4461384556917209</v>
      </c>
      <c r="O60">
        <v>419.38015215059909</v>
      </c>
      <c r="Q60">
        <v>-156.86265225173719</v>
      </c>
    </row>
    <row r="61" spans="1:17" x14ac:dyDescent="0.2">
      <c r="A61" s="22">
        <v>0.26916487983077036</v>
      </c>
      <c r="B61" s="22">
        <v>5.4927663700222923E-2</v>
      </c>
      <c r="C61" s="22">
        <v>269.93408506247965</v>
      </c>
      <c r="D61" s="22">
        <v>245.71779216360892</v>
      </c>
      <c r="E61" s="22">
        <v>24.216292898870709</v>
      </c>
      <c r="F61">
        <v>269.93408506247965</v>
      </c>
      <c r="G61">
        <v>285.31334993147254</v>
      </c>
      <c r="H61" s="60">
        <v>1.0928593916982308</v>
      </c>
      <c r="I61">
        <v>7.4165851636177536</v>
      </c>
      <c r="K61">
        <v>5</v>
      </c>
      <c r="M61">
        <v>1.4833170327235508</v>
      </c>
      <c r="O61">
        <v>437.57852465344746</v>
      </c>
      <c r="Q61">
        <v>-167.64443959096781</v>
      </c>
    </row>
    <row r="62" spans="1:17" x14ac:dyDescent="0.2">
      <c r="A62" s="22">
        <v>0.26026748519191989</v>
      </c>
      <c r="B62" s="22">
        <v>5.4607274686897911E-2</v>
      </c>
      <c r="C62" s="22">
        <v>277.53360700770247</v>
      </c>
      <c r="D62" s="22">
        <v>254.11779712409998</v>
      </c>
      <c r="E62" s="22">
        <v>23.415809883602478</v>
      </c>
      <c r="F62">
        <v>277.53360700770247</v>
      </c>
      <c r="G62">
        <v>285.31334993147254</v>
      </c>
      <c r="H62" s="60">
        <v>1.0809501711685461</v>
      </c>
      <c r="I62">
        <v>7.5995219452228184</v>
      </c>
      <c r="K62">
        <v>5</v>
      </c>
      <c r="M62">
        <v>1.5199043890445636</v>
      </c>
      <c r="O62">
        <v>455.97131671336911</v>
      </c>
      <c r="Q62">
        <v>-178.43770970566663</v>
      </c>
    </row>
    <row r="63" spans="1:17" x14ac:dyDescent="0.2">
      <c r="A63" s="63">
        <v>0.25180407059685883</v>
      </c>
      <c r="B63" s="63">
        <v>5.4312506545626006E-2</v>
      </c>
      <c r="C63" s="63">
        <v>285.31334993147254</v>
      </c>
      <c r="D63" s="63">
        <v>262.65897863854889</v>
      </c>
      <c r="E63" s="63">
        <v>22.65437129292366</v>
      </c>
      <c r="F63">
        <v>285.31334993147254</v>
      </c>
      <c r="G63">
        <v>285.31334993147254</v>
      </c>
      <c r="H63" s="60">
        <v>1.0690001013736505</v>
      </c>
      <c r="I63">
        <v>7.7797429237700726</v>
      </c>
      <c r="K63">
        <v>5</v>
      </c>
      <c r="M63">
        <v>1.5559485847540144</v>
      </c>
      <c r="O63">
        <v>474.56431834997443</v>
      </c>
      <c r="Q63">
        <v>-189.25096841850188</v>
      </c>
    </row>
    <row r="64" spans="1:17" x14ac:dyDescent="0.2">
      <c r="A64" s="22">
        <v>0.24374686438369189</v>
      </c>
      <c r="B64" s="22">
        <v>5.4040939509104081E-2</v>
      </c>
      <c r="C64" s="22">
        <v>293.27081526600068</v>
      </c>
      <c r="D64" s="22">
        <v>271.34133670695564</v>
      </c>
      <c r="E64" s="22">
        <v>21.929478559044988</v>
      </c>
      <c r="F64">
        <v>293.27081526600062</v>
      </c>
      <c r="G64">
        <v>285.31334993147254</v>
      </c>
      <c r="H64" s="60">
        <v>1.0570434692549471</v>
      </c>
      <c r="I64">
        <v>7.9574653345280808</v>
      </c>
      <c r="K64">
        <v>5</v>
      </c>
      <c r="M64">
        <v>1.5914930669056162</v>
      </c>
      <c r="O64">
        <v>493.36285074074101</v>
      </c>
      <c r="Q64">
        <v>-200.09203547474038</v>
      </c>
    </row>
    <row r="65" spans="1:17" x14ac:dyDescent="0.2">
      <c r="A65" s="22">
        <v>0.23607028135321531</v>
      </c>
      <c r="B65" s="22">
        <v>5.3790416286956903E-2</v>
      </c>
      <c r="C65" s="22">
        <v>301.40370115571704</v>
      </c>
      <c r="D65" s="22">
        <v>280.16487132932025</v>
      </c>
      <c r="E65" s="22">
        <v>21.238829826396806</v>
      </c>
      <c r="F65">
        <v>301.40370115571704</v>
      </c>
      <c r="G65">
        <v>285.31334993147254</v>
      </c>
      <c r="H65" s="60">
        <v>1.0451099266271404</v>
      </c>
      <c r="I65">
        <v>8.1328858897164196</v>
      </c>
      <c r="K65">
        <v>5</v>
      </c>
      <c r="M65">
        <v>1.6265771779432838</v>
      </c>
      <c r="O65">
        <v>512.37181105213438</v>
      </c>
      <c r="Q65">
        <v>-210.96810989641733</v>
      </c>
    </row>
    <row r="66" spans="1:17" x14ac:dyDescent="0.2">
      <c r="A66" s="22">
        <v>0.22875071940696087</v>
      </c>
      <c r="B66" s="22">
        <v>5.3559010025393781E-2</v>
      </c>
      <c r="C66" s="22">
        <v>309.70988416115262</v>
      </c>
      <c r="D66" s="22">
        <v>289.12958250564265</v>
      </c>
      <c r="E66" s="22">
        <v>20.580301655509995</v>
      </c>
      <c r="F66">
        <v>309.70988416115262</v>
      </c>
      <c r="G66">
        <v>285.31334993147254</v>
      </c>
      <c r="H66" s="60">
        <v>1.0332250159426397</v>
      </c>
      <c r="I66">
        <v>8.306183005435571</v>
      </c>
      <c r="K66">
        <v>5</v>
      </c>
      <c r="M66">
        <v>1.6612366010871142</v>
      </c>
      <c r="O66">
        <v>531.59571234787654</v>
      </c>
      <c r="Q66">
        <v>-221.88582818672393</v>
      </c>
    </row>
    <row r="67" spans="1:17" x14ac:dyDescent="0.2">
      <c r="A67" s="22">
        <v>0.22176637791500867</v>
      </c>
      <c r="B67" s="22">
        <v>5.3344996600522221E-2</v>
      </c>
      <c r="C67" s="22">
        <v>318.1874029178091</v>
      </c>
      <c r="D67" s="22">
        <v>298.23547023592295</v>
      </c>
      <c r="E67" s="22">
        <v>19.951932681886138</v>
      </c>
      <c r="F67">
        <v>318.1874029178091</v>
      </c>
      <c r="G67">
        <v>285.31334993147254</v>
      </c>
      <c r="H67" s="60">
        <v>1.0214106436009682</v>
      </c>
      <c r="I67">
        <v>8.4775187566564796</v>
      </c>
      <c r="K67">
        <v>5</v>
      </c>
      <c r="M67">
        <v>1.6955037513312958</v>
      </c>
      <c r="O67">
        <v>551.03871918267112</v>
      </c>
      <c r="Q67">
        <v>-232.85131626486202</v>
      </c>
    </row>
    <row r="68" spans="1:17" x14ac:dyDescent="0.2">
      <c r="A68" s="22">
        <v>0.21509709519993381</v>
      </c>
      <c r="B68" s="22">
        <v>5.3146830603714168E-2</v>
      </c>
      <c r="C68" s="22">
        <v>326.83444351487378</v>
      </c>
      <c r="D68" s="22">
        <v>307.48253452016098</v>
      </c>
      <c r="E68" s="22">
        <v>19.351908994712794</v>
      </c>
      <c r="F68">
        <v>326.83444351487378</v>
      </c>
      <c r="G68">
        <v>285.31334993147254</v>
      </c>
      <c r="H68" s="60">
        <v>1.0096855045358222</v>
      </c>
      <c r="I68">
        <v>8.647040597064688</v>
      </c>
      <c r="K68">
        <v>5</v>
      </c>
      <c r="M68">
        <v>1.7294081194129376</v>
      </c>
      <c r="O68">
        <v>570.70467940626941</v>
      </c>
      <c r="Q68">
        <v>-243.87023589139562</v>
      </c>
    </row>
    <row r="69" spans="1:17" x14ac:dyDescent="0.2">
      <c r="A69" s="22">
        <v>0.20872420287166668</v>
      </c>
      <c r="B69" s="22">
        <v>5.2963124480379875E-2</v>
      </c>
      <c r="C69" s="22">
        <v>335.64932638998289</v>
      </c>
      <c r="D69" s="22">
        <v>316.87077535835692</v>
      </c>
      <c r="E69" s="22">
        <v>18.778551031625966</v>
      </c>
      <c r="F69">
        <v>335.64932638998289</v>
      </c>
      <c r="G69">
        <v>285.31334993147254</v>
      </c>
      <c r="H69" s="60">
        <v>0.9980654619600563</v>
      </c>
      <c r="I69">
        <v>8.814882875109106</v>
      </c>
      <c r="K69">
        <v>5</v>
      </c>
      <c r="M69">
        <v>1.7629765750218211</v>
      </c>
      <c r="O69">
        <v>590.5971526323101</v>
      </c>
      <c r="Q69">
        <v>-254.94782624232721</v>
      </c>
    </row>
    <row r="70" spans="1:17" x14ac:dyDescent="0.2">
      <c r="A70" s="22">
        <v>0.20263039504561239</v>
      </c>
      <c r="B70" s="22">
        <v>5.2792630368700168E-2</v>
      </c>
      <c r="C70" s="22">
        <v>344.63049456300394</v>
      </c>
      <c r="D70" s="22">
        <v>326.40019275051066</v>
      </c>
      <c r="E70" s="22">
        <v>18.230301812493281</v>
      </c>
      <c r="F70">
        <v>344.63049456300394</v>
      </c>
      <c r="G70">
        <v>285.31334993147254</v>
      </c>
      <c r="H70" s="60">
        <v>0.98656388614456347</v>
      </c>
      <c r="I70">
        <v>8.9811681730210466</v>
      </c>
      <c r="K70">
        <v>5</v>
      </c>
      <c r="M70">
        <v>1.7962336346042094</v>
      </c>
      <c r="O70">
        <v>610.71943576543117</v>
      </c>
      <c r="Q70">
        <v>-266.08894120242724</v>
      </c>
    </row>
    <row r="71" spans="1:17" x14ac:dyDescent="0.2">
      <c r="A71" s="22">
        <v>0.19679961073113039</v>
      </c>
      <c r="B71" s="22">
        <v>5.2634224255572508E-2</v>
      </c>
      <c r="C71" s="22">
        <v>353.77650305473372</v>
      </c>
      <c r="D71" s="22">
        <v>336.07078669662224</v>
      </c>
      <c r="E71" s="22">
        <v>17.70571635811152</v>
      </c>
      <c r="F71">
        <v>353.77650305473378</v>
      </c>
      <c r="G71">
        <v>285.31334993147254</v>
      </c>
      <c r="H71" s="60">
        <v>0.97519195599777875</v>
      </c>
      <c r="I71">
        <v>9.1460084917298445</v>
      </c>
      <c r="K71">
        <v>5</v>
      </c>
      <c r="M71">
        <v>1.8292016983459689</v>
      </c>
      <c r="O71">
        <v>631.07458592935927</v>
      </c>
      <c r="Q71">
        <v>-277.29808287462549</v>
      </c>
    </row>
    <row r="72" spans="1:17" x14ac:dyDescent="0.2">
      <c r="A72" s="22">
        <v>0.19121692789610442</v>
      </c>
      <c r="B72" s="22">
        <v>5.2486892125872424E-2</v>
      </c>
      <c r="C72" s="22">
        <v>363.08600935607308</v>
      </c>
      <c r="D72" s="22">
        <v>345.88255719669166</v>
      </c>
      <c r="E72" s="22">
        <v>17.203452159381417</v>
      </c>
      <c r="F72">
        <v>363.08600935607308</v>
      </c>
      <c r="G72">
        <v>285.31334993147254</v>
      </c>
      <c r="H72" s="60">
        <v>0.9639589270341733</v>
      </c>
      <c r="I72">
        <v>9.3095063013392974</v>
      </c>
      <c r="K72">
        <v>5</v>
      </c>
      <c r="M72">
        <v>1.8619012602678595</v>
      </c>
      <c r="O72">
        <v>651.66544109375081</v>
      </c>
      <c r="Q72">
        <v>-288.57943173767774</v>
      </c>
    </row>
    <row r="73" spans="1:17" ht="16" thickBot="1" x14ac:dyDescent="0.25">
      <c r="A73" s="23">
        <v>0.18586846790139092</v>
      </c>
      <c r="B73" s="23">
        <v>5.2349717830244953E-2</v>
      </c>
      <c r="C73" s="23">
        <v>372.55776483016126</v>
      </c>
      <c r="D73" s="23">
        <v>355.83550425071894</v>
      </c>
      <c r="E73" s="23">
        <v>16.722260579442359</v>
      </c>
      <c r="F73">
        <v>372.55776483016132</v>
      </c>
      <c r="G73">
        <v>285.31334993147254</v>
      </c>
      <c r="H73" s="60">
        <v>0.95287236909915052</v>
      </c>
      <c r="I73">
        <v>9.4717554740882406</v>
      </c>
      <c r="K73">
        <v>5</v>
      </c>
      <c r="M73">
        <v>1.8943510948176481</v>
      </c>
      <c r="O73">
        <v>672.49463866026508</v>
      </c>
      <c r="Q73">
        <v>-299.93687383010376</v>
      </c>
    </row>
  </sheetData>
  <conditionalFormatting sqref="A24:A73">
    <cfRule type="dataBar" priority="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{DB05238D-108A-4FF3-BFFE-79AA45748ED0}</x14:id>
        </ext>
      </extLst>
    </cfRule>
  </conditionalFormatting>
  <conditionalFormatting sqref="B24:B73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{53EAB66E-C5C9-4509-B387-AA3AF286059E}</x14:id>
        </ext>
      </extLst>
    </cfRule>
  </conditionalFormatting>
  <conditionalFormatting sqref="C24:C73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{F1F5DCE6-E273-44A6-BD31-7C2647D852F5}</x14:id>
        </ext>
      </extLst>
    </cfRule>
  </conditionalFormatting>
  <conditionalFormatting sqref="D24:D73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{B5611F0B-F1B4-40E2-A36D-0999890F288E}</x14:id>
        </ext>
      </extLst>
    </cfRule>
  </conditionalFormatting>
  <conditionalFormatting sqref="H3:H73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{FE20D0EE-5C92-4E50-BF99-D6152F47518A}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B05238D-108A-4FF3-BFFE-79AA45748ED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A24:A73</xm:sqref>
        </x14:conditionalFormatting>
        <x14:conditionalFormatting xmlns:xm="http://schemas.microsoft.com/office/excel/2006/main">
          <x14:cfRule type="dataBar" id="{53EAB66E-C5C9-4509-B387-AA3AF286059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B24:B73</xm:sqref>
        </x14:conditionalFormatting>
        <x14:conditionalFormatting xmlns:xm="http://schemas.microsoft.com/office/excel/2006/main">
          <x14:cfRule type="dataBar" id="{F1F5DCE6-E273-44A6-BD31-7C2647D852F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C24:C73</xm:sqref>
        </x14:conditionalFormatting>
        <x14:conditionalFormatting xmlns:xm="http://schemas.microsoft.com/office/excel/2006/main">
          <x14:cfRule type="dataBar" id="{B5611F0B-F1B4-40E2-A36D-0999890F288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D24:D73</xm:sqref>
        </x14:conditionalFormatting>
        <x14:conditionalFormatting xmlns:xm="http://schemas.microsoft.com/office/excel/2006/main">
          <x14:cfRule type="dataBar" id="{FE20D0EE-5C92-4E50-BF99-D6152F47518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H3:H73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6F9589-7BF5-42C3-BA33-FE6F04A32393}">
  <dimension ref="A1:B33"/>
  <sheetViews>
    <sheetView workbookViewId="0">
      <selection activeCell="B3" sqref="B3"/>
    </sheetView>
  </sheetViews>
  <sheetFormatPr baseColWidth="10" defaultColWidth="8.83203125" defaultRowHeight="15" x14ac:dyDescent="0.2"/>
  <sheetData>
    <row r="1" spans="1:2" x14ac:dyDescent="0.2">
      <c r="A1" s="46" t="s">
        <v>44</v>
      </c>
      <c r="B1" s="46" t="s">
        <v>62</v>
      </c>
    </row>
    <row r="2" spans="1:2" ht="25" thickBot="1" x14ac:dyDescent="0.25">
      <c r="A2" s="45" t="s">
        <v>130</v>
      </c>
      <c r="B2" s="45" t="s">
        <v>129</v>
      </c>
    </row>
    <row r="3" spans="1:2" ht="16" thickBot="1" x14ac:dyDescent="0.25">
      <c r="A3" s="43">
        <v>0</v>
      </c>
      <c r="B3" s="43">
        <v>2.3771700000000001E-3</v>
      </c>
    </row>
    <row r="4" spans="1:2" ht="16" thickBot="1" x14ac:dyDescent="0.25">
      <c r="A4" s="44">
        <v>500</v>
      </c>
      <c r="B4" s="44">
        <v>2.3425899999999999E-3</v>
      </c>
    </row>
    <row r="5" spans="1:2" ht="16" thickBot="1" x14ac:dyDescent="0.25">
      <c r="A5" s="43">
        <v>1000</v>
      </c>
      <c r="B5" s="43">
        <v>2.30839E-3</v>
      </c>
    </row>
    <row r="6" spans="1:2" ht="16" thickBot="1" x14ac:dyDescent="0.25">
      <c r="A6" s="44">
        <v>1500</v>
      </c>
      <c r="B6" s="44">
        <v>2.2745700000000001E-3</v>
      </c>
    </row>
    <row r="7" spans="1:2" ht="16" thickBot="1" x14ac:dyDescent="0.25">
      <c r="A7" s="43">
        <v>2000</v>
      </c>
      <c r="B7" s="43">
        <v>2.24114E-3</v>
      </c>
    </row>
    <row r="8" spans="1:2" ht="16" thickBot="1" x14ac:dyDescent="0.25">
      <c r="A8" s="44">
        <v>2500</v>
      </c>
      <c r="B8" s="44">
        <v>2.2080799999999999E-3</v>
      </c>
    </row>
    <row r="9" spans="1:2" ht="16" thickBot="1" x14ac:dyDescent="0.25">
      <c r="A9" s="43">
        <v>3000</v>
      </c>
      <c r="B9" s="43">
        <v>2.1753900000000001E-3</v>
      </c>
    </row>
    <row r="10" spans="1:2" ht="16" thickBot="1" x14ac:dyDescent="0.25">
      <c r="A10" s="44">
        <v>3500</v>
      </c>
      <c r="B10" s="44">
        <v>2.1430799999999999E-3</v>
      </c>
    </row>
    <row r="11" spans="1:2" ht="16" thickBot="1" x14ac:dyDescent="0.25">
      <c r="A11" s="43">
        <v>4000</v>
      </c>
      <c r="B11" s="43">
        <v>2.1111400000000001E-3</v>
      </c>
    </row>
    <row r="12" spans="1:2" ht="16" thickBot="1" x14ac:dyDescent="0.25">
      <c r="A12" s="44">
        <v>4500</v>
      </c>
      <c r="B12" s="44">
        <v>2.0795599999999998E-3</v>
      </c>
    </row>
    <row r="13" spans="1:2" ht="16" thickBot="1" x14ac:dyDescent="0.25">
      <c r="A13" s="43">
        <v>5000</v>
      </c>
      <c r="B13" s="43">
        <v>2.0483400000000001E-3</v>
      </c>
    </row>
    <row r="14" spans="1:2" ht="16" thickBot="1" x14ac:dyDescent="0.25">
      <c r="A14" s="44">
        <v>5500</v>
      </c>
      <c r="B14" s="44">
        <v>2.0174799999999999E-3</v>
      </c>
    </row>
    <row r="15" spans="1:2" ht="16" thickBot="1" x14ac:dyDescent="0.25">
      <c r="A15" s="43">
        <v>6000</v>
      </c>
      <c r="B15" s="43">
        <v>1.9869800000000002E-3</v>
      </c>
    </row>
    <row r="16" spans="1:2" ht="16" thickBot="1" x14ac:dyDescent="0.25">
      <c r="A16" s="44">
        <v>6500</v>
      </c>
      <c r="B16" s="44">
        <v>1.9568400000000001E-3</v>
      </c>
    </row>
    <row r="17" spans="1:2" ht="16" thickBot="1" x14ac:dyDescent="0.25">
      <c r="A17" s="43">
        <v>7000</v>
      </c>
      <c r="B17" s="43">
        <v>1.9270400000000001E-3</v>
      </c>
    </row>
    <row r="18" spans="1:2" ht="16" thickBot="1" x14ac:dyDescent="0.25">
      <c r="A18" s="44">
        <v>7500</v>
      </c>
      <c r="B18" s="44">
        <v>1.8975999999999999E-3</v>
      </c>
    </row>
    <row r="19" spans="1:2" ht="16" thickBot="1" x14ac:dyDescent="0.25">
      <c r="A19" s="43">
        <v>8000</v>
      </c>
      <c r="B19" s="43">
        <v>1.8684999999999999E-3</v>
      </c>
    </row>
    <row r="20" spans="1:2" ht="16" thickBot="1" x14ac:dyDescent="0.25">
      <c r="A20" s="44">
        <v>8500</v>
      </c>
      <c r="B20" s="44">
        <v>1.8397400000000001E-3</v>
      </c>
    </row>
    <row r="21" spans="1:2" ht="16" thickBot="1" x14ac:dyDescent="0.25">
      <c r="A21" s="43">
        <v>9000</v>
      </c>
      <c r="B21" s="43">
        <v>1.8113199999999999E-3</v>
      </c>
    </row>
    <row r="22" spans="1:2" ht="16" thickBot="1" x14ac:dyDescent="0.25">
      <c r="A22" s="44">
        <v>9500</v>
      </c>
      <c r="B22" s="44">
        <v>1.78324E-3</v>
      </c>
    </row>
    <row r="23" spans="1:2" ht="16" thickBot="1" x14ac:dyDescent="0.25">
      <c r="A23" s="43">
        <v>10000</v>
      </c>
      <c r="B23" s="43">
        <v>1.75549E-3</v>
      </c>
    </row>
    <row r="24" spans="1:2" ht="16" thickBot="1" x14ac:dyDescent="0.25">
      <c r="A24" s="44">
        <v>10500</v>
      </c>
      <c r="B24" s="44">
        <v>1.7280799999999999E-3</v>
      </c>
    </row>
    <row r="25" spans="1:2" ht="16" thickBot="1" x14ac:dyDescent="0.25">
      <c r="A25" s="43">
        <v>11000</v>
      </c>
      <c r="B25" s="43">
        <v>1.7009900000000001E-3</v>
      </c>
    </row>
    <row r="26" spans="1:2" ht="16" thickBot="1" x14ac:dyDescent="0.25">
      <c r="A26" s="44">
        <v>11500</v>
      </c>
      <c r="B26" s="44">
        <v>1.6742300000000001E-3</v>
      </c>
    </row>
    <row r="27" spans="1:2" ht="16" thickBot="1" x14ac:dyDescent="0.25">
      <c r="A27" s="43">
        <v>12000</v>
      </c>
      <c r="B27" s="43">
        <v>1.6477900000000001E-3</v>
      </c>
    </row>
    <row r="28" spans="1:2" ht="16" thickBot="1" x14ac:dyDescent="0.25">
      <c r="A28" s="44">
        <v>12500</v>
      </c>
      <c r="B28" s="44">
        <v>1.6216799999999999E-3</v>
      </c>
    </row>
    <row r="29" spans="1:2" ht="16" thickBot="1" x14ac:dyDescent="0.25">
      <c r="A29" s="43">
        <v>13000</v>
      </c>
      <c r="B29" s="43">
        <v>1.59588E-3</v>
      </c>
    </row>
    <row r="30" spans="1:2" ht="16" thickBot="1" x14ac:dyDescent="0.25">
      <c r="A30" s="44">
        <v>13500</v>
      </c>
      <c r="B30" s="44">
        <v>1.5703900000000001E-3</v>
      </c>
    </row>
    <row r="31" spans="1:2" ht="16" thickBot="1" x14ac:dyDescent="0.25">
      <c r="A31" s="43">
        <v>14000</v>
      </c>
      <c r="B31" s="43">
        <v>1.5452199999999999E-3</v>
      </c>
    </row>
    <row r="32" spans="1:2" ht="16" thickBot="1" x14ac:dyDescent="0.25">
      <c r="A32" s="44">
        <v>14500</v>
      </c>
      <c r="B32" s="44">
        <v>1.5203599999999999E-3</v>
      </c>
    </row>
    <row r="33" spans="1:2" ht="16" thickBot="1" x14ac:dyDescent="0.25">
      <c r="A33" s="43">
        <v>15000</v>
      </c>
      <c r="B33" s="43">
        <v>1.49581E-3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289"/>
  <sheetViews>
    <sheetView zoomScale="120" zoomScaleNormal="120" workbookViewId="0">
      <selection activeCell="J216" sqref="J216:O289"/>
    </sheetView>
  </sheetViews>
  <sheetFormatPr baseColWidth="10" defaultColWidth="8.83203125" defaultRowHeight="15" x14ac:dyDescent="0.2"/>
  <cols>
    <col min="1" max="1" width="12.5" customWidth="1"/>
    <col min="10" max="10" width="14.5" customWidth="1"/>
  </cols>
  <sheetData>
    <row r="1" spans="1:17" x14ac:dyDescent="0.2">
      <c r="A1" t="s">
        <v>29</v>
      </c>
      <c r="J1" t="s">
        <v>23</v>
      </c>
      <c r="K1" t="s">
        <v>31</v>
      </c>
      <c r="L1" t="s">
        <v>25</v>
      </c>
      <c r="N1" t="s">
        <v>23</v>
      </c>
      <c r="O1" t="s">
        <v>25</v>
      </c>
      <c r="P1" t="s">
        <v>35</v>
      </c>
    </row>
    <row r="2" spans="1:17" x14ac:dyDescent="0.2">
      <c r="J2" t="s">
        <v>16</v>
      </c>
      <c r="L2" t="s">
        <v>26</v>
      </c>
      <c r="N2" t="s">
        <v>66</v>
      </c>
      <c r="O2" t="s">
        <v>65</v>
      </c>
      <c r="P2">
        <v>3.280839895013</v>
      </c>
      <c r="Q2" t="s">
        <v>34</v>
      </c>
    </row>
    <row r="3" spans="1:17" x14ac:dyDescent="0.2">
      <c r="N3">
        <f>J3*0.3342</f>
        <v>0</v>
      </c>
      <c r="O3">
        <f>L3*4.448</f>
        <v>0</v>
      </c>
      <c r="P3">
        <v>1.9438444924410001</v>
      </c>
      <c r="Q3" t="s">
        <v>36</v>
      </c>
    </row>
    <row r="4" spans="1:17" x14ac:dyDescent="0.2">
      <c r="N4">
        <f t="shared" ref="N4:N67" si="0">J4*0.3342</f>
        <v>0</v>
      </c>
      <c r="O4">
        <f t="shared" ref="O4:O67" si="1">L4*4.448</f>
        <v>0</v>
      </c>
      <c r="P4">
        <v>2.2369362920540001</v>
      </c>
      <c r="Q4" t="s">
        <v>37</v>
      </c>
    </row>
    <row r="5" spans="1:17" x14ac:dyDescent="0.2">
      <c r="N5">
        <f t="shared" si="0"/>
        <v>0</v>
      </c>
      <c r="O5">
        <f t="shared" si="1"/>
        <v>0</v>
      </c>
    </row>
    <row r="6" spans="1:17" x14ac:dyDescent="0.2">
      <c r="N6">
        <f t="shared" si="0"/>
        <v>0</v>
      </c>
      <c r="O6">
        <f t="shared" si="1"/>
        <v>0</v>
      </c>
    </row>
    <row r="7" spans="1:17" x14ac:dyDescent="0.2">
      <c r="N7">
        <f t="shared" si="0"/>
        <v>0</v>
      </c>
      <c r="O7">
        <f t="shared" si="1"/>
        <v>0</v>
      </c>
    </row>
    <row r="8" spans="1:17" x14ac:dyDescent="0.2">
      <c r="N8">
        <f t="shared" si="0"/>
        <v>0</v>
      </c>
      <c r="O8">
        <f t="shared" si="1"/>
        <v>0</v>
      </c>
    </row>
    <row r="9" spans="1:17" x14ac:dyDescent="0.2">
      <c r="N9">
        <f t="shared" si="0"/>
        <v>0</v>
      </c>
      <c r="O9">
        <f t="shared" si="1"/>
        <v>0</v>
      </c>
    </row>
    <row r="10" spans="1:17" x14ac:dyDescent="0.2">
      <c r="N10">
        <f t="shared" si="0"/>
        <v>0</v>
      </c>
      <c r="O10">
        <f t="shared" si="1"/>
        <v>0</v>
      </c>
    </row>
    <row r="11" spans="1:17" x14ac:dyDescent="0.2">
      <c r="J11">
        <v>40</v>
      </c>
      <c r="K11">
        <f>airplane!$B$17*airplane!$B$7/maximum_speed!J11+airplane!$B$11*maximum_speed!J11/airplane!$B$17</f>
        <v>2.9291745340662501</v>
      </c>
      <c r="L11">
        <f>airplane!$B$16*K11/(airplane!$B$9*airplane!$B$10)</f>
        <v>511.7765318010089</v>
      </c>
      <c r="N11">
        <f t="shared" si="0"/>
        <v>13.368</v>
      </c>
      <c r="O11">
        <f t="shared" si="1"/>
        <v>2276.3820134508878</v>
      </c>
    </row>
    <row r="12" spans="1:17" x14ac:dyDescent="0.2">
      <c r="J12">
        <f t="shared" ref="J12:J75" si="2">J11+5</f>
        <v>45</v>
      </c>
      <c r="K12">
        <f>airplane!$B$17*airplane!$B$7/maximum_speed!J12+airplane!$B$11*maximum_speed!J12/airplane!$B$17</f>
        <v>2.6038957794933641</v>
      </c>
      <c r="L12">
        <f>airplane!$B$16*K12/(airplane!$B$9*airplane!$B$10)</f>
        <v>454.94480977563302</v>
      </c>
      <c r="N12">
        <f t="shared" si="0"/>
        <v>15.039</v>
      </c>
      <c r="O12">
        <f t="shared" si="1"/>
        <v>2023.5945138820159</v>
      </c>
    </row>
    <row r="13" spans="1:17" x14ac:dyDescent="0.2">
      <c r="J13">
        <f t="shared" si="2"/>
        <v>50</v>
      </c>
      <c r="K13">
        <f>airplane!$B$17*airplane!$B$7/maximum_speed!J13+airplane!$B$11*maximum_speed!J13/airplane!$B$17</f>
        <v>2.3436923728104704</v>
      </c>
      <c r="L13">
        <f>airplane!$B$16*K13/(airplane!$B$9*airplane!$B$10)</f>
        <v>409.4828560797161</v>
      </c>
      <c r="N13">
        <f t="shared" si="0"/>
        <v>16.71</v>
      </c>
      <c r="O13">
        <f t="shared" si="1"/>
        <v>1821.3797438425775</v>
      </c>
    </row>
    <row r="14" spans="1:17" x14ac:dyDescent="0.2">
      <c r="J14">
        <f t="shared" si="2"/>
        <v>55</v>
      </c>
      <c r="K14">
        <f>airplane!$B$17*airplane!$B$7/maximum_speed!J14+airplane!$B$11*maximum_speed!J14/airplane!$B$17</f>
        <v>2.1308164918657524</v>
      </c>
      <c r="L14">
        <f>airplane!$B$16*K14/(airplane!$B$9*airplane!$B$10)</f>
        <v>372.28982480522382</v>
      </c>
      <c r="N14">
        <f t="shared" si="0"/>
        <v>18.381</v>
      </c>
      <c r="O14">
        <f t="shared" si="1"/>
        <v>1655.9451407336358</v>
      </c>
    </row>
    <row r="15" spans="1:17" x14ac:dyDescent="0.2">
      <c r="J15">
        <f t="shared" si="2"/>
        <v>60</v>
      </c>
      <c r="K15">
        <f>airplane!$B$17*airplane!$B$7/maximum_speed!J15+airplane!$B$11*maximum_speed!J15/airplane!$B$17</f>
        <v>1.9534362552246671</v>
      </c>
      <c r="L15">
        <f>airplane!$B$16*K15/(airplane!$B$9*airplane!$B$10)</f>
        <v>341.29848534680031</v>
      </c>
      <c r="N15">
        <f t="shared" si="0"/>
        <v>20.052</v>
      </c>
      <c r="O15">
        <f t="shared" si="1"/>
        <v>1518.0956628225679</v>
      </c>
    </row>
    <row r="16" spans="1:17" x14ac:dyDescent="0.2">
      <c r="J16">
        <f t="shared" si="2"/>
        <v>65</v>
      </c>
      <c r="K16">
        <f>airplane!$B$17*airplane!$B$7/maximum_speed!J16+airplane!$B$11*maximum_speed!J16/airplane!$B$17</f>
        <v>1.8033603603556063</v>
      </c>
      <c r="L16">
        <f>airplane!$B$16*K16/(airplane!$B$9*airplane!$B$10)</f>
        <v>315.07767805458326</v>
      </c>
      <c r="N16">
        <f t="shared" si="0"/>
        <v>21.722999999999999</v>
      </c>
      <c r="O16">
        <f t="shared" si="1"/>
        <v>1401.4655119867864</v>
      </c>
    </row>
    <row r="17" spans="1:15" x14ac:dyDescent="0.2">
      <c r="J17">
        <f t="shared" si="2"/>
        <v>70</v>
      </c>
      <c r="K17">
        <f>airplane!$B$17*airplane!$B$7/maximum_speed!J17+airplane!$B$11*maximum_speed!J17/airplane!$B$17</f>
        <v>1.6747378768788508</v>
      </c>
      <c r="L17">
        <f>airplane!$B$16*K17/(airplane!$B$9*airplane!$B$10)</f>
        <v>292.60514603581424</v>
      </c>
      <c r="N17">
        <f t="shared" si="0"/>
        <v>23.393999999999998</v>
      </c>
      <c r="O17">
        <f t="shared" si="1"/>
        <v>1301.5076895673019</v>
      </c>
    </row>
    <row r="18" spans="1:15" x14ac:dyDescent="0.2">
      <c r="J18">
        <f t="shared" si="2"/>
        <v>75</v>
      </c>
      <c r="K18">
        <f>airplane!$B$17*airplane!$B$7/maximum_speed!J18+airplane!$B$11*maximum_speed!J18/airplane!$B$17</f>
        <v>1.5632781225159391</v>
      </c>
      <c r="L18">
        <f>airplane!$B$16*K18/(airplane!$B$9*airplane!$B$10)</f>
        <v>273.13123423580367</v>
      </c>
      <c r="N18">
        <f t="shared" si="0"/>
        <v>25.065000000000001</v>
      </c>
      <c r="O18">
        <f t="shared" si="1"/>
        <v>1214.8877298808547</v>
      </c>
    </row>
    <row r="19" spans="1:15" x14ac:dyDescent="0.2">
      <c r="J19">
        <f t="shared" si="2"/>
        <v>80</v>
      </c>
      <c r="K19">
        <f>airplane!$B$17*airplane!$B$7/maximum_speed!J19+airplane!$B$11*maximum_speed!J19/airplane!$B$17</f>
        <v>1.4657630855580257</v>
      </c>
      <c r="L19">
        <f>airplane!$B$16*K19/(airplane!$B$9*airplane!$B$10)</f>
        <v>256.09370136353425</v>
      </c>
      <c r="N19">
        <f t="shared" si="0"/>
        <v>26.736000000000001</v>
      </c>
      <c r="O19">
        <f t="shared" si="1"/>
        <v>1139.1047836650005</v>
      </c>
    </row>
    <row r="20" spans="1:15" x14ac:dyDescent="0.2">
      <c r="J20">
        <f t="shared" si="2"/>
        <v>85</v>
      </c>
      <c r="K20">
        <f>airplane!$B$17*airplane!$B$7/maximum_speed!J20+airplane!$B$11*maximum_speed!J20/airplane!$B$17</f>
        <v>1.3797319335218758</v>
      </c>
      <c r="L20">
        <f>airplane!$B$16*K20/(airplane!$B$9*airplane!$B$10)</f>
        <v>241.06259819646357</v>
      </c>
      <c r="N20">
        <f t="shared" si="0"/>
        <v>28.407</v>
      </c>
      <c r="O20">
        <f t="shared" si="1"/>
        <v>1072.24643677787</v>
      </c>
    </row>
    <row r="21" spans="1:15" x14ac:dyDescent="0.2">
      <c r="J21">
        <f t="shared" si="2"/>
        <v>90</v>
      </c>
      <c r="K21">
        <f>airplane!$B$17*airplane!$B$7/maximum_speed!J21+airplane!$B$11*maximum_speed!J21/airplane!$B$17</f>
        <v>1.3032706855871954</v>
      </c>
      <c r="L21">
        <f>airplane!$B$16*K21/(airplane!$B$9*airplane!$B$10)</f>
        <v>227.70351978372506</v>
      </c>
      <c r="N21">
        <f t="shared" si="0"/>
        <v>30.077999999999999</v>
      </c>
      <c r="O21">
        <f t="shared" si="1"/>
        <v>1012.8252559980092</v>
      </c>
    </row>
    <row r="22" spans="1:15" x14ac:dyDescent="0.2">
      <c r="J22">
        <f t="shared" si="2"/>
        <v>95</v>
      </c>
      <c r="K22">
        <f>airplane!$B$17*airplane!$B$7/maximum_speed!J22+airplane!$B$11*maximum_speed!J22/airplane!$B$17</f>
        <v>1.2348683042642785</v>
      </c>
      <c r="L22">
        <f>airplane!$B$16*K22/(airplane!$B$9*airplane!$B$10)</f>
        <v>215.75246221673996</v>
      </c>
      <c r="N22">
        <f t="shared" si="0"/>
        <v>31.748999999999999</v>
      </c>
      <c r="O22">
        <f t="shared" si="1"/>
        <v>959.66695194005945</v>
      </c>
    </row>
    <row r="23" spans="1:15" x14ac:dyDescent="0.2">
      <c r="J23">
        <f t="shared" si="2"/>
        <v>100</v>
      </c>
      <c r="K23">
        <f>airplane!$B$17*airplane!$B$7/maximum_speed!J23+airplane!$B$11*maximum_speed!J23/airplane!$B$17</f>
        <v>1.1733159595613611</v>
      </c>
      <c r="L23">
        <f>airplane!$B$16*K23/(airplane!$B$9*airplane!$B$10)</f>
        <v>204.99822236864534</v>
      </c>
      <c r="N23">
        <f t="shared" si="0"/>
        <v>33.42</v>
      </c>
      <c r="O23">
        <f t="shared" si="1"/>
        <v>911.83209309573454</v>
      </c>
    </row>
    <row r="24" spans="1:15" x14ac:dyDescent="0.2">
      <c r="J24">
        <f t="shared" si="2"/>
        <v>105</v>
      </c>
      <c r="K24">
        <f>airplane!$B$17*airplane!$B$7/maximum_speed!J24+airplane!$B$11*maximum_speed!J24/airplane!$B$17</f>
        <v>1.1176350748184427</v>
      </c>
      <c r="L24">
        <f>airplane!$B$16*K24/(airplane!$B$9*airplane!$B$10)</f>
        <v>195.26982627959961</v>
      </c>
      <c r="N24">
        <f t="shared" si="0"/>
        <v>35.091000000000001</v>
      </c>
      <c r="O24">
        <f t="shared" si="1"/>
        <v>868.56018729165919</v>
      </c>
    </row>
    <row r="25" spans="1:15" x14ac:dyDescent="0.2">
      <c r="J25">
        <f t="shared" si="2"/>
        <v>110</v>
      </c>
      <c r="K25">
        <f>airplane!$B$17*airplane!$B$7/maximum_speed!J25+airplane!$B$11*maximum_speed!J25/airplane!$B$17</f>
        <v>1.0670249964046148</v>
      </c>
      <c r="L25">
        <f>airplane!$B$16*K25/(airplane!$B$9*airplane!$B$10)</f>
        <v>186.42738616427795</v>
      </c>
      <c r="N25">
        <f t="shared" si="0"/>
        <v>36.762</v>
      </c>
      <c r="O25">
        <f t="shared" si="1"/>
        <v>829.22901365870837</v>
      </c>
    </row>
    <row r="26" spans="1:15" x14ac:dyDescent="0.2">
      <c r="J26">
        <f t="shared" si="2"/>
        <v>115</v>
      </c>
      <c r="K26">
        <f>airplane!$B$17*airplane!$B$7/maximum_speed!J26+airplane!$B$11*maximum_speed!J26/airplane!$B$17</f>
        <v>1.0208243147986915</v>
      </c>
      <c r="L26">
        <f>airplane!$B$16*K26/(airplane!$B$9*airplane!$B$10)</f>
        <v>178.35534254784685</v>
      </c>
      <c r="N26">
        <f t="shared" si="0"/>
        <v>38.433</v>
      </c>
      <c r="O26">
        <f t="shared" si="1"/>
        <v>793.3245636528228</v>
      </c>
    </row>
    <row r="27" spans="1:15" x14ac:dyDescent="0.2">
      <c r="J27">
        <f t="shared" si="2"/>
        <v>120</v>
      </c>
      <c r="K27">
        <f>airplane!$B$17*airplane!$B$7/maximum_speed!J27+airplane!$B$11*maximum_speed!J27/airplane!$B$17</f>
        <v>0.97848185539968469</v>
      </c>
      <c r="L27">
        <f>airplane!$B$16*K27/(airplane!$B$9*airplane!$B$10)</f>
        <v>170.95739586794488</v>
      </c>
      <c r="N27">
        <f t="shared" si="0"/>
        <v>40.103999999999999</v>
      </c>
      <c r="O27">
        <f t="shared" si="1"/>
        <v>760.41849682061888</v>
      </c>
    </row>
    <row r="28" spans="1:15" x14ac:dyDescent="0.2">
      <c r="J28">
        <f t="shared" si="2"/>
        <v>125</v>
      </c>
      <c r="K28">
        <f>airplane!$B$17*airplane!$B$7/maximum_speed!J28+airplane!$B$11*maximum_speed!J28/airplane!$B$17</f>
        <v>0.9395346315427644</v>
      </c>
      <c r="L28">
        <f>airplane!$B$16*K28/(airplane!$B$9*airplane!$B$10)</f>
        <v>164.15265449218862</v>
      </c>
      <c r="N28">
        <f t="shared" si="0"/>
        <v>41.774999999999999</v>
      </c>
      <c r="O28">
        <f t="shared" si="1"/>
        <v>730.15100718125507</v>
      </c>
    </row>
    <row r="29" spans="1:15" x14ac:dyDescent="0.2">
      <c r="J29">
        <f t="shared" si="2"/>
        <v>130</v>
      </c>
      <c r="K29">
        <f>airplane!$B$17*airplane!$B$7/maximum_speed!J29+airplane!$B$11*maximum_speed!J29/airplane!$B$17</f>
        <v>0.90359088528076681</v>
      </c>
      <c r="L29">
        <f>airplane!$B$16*K29/(airplane!$B$9*airplane!$B$10)</f>
        <v>157.87267165471508</v>
      </c>
      <c r="N29">
        <f t="shared" si="0"/>
        <v>43.445999999999998</v>
      </c>
      <c r="O29">
        <f t="shared" si="1"/>
        <v>702.21764352017271</v>
      </c>
    </row>
    <row r="30" spans="1:15" x14ac:dyDescent="0.2">
      <c r="J30">
        <f t="shared" si="2"/>
        <v>135</v>
      </c>
      <c r="K30">
        <f>airplane!$B$17*airplane!$B$7/maximum_speed!J30+airplane!$B$11*maximum_speed!J30/airplane!$B$17</f>
        <v>0.87031689688092284</v>
      </c>
      <c r="L30">
        <f>airplane!$B$16*K30/(airplane!$B$9*airplane!$B$10)</f>
        <v>152.05914085127063</v>
      </c>
      <c r="N30">
        <f t="shared" si="0"/>
        <v>45.116999999999997</v>
      </c>
      <c r="O30">
        <f t="shared" si="1"/>
        <v>676.35905850645179</v>
      </c>
    </row>
    <row r="31" spans="1:15" x14ac:dyDescent="0.2">
      <c r="A31" t="s">
        <v>27</v>
      </c>
      <c r="J31">
        <f>J30+5</f>
        <v>140</v>
      </c>
      <c r="K31">
        <f>airplane!$B$17*airplane!$B$7/maximum_speed!J31+airplane!$B$11*maximum_speed!J31/airplane!$B$17</f>
        <v>0.83942662085800157</v>
      </c>
      <c r="L31">
        <f>airplane!$B$16*K31/(airplane!$B$9*airplane!$B$10)</f>
        <v>146.66208507820932</v>
      </c>
      <c r="N31">
        <f t="shared" si="0"/>
        <v>46.787999999999997</v>
      </c>
      <c r="O31">
        <f t="shared" si="1"/>
        <v>652.35295442787515</v>
      </c>
    </row>
    <row r="32" spans="1:15" x14ac:dyDescent="0.2">
      <c r="A32" t="s">
        <v>28</v>
      </c>
      <c r="J32">
        <f t="shared" si="2"/>
        <v>145</v>
      </c>
      <c r="K32">
        <f>airplane!$B$17*airplane!$B$7/maximum_speed!J32+airplane!$B$11*maximum_speed!J32/airplane!$B$17</f>
        <v>0.81067346627645931</v>
      </c>
      <c r="L32">
        <f>airplane!$B$16*K32/(airplane!$B$9*airplane!$B$10)</f>
        <v>141.63842071169833</v>
      </c>
      <c r="N32">
        <f t="shared" si="0"/>
        <v>48.458999999999996</v>
      </c>
      <c r="O32">
        <f t="shared" si="1"/>
        <v>630.00769532563424</v>
      </c>
    </row>
    <row r="33" spans="10:15" x14ac:dyDescent="0.2">
      <c r="J33">
        <f t="shared" si="2"/>
        <v>150</v>
      </c>
      <c r="K33">
        <f>airplane!$B$17*airplane!$B$7/maximum_speed!J33+airplane!$B$11*maximum_speed!J33/airplane!$B$17</f>
        <v>0.78384372099215838</v>
      </c>
      <c r="L33">
        <f>airplane!$B$16*K33/(airplane!$B$9*airplane!$B$10)</f>
        <v>136.95080861108275</v>
      </c>
      <c r="N33">
        <f t="shared" si="0"/>
        <v>50.13</v>
      </c>
      <c r="O33">
        <f t="shared" si="1"/>
        <v>609.15719670209614</v>
      </c>
    </row>
    <row r="34" spans="10:15" x14ac:dyDescent="0.2">
      <c r="J34">
        <f t="shared" si="2"/>
        <v>155</v>
      </c>
      <c r="K34">
        <f>airplane!$B$17*airplane!$B$7/maximum_speed!J34+airplane!$B$11*maximum_speed!J34/airplane!$B$17</f>
        <v>0.75875124862149446</v>
      </c>
      <c r="L34">
        <f>airplane!$B$16*K34/(airplane!$B$9*airplane!$B$10)</f>
        <v>132.56672758934033</v>
      </c>
      <c r="N34">
        <f t="shared" si="0"/>
        <v>51.801000000000002</v>
      </c>
      <c r="O34">
        <f t="shared" si="1"/>
        <v>589.65680431738588</v>
      </c>
    </row>
    <row r="35" spans="10:15" x14ac:dyDescent="0.2">
      <c r="J35">
        <f t="shared" si="2"/>
        <v>160</v>
      </c>
      <c r="K35">
        <f>airplane!$B$17*airplane!$B$7/maximum_speed!J35+airplane!$B$11*maximum_speed!J35/airplane!$B$17</f>
        <v>0.73523317982881431</v>
      </c>
      <c r="L35">
        <f>airplane!$B$16*K35/(airplane!$B$9*airplane!$B$10)</f>
        <v>128.45772160782678</v>
      </c>
      <c r="N35">
        <f t="shared" si="0"/>
        <v>53.472000000000001</v>
      </c>
      <c r="O35">
        <f t="shared" si="1"/>
        <v>571.37994571161357</v>
      </c>
    </row>
    <row r="36" spans="10:15" x14ac:dyDescent="0.2">
      <c r="J36">
        <f t="shared" si="2"/>
        <v>165</v>
      </c>
      <c r="K36">
        <f>airplane!$B$17*airplane!$B$7/maximum_speed!J36+airplane!$B$11*maximum_speed!J36/airplane!$B$17</f>
        <v>0.71314638701611932</v>
      </c>
      <c r="L36">
        <f>airplane!$B$16*K36/(airplane!$B$9*airplane!$B$10)</f>
        <v>124.59878384470309</v>
      </c>
      <c r="N36">
        <f t="shared" si="0"/>
        <v>55.143000000000001</v>
      </c>
      <c r="O36">
        <f t="shared" si="1"/>
        <v>554.21539054123946</v>
      </c>
    </row>
    <row r="37" spans="10:15" x14ac:dyDescent="0.2">
      <c r="J37">
        <f t="shared" si="2"/>
        <v>170</v>
      </c>
      <c r="K37">
        <f>airplane!$B$17*airplane!$B$7/maximum_speed!J37+airplane!$B$11*maximum_speed!J37/airplane!$B$17</f>
        <v>0.69236458112635191</v>
      </c>
      <c r="L37">
        <f>airplane!$B$16*K37/(airplane!$B$9*airplane!$B$10)</f>
        <v>120.96784945717015</v>
      </c>
      <c r="N37">
        <f t="shared" si="0"/>
        <v>56.814</v>
      </c>
      <c r="O37">
        <f t="shared" si="1"/>
        <v>538.06499438549281</v>
      </c>
    </row>
    <row r="38" spans="10:15" x14ac:dyDescent="0.2">
      <c r="J38">
        <f t="shared" si="2"/>
        <v>175</v>
      </c>
      <c r="K38">
        <f>airplane!$B$17*airplane!$B$7/maximum_speed!J38+airplane!$B$11*maximum_speed!J38/airplane!$B$17</f>
        <v>0.67277590613754701</v>
      </c>
      <c r="L38">
        <f>airplane!$B$16*K38/(airplane!$B$9*airplane!$B$10)</f>
        <v>117.54537529874877</v>
      </c>
      <c r="N38">
        <f t="shared" si="0"/>
        <v>58.484999999999999</v>
      </c>
      <c r="O38">
        <f t="shared" si="1"/>
        <v>522.84182932883459</v>
      </c>
    </row>
    <row r="39" spans="10:15" x14ac:dyDescent="0.2">
      <c r="J39">
        <f t="shared" si="2"/>
        <v>180</v>
      </c>
      <c r="K39">
        <f>airplane!$B$17*airplane!$B$7/maximum_speed!J39+airplane!$B$11*maximum_speed!J39/airplane!$B$17</f>
        <v>0.65428093447462432</v>
      </c>
      <c r="L39">
        <f>airplane!$B$16*K39/(airplane!$B$9*airplane!$B$10)</f>
        <v>114.31398968367964</v>
      </c>
      <c r="N39">
        <f t="shared" si="0"/>
        <v>60.155999999999999</v>
      </c>
      <c r="O39">
        <f t="shared" si="1"/>
        <v>508.46862611300708</v>
      </c>
    </row>
    <row r="40" spans="10:15" x14ac:dyDescent="0.2">
      <c r="J40">
        <f t="shared" si="2"/>
        <v>185</v>
      </c>
      <c r="K40">
        <f>airplane!$B$17*airplane!$B$7/maximum_speed!J40+airplane!$B$11*maximum_speed!J40/airplane!$B$17</f>
        <v>0.63679098748953922</v>
      </c>
      <c r="L40">
        <f>airplane!$B$16*K40/(airplane!$B$9*airplane!$B$10)</f>
        <v>111.25819894628552</v>
      </c>
      <c r="N40">
        <f t="shared" si="0"/>
        <v>61.826999999999998</v>
      </c>
      <c r="O40">
        <f t="shared" si="1"/>
        <v>494.87646891307804</v>
      </c>
    </row>
    <row r="41" spans="10:15" x14ac:dyDescent="0.2">
      <c r="J41">
        <f t="shared" si="2"/>
        <v>190</v>
      </c>
      <c r="K41">
        <f>airplane!$B$17*airplane!$B$7/maximum_speed!J41+airplane!$B$11*maximum_speed!J41/airplane!$B$17</f>
        <v>0.62022672112877852</v>
      </c>
      <c r="L41">
        <f>airplane!$B$16*K41/(airplane!$B$9*airplane!$B$10)</f>
        <v>108.36414033306582</v>
      </c>
      <c r="N41">
        <f t="shared" si="0"/>
        <v>63.497999999999998</v>
      </c>
      <c r="O41">
        <f t="shared" si="1"/>
        <v>482.00369620147683</v>
      </c>
    </row>
    <row r="42" spans="10:15" x14ac:dyDescent="0.2">
      <c r="J42">
        <f t="shared" si="2"/>
        <v>195</v>
      </c>
      <c r="K42">
        <f>airplane!$B$17*airplane!$B$7/maximum_speed!J42+airplane!$B$11*maximum_speed!J42/airplane!$B$17</f>
        <v>0.60451692919047084</v>
      </c>
      <c r="L42">
        <f>airplane!$B$16*K42/(airplane!$B$9*airplane!$B$10)</f>
        <v>105.61937291139169</v>
      </c>
      <c r="N42">
        <f t="shared" si="0"/>
        <v>65.168999999999997</v>
      </c>
      <c r="O42">
        <f t="shared" si="1"/>
        <v>469.79497070987031</v>
      </c>
    </row>
    <row r="43" spans="10:15" x14ac:dyDescent="0.2">
      <c r="J43">
        <f t="shared" si="2"/>
        <v>200</v>
      </c>
      <c r="K43">
        <f>airplane!$B$17*airplane!$B$7/maximum_speed!J43+airplane!$B$11*maximum_speed!J43/airplane!$B$17</f>
        <v>0.58959752609293226</v>
      </c>
      <c r="L43">
        <f>airplane!$B$16*K43/(airplane!$B$9*airplane!$B$10)</f>
        <v>103.0126998418972</v>
      </c>
      <c r="N43">
        <f t="shared" si="0"/>
        <v>66.84</v>
      </c>
      <c r="O43">
        <f t="shared" si="1"/>
        <v>458.20048889675877</v>
      </c>
    </row>
    <row r="44" spans="10:15" x14ac:dyDescent="0.2">
      <c r="J44">
        <f t="shared" si="2"/>
        <v>205</v>
      </c>
      <c r="K44">
        <f>airplane!$B$17*airplane!$B$7/maximum_speed!J44+airplane!$B$11*maximum_speed!J44/airplane!$B$17</f>
        <v>0.57541067850635053</v>
      </c>
      <c r="L44">
        <f>airplane!$B$16*K44/(airplane!$B$9*airplane!$B$10)</f>
        <v>100.53401665978878</v>
      </c>
      <c r="N44">
        <f t="shared" si="0"/>
        <v>68.510999999999996</v>
      </c>
      <c r="O44">
        <f t="shared" si="1"/>
        <v>447.17530610274054</v>
      </c>
    </row>
    <row r="45" spans="10:15" x14ac:dyDescent="0.2">
      <c r="J45">
        <f t="shared" si="2"/>
        <v>210</v>
      </c>
      <c r="K45">
        <f>airplane!$B$17*airplane!$B$7/maximum_speed!J45+airplane!$B$11*maximum_speed!J45/airplane!$B$17</f>
        <v>0.56190406103708568</v>
      </c>
      <c r="L45">
        <f>airplane!$B$16*K45/(airplane!$B$9*airplane!$B$10)</f>
        <v>98.174181230253083</v>
      </c>
      <c r="N45">
        <f t="shared" si="0"/>
        <v>70.182000000000002</v>
      </c>
      <c r="O45">
        <f t="shared" si="1"/>
        <v>436.67875811216578</v>
      </c>
    </row>
    <row r="46" spans="10:15" x14ac:dyDescent="0.2">
      <c r="J46">
        <f t="shared" si="2"/>
        <v>215</v>
      </c>
      <c r="K46">
        <f>airplane!$B$17*airplane!$B$7/maximum_speed!J46+airplane!$B$11*maximum_speed!J46/airplane!$B$17</f>
        <v>0.54903021576997635</v>
      </c>
      <c r="L46">
        <f>airplane!$B$16*K46/(airplane!$B$9*airplane!$B$10)</f>
        <v>95.924901849622273</v>
      </c>
      <c r="N46">
        <f t="shared" si="0"/>
        <v>71.852999999999994</v>
      </c>
      <c r="O46">
        <f t="shared" si="1"/>
        <v>426.67396342711993</v>
      </c>
    </row>
    <row r="47" spans="10:15" x14ac:dyDescent="0.2">
      <c r="J47">
        <f t="shared" si="2"/>
        <v>220</v>
      </c>
      <c r="K47">
        <f>airplane!$B$17*airplane!$B$7/maximum_speed!J47+airplane!$B$11*maximum_speed!J47/airplane!$B$17</f>
        <v>0.53674599914578436</v>
      </c>
      <c r="L47">
        <f>airplane!$B$16*K47/(airplane!$B$9*airplane!$B$10)</f>
        <v>93.778640605470997</v>
      </c>
      <c r="N47">
        <f t="shared" si="0"/>
        <v>73.524000000000001</v>
      </c>
      <c r="O47">
        <f t="shared" si="1"/>
        <v>417.12739341313505</v>
      </c>
    </row>
    <row r="48" spans="10:15" x14ac:dyDescent="0.2">
      <c r="J48">
        <f t="shared" si="2"/>
        <v>225</v>
      </c>
      <c r="K48">
        <f>airplane!$B$17*airplane!$B$7/maximum_speed!J48+airplane!$B$11*maximum_speed!J48/airplane!$B$17</f>
        <v>0.52501210258831532</v>
      </c>
      <c r="L48">
        <f>airplane!$B$16*K48/(airplane!$B$9*airplane!$B$10)</f>
        <v>91.728529622033946</v>
      </c>
      <c r="N48">
        <f t="shared" si="0"/>
        <v>75.194999999999993</v>
      </c>
      <c r="O48">
        <f t="shared" si="1"/>
        <v>408.00849975880703</v>
      </c>
    </row>
    <row r="49" spans="10:15" x14ac:dyDescent="0.2">
      <c r="J49">
        <f t="shared" si="2"/>
        <v>230</v>
      </c>
      <c r="K49">
        <f>airplane!$B$17*airplane!$B$7/maximum_speed!J49+airplane!$B$11*maximum_speed!J49/airplane!$B$17</f>
        <v>0.51379263565843536</v>
      </c>
      <c r="L49">
        <f>airplane!$B$16*K49/(airplane!$B$9*airplane!$B$10)</f>
        <v>89.768298230134164</v>
      </c>
      <c r="N49">
        <f t="shared" si="0"/>
        <v>76.866</v>
      </c>
      <c r="O49">
        <f t="shared" si="1"/>
        <v>399.28939052763678</v>
      </c>
    </row>
    <row r="50" spans="10:15" x14ac:dyDescent="0.2">
      <c r="J50">
        <f t="shared" si="2"/>
        <v>235</v>
      </c>
      <c r="K50">
        <f>airplane!$B$17*airplane!$B$7/maximum_speed!J50+airplane!$B$11*maximum_speed!J50/airplane!$B$17</f>
        <v>0.50305476242246816</v>
      </c>
      <c r="L50">
        <f>airplane!$B$16*K50/(airplane!$B$9*airplane!$B$10)</f>
        <v>87.892209434567079</v>
      </c>
      <c r="N50">
        <f t="shared" si="0"/>
        <v>78.537000000000006</v>
      </c>
      <c r="O50">
        <f t="shared" si="1"/>
        <v>390.94454756495441</v>
      </c>
    </row>
    <row r="51" spans="10:15" x14ac:dyDescent="0.2">
      <c r="J51">
        <f t="shared" si="2"/>
        <v>240</v>
      </c>
      <c r="K51">
        <f>airplane!$B$17*airplane!$B$7/maximum_speed!J51+airplane!$B$11*maximum_speed!J51/airplane!$B$17</f>
        <v>0.49276838327454447</v>
      </c>
      <c r="L51">
        <f>airplane!$B$16*K51/(airplane!$B$9*airplane!$B$10)</f>
        <v>86.095004323061914</v>
      </c>
      <c r="N51">
        <f t="shared" si="0"/>
        <v>80.207999999999998</v>
      </c>
      <c r="O51">
        <f t="shared" si="1"/>
        <v>382.95057922897945</v>
      </c>
    </row>
    <row r="52" spans="10:15" x14ac:dyDescent="0.2">
      <c r="J52">
        <f t="shared" si="2"/>
        <v>245</v>
      </c>
      <c r="K52">
        <f>airplane!$B$17*airplane!$B$7/maximum_speed!J52+airplane!$B$11*maximum_speed!J52/airplane!$B$17</f>
        <v>0.48290585571947781</v>
      </c>
      <c r="L52">
        <f>airplane!$B$16*K52/(airplane!$B$9*airplane!$B$10)</f>
        <v>84.371853282308763</v>
      </c>
      <c r="N52">
        <f t="shared" si="0"/>
        <v>81.879000000000005</v>
      </c>
      <c r="O52">
        <f t="shared" si="1"/>
        <v>375.28600339970939</v>
      </c>
    </row>
    <row r="53" spans="10:15" x14ac:dyDescent="0.2">
      <c r="J53">
        <f t="shared" si="2"/>
        <v>250</v>
      </c>
      <c r="K53">
        <f>airplane!$B$17*airplane!$B$7/maximum_speed!J53+airplane!$B$11*maximum_speed!J53/airplane!$B$17</f>
        <v>0.47344174866169692</v>
      </c>
      <c r="L53">
        <f>airplane!$B$16*K53/(airplane!$B$9*airplane!$B$10)</f>
        <v>82.718313068062514</v>
      </c>
      <c r="N53">
        <f t="shared" si="0"/>
        <v>83.55</v>
      </c>
      <c r="O53">
        <f t="shared" si="1"/>
        <v>367.93105652674211</v>
      </c>
    </row>
    <row r="54" spans="10:15" x14ac:dyDescent="0.2">
      <c r="J54">
        <f t="shared" si="2"/>
        <v>255</v>
      </c>
      <c r="K54">
        <f>airplane!$B$17*airplane!$B$7/maximum_speed!J54+airplane!$B$11*maximum_speed!J54/airplane!$B$17</f>
        <v>0.46435262560136131</v>
      </c>
      <c r="L54">
        <f>airplane!$B$16*K54/(airplane!$B$9*airplane!$B$10)</f>
        <v>81.13028892582274</v>
      </c>
      <c r="N54">
        <f t="shared" si="0"/>
        <v>85.221000000000004</v>
      </c>
      <c r="O54">
        <f t="shared" si="1"/>
        <v>360.86752514205961</v>
      </c>
    </row>
    <row r="55" spans="10:15" x14ac:dyDescent="0.2">
      <c r="J55">
        <f t="shared" si="2"/>
        <v>260</v>
      </c>
      <c r="K55">
        <f>airplane!$B$17*airplane!$B$7/maximum_speed!J55+airplane!$B$11*maximum_speed!J55/airplane!$B$17</f>
        <v>0.45561685284631076</v>
      </c>
      <c r="L55">
        <f>airplane!$B$16*K55/(airplane!$B$9*airplane!$B$10)</f>
        <v>79.604001082204476</v>
      </c>
      <c r="N55">
        <f t="shared" si="0"/>
        <v>86.891999999999996</v>
      </c>
      <c r="O55">
        <f t="shared" si="1"/>
        <v>354.07859681364556</v>
      </c>
    </row>
    <row r="56" spans="10:15" x14ac:dyDescent="0.2">
      <c r="J56">
        <f t="shared" si="2"/>
        <v>265</v>
      </c>
      <c r="K56">
        <f>airplane!$B$17*airplane!$B$7/maximum_speed!J56+airplane!$B$11*maximum_speed!J56/airplane!$B$17</f>
        <v>0.44721442943586864</v>
      </c>
      <c r="L56">
        <f>airplane!$B$16*K56/(airplane!$B$9*airplane!$B$10)</f>
        <v>78.135955029738554</v>
      </c>
      <c r="N56">
        <f t="shared" si="0"/>
        <v>88.563000000000002</v>
      </c>
      <c r="O56">
        <f t="shared" si="1"/>
        <v>347.54872797227711</v>
      </c>
    </row>
    <row r="57" spans="10:15" x14ac:dyDescent="0.2">
      <c r="J57">
        <f t="shared" si="2"/>
        <v>270</v>
      </c>
      <c r="K57">
        <f>airplane!$B$17*airplane!$B$7/maximum_speed!J57+airplane!$B$11*maximum_speed!J57/airplane!$B$17</f>
        <v>0.43912683596200131</v>
      </c>
      <c r="L57">
        <f>airplane!$B$16*K57/(airplane!$B$9*airplane!$B$10)</f>
        <v>76.722915113360969</v>
      </c>
      <c r="N57">
        <f t="shared" si="0"/>
        <v>90.233999999999995</v>
      </c>
      <c r="O57">
        <f t="shared" si="1"/>
        <v>341.26352642422961</v>
      </c>
    </row>
    <row r="58" spans="10:15" x14ac:dyDescent="0.2">
      <c r="J58">
        <f t="shared" si="2"/>
        <v>275</v>
      </c>
      <c r="K58">
        <f>airplane!$B$17*airplane!$B$7/maximum_speed!J58+airplane!$B$11*maximum_speed!J58/airplane!$B$17</f>
        <v>0.43133689988271368</v>
      </c>
      <c r="L58">
        <f>airplane!$B$16*K58/(airplane!$B$9*airplane!$B$10)</f>
        <v>75.361880998376009</v>
      </c>
      <c r="N58">
        <f t="shared" si="0"/>
        <v>91.905000000000001</v>
      </c>
      <c r="O58">
        <f t="shared" si="1"/>
        <v>335.20964668077653</v>
      </c>
    </row>
    <row r="59" spans="10:15" x14ac:dyDescent="0.2">
      <c r="J59">
        <f t="shared" si="2"/>
        <v>280</v>
      </c>
      <c r="K59">
        <f>airplane!$B$17*airplane!$B$7/maximum_speed!J59+airplane!$B$11*maximum_speed!J59/airplane!$B$17</f>
        <v>0.42382867526615325</v>
      </c>
      <c r="L59">
        <f>airplane!$B$16*K59/(airplane!$B$9*airplane!$B$10)</f>
        <v>74.050066659709032</v>
      </c>
      <c r="N59">
        <f t="shared" si="0"/>
        <v>93.575999999999993</v>
      </c>
      <c r="O59">
        <f t="shared" si="1"/>
        <v>329.3746965023858</v>
      </c>
    </row>
    <row r="60" spans="10:15" x14ac:dyDescent="0.2">
      <c r="J60">
        <f t="shared" si="2"/>
        <v>285</v>
      </c>
      <c r="K60">
        <f>airplane!$B$17*airplane!$B$7/maximum_speed!J60+airplane!$B$11*maximum_speed!J60/airplane!$B$17</f>
        <v>0.41658733519322921</v>
      </c>
      <c r="L60">
        <f>airplane!$B$16*K60/(airplane!$B$9*airplane!$B$10)</f>
        <v>72.784881582817022</v>
      </c>
      <c r="N60">
        <f t="shared" si="0"/>
        <v>95.247</v>
      </c>
      <c r="O60">
        <f t="shared" si="1"/>
        <v>323.74715328037013</v>
      </c>
    </row>
    <row r="61" spans="10:15" x14ac:dyDescent="0.2">
      <c r="J61">
        <f t="shared" si="2"/>
        <v>290</v>
      </c>
      <c r="K61">
        <f>airplane!$B$17*airplane!$B$7/maximum_speed!J61+airplane!$B$11*maximum_speed!J61/airplane!$B$17</f>
        <v>0.40959907529099476</v>
      </c>
      <c r="L61">
        <f>airplane!$B$16*K61/(airplane!$B$9*airplane!$B$10)</f>
        <v>71.563913909332285</v>
      </c>
      <c r="N61">
        <f t="shared" si="0"/>
        <v>96.917999999999992</v>
      </c>
      <c r="O61">
        <f t="shared" si="1"/>
        <v>318.31628906871003</v>
      </c>
    </row>
    <row r="62" spans="10:15" x14ac:dyDescent="0.2">
      <c r="J62">
        <f t="shared" si="2"/>
        <v>295</v>
      </c>
      <c r="K62">
        <f>airplane!$B$17*airplane!$B$7/maximum_speed!J62+airplane!$B$11*maximum_speed!J62/airplane!$B$17</f>
        <v>0.40285102707619458</v>
      </c>
      <c r="L62">
        <f>airplane!$B$16*K62/(airplane!$B$9*airplane!$B$10)</f>
        <v>70.384915296708698</v>
      </c>
      <c r="N62">
        <f t="shared" si="0"/>
        <v>98.588999999999999</v>
      </c>
      <c r="O62">
        <f t="shared" si="1"/>
        <v>313.07210323976034</v>
      </c>
    </row>
    <row r="63" spans="10:15" x14ac:dyDescent="0.2">
      <c r="J63">
        <f t="shared" si="2"/>
        <v>300</v>
      </c>
      <c r="K63">
        <f>airplane!$B$17*airplane!$B$7/maximum_speed!J63+airplane!$B$11*maximum_speed!J63/airplane!$B$17</f>
        <v>0.39633117996445683</v>
      </c>
      <c r="L63">
        <f>airplane!$B$16*K63/(airplane!$B$9*airplane!$B$10)</f>
        <v>69.245787291903198</v>
      </c>
      <c r="N63">
        <f t="shared" si="0"/>
        <v>100.26</v>
      </c>
      <c r="O63">
        <f t="shared" si="1"/>
        <v>308.00526187438544</v>
      </c>
    </row>
    <row r="64" spans="10:15" x14ac:dyDescent="0.2">
      <c r="J64">
        <f t="shared" si="2"/>
        <v>305</v>
      </c>
      <c r="K64">
        <f>airplane!$B$17*airplane!$B$7/maximum_speed!J64+airplane!$B$11*maximum_speed!J64/airplane!$B$17</f>
        <v>0.390028310950713</v>
      </c>
      <c r="L64">
        <f>airplane!$B$16*K64/(airplane!$B$9*airplane!$B$10)</f>
        <v>68.144569045350977</v>
      </c>
      <c r="N64">
        <f t="shared" si="0"/>
        <v>101.931</v>
      </c>
      <c r="O64">
        <f t="shared" si="1"/>
        <v>303.10704311372115</v>
      </c>
    </row>
    <row r="65" spans="10:15" x14ac:dyDescent="0.2">
      <c r="J65">
        <f t="shared" si="2"/>
        <v>310</v>
      </c>
      <c r="K65">
        <f>airplane!$B$17*airplane!$B$7/maximum_speed!J65+airplane!$B$11*maximum_speed!J65/airplane!$B$17</f>
        <v>0.3839319210947375</v>
      </c>
      <c r="L65">
        <f>airplane!$B$16*K65/(airplane!$B$9*airplane!$B$10)</f>
        <v>67.079426213910722</v>
      </c>
      <c r="N65">
        <f t="shared" si="0"/>
        <v>103.602</v>
      </c>
      <c r="O65">
        <f t="shared" si="1"/>
        <v>298.36928779947493</v>
      </c>
    </row>
    <row r="66" spans="10:15" x14ac:dyDescent="0.2">
      <c r="J66">
        <f t="shared" si="2"/>
        <v>315</v>
      </c>
      <c r="K66">
        <f>airplane!$B$17*airplane!$B$7/maximum_speed!J66+airplane!$B$11*maximum_speed!J66/airplane!$B$17</f>
        <v>0.37803217805568423</v>
      </c>
      <c r="L66">
        <f>airplane!$B$16*K66/(airplane!$B$9*airplane!$B$10)</f>
        <v>66.048640920672369</v>
      </c>
      <c r="N66">
        <f t="shared" si="0"/>
        <v>105.273</v>
      </c>
      <c r="O66">
        <f t="shared" si="1"/>
        <v>293.78435481515072</v>
      </c>
    </row>
    <row r="67" spans="10:15" x14ac:dyDescent="0.2">
      <c r="J67">
        <f t="shared" si="2"/>
        <v>320</v>
      </c>
      <c r="K67">
        <f>airplane!$B$17*airplane!$B$7/maximum_speed!J67+airplane!$B$11*maximum_speed!J67/airplane!$B$17</f>
        <v>0.37231986401400996</v>
      </c>
      <c r="L67">
        <f>airplane!$B$16*K67/(airplane!$B$9*airplane!$B$10)</f>
        <v>65.05060265603268</v>
      </c>
      <c r="N67">
        <f t="shared" si="0"/>
        <v>106.944</v>
      </c>
      <c r="O67">
        <f t="shared" si="1"/>
        <v>289.34508061403341</v>
      </c>
    </row>
    <row r="68" spans="10:15" x14ac:dyDescent="0.2">
      <c r="J68">
        <f t="shared" si="2"/>
        <v>325</v>
      </c>
      <c r="K68">
        <f>airplane!$B$17*airplane!$B$7/maximum_speed!J68+airplane!$B$11*maximum_speed!J68/airplane!$B$17</f>
        <v>0.36678632840060499</v>
      </c>
      <c r="L68">
        <f>airplane!$B$16*K68/(airplane!$B$9*airplane!$B$10)</f>
        <v>64.083800018671724</v>
      </c>
      <c r="N68">
        <f t="shared" ref="N68:N131" si="3">J68*0.3342</f>
        <v>108.61499999999999</v>
      </c>
      <c r="O68">
        <f t="shared" ref="O68:O131" si="4">L68*4.448</f>
        <v>285.04474248305183</v>
      </c>
    </row>
    <row r="69" spans="10:15" x14ac:dyDescent="0.2">
      <c r="J69">
        <f t="shared" si="2"/>
        <v>330</v>
      </c>
      <c r="K69">
        <f>airplane!$B$17*airplane!$B$7/maximum_speed!J69+airplane!$B$11*maximum_speed!J69/airplane!$B$17</f>
        <v>0.36142344492327511</v>
      </c>
      <c r="L69">
        <f>airplane!$B$16*K69/(airplane!$B$9*airplane!$B$10)</f>
        <v>63.146813207349567</v>
      </c>
      <c r="N69">
        <f t="shared" si="3"/>
        <v>110.286</v>
      </c>
      <c r="O69">
        <f t="shared" si="4"/>
        <v>280.87702514629092</v>
      </c>
    </row>
    <row r="70" spans="10:15" x14ac:dyDescent="0.2">
      <c r="J70">
        <f t="shared" si="2"/>
        <v>335</v>
      </c>
      <c r="K70">
        <f>airplane!$B$17*airplane!$B$7/maximum_speed!J70+airplane!$B$11*maximum_speed!J70/airplane!$B$17</f>
        <v>0.35622357244159908</v>
      </c>
      <c r="L70">
        <f>airplane!$B$16*K70/(airplane!$B$9*airplane!$B$10)</f>
        <v>62.238307185079371</v>
      </c>
      <c r="N70">
        <f t="shared" si="3"/>
        <v>111.95699999999999</v>
      </c>
      <c r="O70">
        <f t="shared" si="4"/>
        <v>276.83599035923305</v>
      </c>
    </row>
    <row r="71" spans="10:15" x14ac:dyDescent="0.2">
      <c r="J71">
        <f t="shared" si="2"/>
        <v>340</v>
      </c>
      <c r="K71">
        <f>airplane!$B$17*airplane!$B$7/maximum_speed!J71+airplane!$B$11*maximum_speed!J71/airplane!$B$17</f>
        <v>0.35117951929400398</v>
      </c>
      <c r="L71">
        <f>airplane!$B$16*K71/(airplane!$B$9*airplane!$B$10)</f>
        <v>61.357025446461819</v>
      </c>
      <c r="N71">
        <f t="shared" si="3"/>
        <v>113.628</v>
      </c>
      <c r="O71">
        <f t="shared" si="4"/>
        <v>272.91604918586222</v>
      </c>
    </row>
    <row r="72" spans="10:15" x14ac:dyDescent="0.2">
      <c r="J72">
        <f t="shared" si="2"/>
        <v>345</v>
      </c>
      <c r="K72">
        <f>airplane!$B$17*airplane!$B$7/maximum_speed!J72+airplane!$B$11*maximum_speed!J72/airplane!$B$17</f>
        <v>0.34628451072683414</v>
      </c>
      <c r="L72">
        <f>airplane!$B$16*K72/(airplane!$B$9*airplane!$B$10)</f>
        <v>60.501784326990261</v>
      </c>
      <c r="N72">
        <f t="shared" si="3"/>
        <v>115.29899999999999</v>
      </c>
      <c r="O72">
        <f t="shared" si="4"/>
        <v>269.11193668645268</v>
      </c>
    </row>
    <row r="73" spans="10:15" x14ac:dyDescent="0.2">
      <c r="J73">
        <f t="shared" si="2"/>
        <v>350</v>
      </c>
      <c r="K73">
        <f>airplane!$B$17*airplane!$B$7/maximum_speed!J73+airplane!$B$11*maximum_speed!J73/airplane!$B$17</f>
        <v>0.34153215911521412</v>
      </c>
      <c r="L73">
        <f>airplane!$B$16*K73/(airplane!$B$9*airplane!$B$10)</f>
        <v>59.671467800129854</v>
      </c>
      <c r="N73">
        <f t="shared" si="3"/>
        <v>116.97</v>
      </c>
      <c r="O73">
        <f t="shared" si="4"/>
        <v>265.41868877497762</v>
      </c>
    </row>
    <row r="74" spans="10:15" x14ac:dyDescent="0.2">
      <c r="J74">
        <f t="shared" si="2"/>
        <v>355</v>
      </c>
      <c r="K74">
        <f>airplane!$B$17*airplane!$B$7/maximum_speed!J74+airplane!$B$11*maximum_speed!J74/airplane!$B$17</f>
        <v>0.33691643670045873</v>
      </c>
      <c r="L74">
        <f>airplane!$B$16*K74/(airplane!$B$9*airplane!$B$10)</f>
        <v>58.865022714080141</v>
      </c>
      <c r="N74">
        <f t="shared" si="3"/>
        <v>118.64100000000001</v>
      </c>
      <c r="O74">
        <f t="shared" si="4"/>
        <v>261.8316210322285</v>
      </c>
    </row>
    <row r="75" spans="10:15" x14ac:dyDescent="0.2">
      <c r="J75">
        <f t="shared" si="2"/>
        <v>360</v>
      </c>
      <c r="K75">
        <f>airplane!$B$17*airplane!$B$7/maximum_speed!J75+airplane!$B$11*maximum_speed!J75/airplane!$B$17</f>
        <v>0.33243165059936536</v>
      </c>
      <c r="L75">
        <f>airplane!$B$16*K75/(airplane!$B$9*airplane!$B$10)</f>
        <v>58.081454425474021</v>
      </c>
      <c r="N75">
        <f t="shared" si="3"/>
        <v>120.312</v>
      </c>
      <c r="O75">
        <f t="shared" si="4"/>
        <v>258.34630928450849</v>
      </c>
    </row>
    <row r="76" spans="10:15" x14ac:dyDescent="0.2">
      <c r="J76">
        <f t="shared" ref="J76:J139" si="5">J75+5</f>
        <v>365</v>
      </c>
      <c r="K76">
        <f>airplane!$B$17*airplane!$B$7/maximum_speed!J76+airplane!$B$11*maximum_speed!J76/airplane!$B$17</f>
        <v>0.32807241986753682</v>
      </c>
      <c r="L76">
        <f>airplane!$B$16*K76/(airplane!$B$9*airplane!$B$10)</f>
        <v>57.319822791950763</v>
      </c>
      <c r="N76">
        <f t="shared" si="3"/>
        <v>121.983</v>
      </c>
      <c r="O76">
        <f t="shared" si="4"/>
        <v>254.95857177859702</v>
      </c>
    </row>
    <row r="77" spans="10:15" x14ac:dyDescent="0.2">
      <c r="J77">
        <f t="shared" si="5"/>
        <v>370</v>
      </c>
      <c r="K77">
        <f>airplane!$B$17*airplane!$B$7/maximum_speed!J77+airplane!$B$11*maximum_speed!J77/airplane!$B$17</f>
        <v>0.32383365442243539</v>
      </c>
      <c r="L77">
        <f>airplane!$B$16*K77/(airplane!$B$9*airplane!$B$10)</f>
        <v>56.579238489655687</v>
      </c>
      <c r="N77">
        <f t="shared" si="3"/>
        <v>123.654</v>
      </c>
      <c r="O77">
        <f t="shared" si="4"/>
        <v>251.66445280198852</v>
      </c>
    </row>
    <row r="78" spans="10:15" x14ac:dyDescent="0.2">
      <c r="J78">
        <f t="shared" si="5"/>
        <v>375</v>
      </c>
      <c r="K78">
        <f>airplane!$B$17*airplane!$B$7/maximum_speed!J78+airplane!$B$11*maximum_speed!J78/airplane!$B$17</f>
        <v>0.31971053565259205</v>
      </c>
      <c r="L78">
        <f>airplane!$B$16*K78/(airplane!$B$9*airplane!$B$10)</f>
        <v>55.858859625339662</v>
      </c>
      <c r="N78">
        <f t="shared" si="3"/>
        <v>125.325</v>
      </c>
      <c r="O78">
        <f t="shared" si="4"/>
        <v>248.46020761351085</v>
      </c>
    </row>
    <row r="79" spans="10:15" x14ac:dyDescent="0.2">
      <c r="J79">
        <f t="shared" si="5"/>
        <v>380</v>
      </c>
      <c r="K79">
        <f>airplane!$B$17*airplane!$B$7/maximum_speed!J79+airplane!$B$11*maximum_speed!J79/airplane!$B$17</f>
        <v>0.31569849855766763</v>
      </c>
      <c r="L79">
        <f>airplane!$B$16*K79/(airplane!$B$9*airplane!$B$10)</f>
        <v>55.157888615924563</v>
      </c>
      <c r="N79">
        <f t="shared" si="3"/>
        <v>126.996</v>
      </c>
      <c r="O79">
        <f t="shared" si="4"/>
        <v>245.34228856363248</v>
      </c>
    </row>
    <row r="80" spans="10:15" x14ac:dyDescent="0.2">
      <c r="J80">
        <f t="shared" si="5"/>
        <v>385</v>
      </c>
      <c r="K80">
        <f>airplane!$B$17*airplane!$B$7/maximum_speed!J80+airplane!$B$11*maximum_speed!J80/airplane!$B$17</f>
        <v>0.31179321528019771</v>
      </c>
      <c r="L80">
        <f>airplane!$B$16*K80/(airplane!$B$9*airplane!$B$10)</f>
        <v>54.475569311219445</v>
      </c>
      <c r="N80">
        <f t="shared" si="3"/>
        <v>128.667</v>
      </c>
      <c r="O80">
        <f t="shared" si="4"/>
        <v>242.30733229630411</v>
      </c>
    </row>
    <row r="81" spans="10:15" x14ac:dyDescent="0.2">
      <c r="J81">
        <f t="shared" si="5"/>
        <v>390</v>
      </c>
      <c r="K81">
        <f>airplane!$B$17*airplane!$B$7/maximum_speed!J81+airplane!$B$11*maximum_speed!J81/airplane!$B$17</f>
        <v>0.30799057990412637</v>
      </c>
      <c r="L81">
        <f>airplane!$B$16*K81/(airplane!$B$9*airplane!$B$10)</f>
        <v>53.811184337966225</v>
      </c>
      <c r="N81">
        <f t="shared" si="3"/>
        <v>130.33799999999999</v>
      </c>
      <c r="O81">
        <f t="shared" si="4"/>
        <v>239.35214793527379</v>
      </c>
    </row>
    <row r="82" spans="10:15" x14ac:dyDescent="0.2">
      <c r="J82">
        <f t="shared" si="5"/>
        <v>395</v>
      </c>
      <c r="K82">
        <f>airplane!$B$17*airplane!$B$7/maximum_speed!J82+airplane!$B$11*maximum_speed!J82/airplane!$B$17</f>
        <v>0.30428669440788153</v>
      </c>
      <c r="L82">
        <f>airplane!$B$16*K82/(airplane!$B$9*airplane!$B$10)</f>
        <v>53.164052645603448</v>
      </c>
      <c r="N82">
        <f t="shared" si="3"/>
        <v>132.00899999999999</v>
      </c>
      <c r="O82">
        <f t="shared" si="4"/>
        <v>236.47370616764417</v>
      </c>
    </row>
    <row r="83" spans="10:15" x14ac:dyDescent="0.2">
      <c r="J83">
        <f t="shared" si="5"/>
        <v>400</v>
      </c>
      <c r="K83">
        <f>airplane!$B$17*airplane!$B$7/maximum_speed!J83+airplane!$B$11*maximum_speed!J83/airplane!$B$17</f>
        <v>0.30067785567096972</v>
      </c>
      <c r="L83">
        <f>airplane!$B$16*K83/(airplane!$B$9*airplane!$B$10)</f>
        <v>52.533527236097719</v>
      </c>
      <c r="N83">
        <f t="shared" si="3"/>
        <v>133.68</v>
      </c>
      <c r="O83">
        <f t="shared" si="4"/>
        <v>233.66912914616267</v>
      </c>
    </row>
    <row r="84" spans="10:15" x14ac:dyDescent="0.2">
      <c r="J84">
        <f t="shared" si="5"/>
        <v>405</v>
      </c>
      <c r="K84">
        <f>airplane!$B$17*airplane!$B$7/maximum_speed!J84+airplane!$B$11*maximum_speed!J84/airplane!$B$17</f>
        <v>0.29716054344304521</v>
      </c>
      <c r="L84">
        <f>airplane!$B$16*K84/(airplane!$B$9*airplane!$B$10)</f>
        <v>51.918993061935822</v>
      </c>
      <c r="N84">
        <f t="shared" si="3"/>
        <v>135.351</v>
      </c>
      <c r="O84">
        <f t="shared" si="4"/>
        <v>230.93568113949055</v>
      </c>
    </row>
    <row r="85" spans="10:15" x14ac:dyDescent="0.2">
      <c r="J85">
        <f t="shared" si="5"/>
        <v>410</v>
      </c>
      <c r="K85">
        <f>airplane!$B$17*airplane!$B$7/maximum_speed!J85+airplane!$B$11*maximum_speed!J85/airplane!$B$17</f>
        <v>0.29373140919329138</v>
      </c>
      <c r="L85">
        <f>airplane!$B$16*K85/(airplane!$B$9*airplane!$B$10)</f>
        <v>51.319865077922231</v>
      </c>
      <c r="N85">
        <f t="shared" si="3"/>
        <v>137.02199999999999</v>
      </c>
      <c r="O85">
        <f t="shared" si="4"/>
        <v>228.2707598665981</v>
      </c>
    </row>
    <row r="86" spans="10:15" x14ac:dyDescent="0.2">
      <c r="J86">
        <f t="shared" si="5"/>
        <v>415</v>
      </c>
      <c r="K86">
        <f>airplane!$B$17*airplane!$B$7/maximum_speed!J86+airplane!$B$11*maximum_speed!J86/airplane!$B$17</f>
        <v>0.29038726576587087</v>
      </c>
      <c r="L86">
        <f>airplane!$B$16*K86/(airplane!$B$9*airplane!$B$10)</f>
        <v>50.735586433810639</v>
      </c>
      <c r="N86">
        <f t="shared" si="3"/>
        <v>138.69300000000001</v>
      </c>
      <c r="O86">
        <f t="shared" si="4"/>
        <v>225.67188845758974</v>
      </c>
    </row>
    <row r="87" spans="10:15" x14ac:dyDescent="0.2">
      <c r="J87">
        <f t="shared" si="5"/>
        <v>420</v>
      </c>
      <c r="K87">
        <f>airplane!$B$17*airplane!$B$7/maximum_speed!J87+airplane!$B$11*maximum_speed!J87/airplane!$B$17</f>
        <v>0.2871250777742716</v>
      </c>
      <c r="L87">
        <f>airplane!$B$16*K87/(airplane!$B$9*airplane!$B$10)</f>
        <v>50.165626796033109</v>
      </c>
      <c r="N87">
        <f t="shared" si="3"/>
        <v>140.364</v>
      </c>
      <c r="O87">
        <f t="shared" si="4"/>
        <v>223.13670798875529</v>
      </c>
    </row>
    <row r="88" spans="10:15" x14ac:dyDescent="0.2">
      <c r="J88">
        <f t="shared" si="5"/>
        <v>425</v>
      </c>
      <c r="K88">
        <f>airplane!$B$17*airplane!$B$7/maximum_speed!J88+airplane!$B$11*maximum_speed!J88/airplane!$B$17</f>
        <v>0.28394195267369998</v>
      </c>
      <c r="L88">
        <f>airplane!$B$16*K88/(airplane!$B$9*airplane!$B$10)</f>
        <v>49.6094807878955</v>
      </c>
      <c r="N88">
        <f t="shared" si="3"/>
        <v>142.035</v>
      </c>
      <c r="O88">
        <f t="shared" si="4"/>
        <v>220.66297054455922</v>
      </c>
    </row>
    <row r="89" spans="10:15" x14ac:dyDescent="0.2">
      <c r="J89">
        <f t="shared" si="5"/>
        <v>430</v>
      </c>
      <c r="K89">
        <f>airplane!$B$17*airplane!$B$7/maximum_speed!J89+airplane!$B$11*maximum_speed!J89/airplane!$B$17</f>
        <v>0.28083513245632946</v>
      </c>
      <c r="L89">
        <f>airplane!$B$16*K89/(airplane!$B$9*airplane!$B$10)</f>
        <v>49.066666538596422</v>
      </c>
      <c r="N89">
        <f t="shared" si="3"/>
        <v>143.70599999999999</v>
      </c>
      <c r="O89">
        <f t="shared" si="4"/>
        <v>218.24853276367691</v>
      </c>
    </row>
    <row r="90" spans="10:15" x14ac:dyDescent="0.2">
      <c r="J90">
        <f t="shared" si="5"/>
        <v>435</v>
      </c>
      <c r="K90">
        <f>airplane!$B$17*airplane!$B$7/maximum_speed!J90+airplane!$B$11*maximum_speed!J90/airplane!$B$17</f>
        <v>0.27780198591929106</v>
      </c>
      <c r="L90">
        <f>airplane!$B$16*K90/(airplane!$B$9*airplane!$B$10)</f>
        <v>48.536724332313867</v>
      </c>
      <c r="N90">
        <f t="shared" si="3"/>
        <v>145.37700000000001</v>
      </c>
      <c r="O90">
        <f t="shared" si="4"/>
        <v>215.8913498301321</v>
      </c>
    </row>
    <row r="91" spans="10:15" x14ac:dyDescent="0.2">
      <c r="J91">
        <f t="shared" si="5"/>
        <v>440</v>
      </c>
      <c r="K91">
        <f>airplane!$B$17*airplane!$B$7/maximum_speed!J91+airplane!$B$11*maximum_speed!J91/airplane!$B$17</f>
        <v>0.27484000145984611</v>
      </c>
      <c r="L91">
        <f>airplane!$B$16*K91/(airplane!$B$9*airplane!$B$10)</f>
        <v>48.019215349399516</v>
      </c>
      <c r="N91">
        <f t="shared" si="3"/>
        <v>147.048</v>
      </c>
      <c r="O91">
        <f t="shared" si="4"/>
        <v>213.58946987412907</v>
      </c>
    </row>
    <row r="92" spans="10:15" x14ac:dyDescent="0.2">
      <c r="J92">
        <f t="shared" si="5"/>
        <v>445</v>
      </c>
      <c r="K92">
        <f>airplane!$B$17*airplane!$B$7/maximum_speed!J92+airplane!$B$11*maximum_speed!J92/airplane!$B$17</f>
        <v>0.27194678035627795</v>
      </c>
      <c r="L92">
        <f>airplane!$B$16*K92/(airplane!$B$9*airplane!$B$10)</f>
        <v>47.513720492436477</v>
      </c>
      <c r="N92">
        <f t="shared" si="3"/>
        <v>148.71899999999999</v>
      </c>
      <c r="O92">
        <f t="shared" si="4"/>
        <v>211.34102875035748</v>
      </c>
    </row>
    <row r="93" spans="10:15" x14ac:dyDescent="0.2">
      <c r="J93">
        <f t="shared" si="5"/>
        <v>450</v>
      </c>
      <c r="K93">
        <f>airplane!$B$17*airplane!$B$7/maximum_speed!J93+airplane!$B$11*maximum_speed!J93/airplane!$B$17</f>
        <v>0.26912003049672417</v>
      </c>
      <c r="L93">
        <f>airplane!$B$16*K93/(airplane!$B$9*airplane!$B$10)</f>
        <v>47.01983929055973</v>
      </c>
      <c r="N93">
        <f t="shared" si="3"/>
        <v>150.38999999999999</v>
      </c>
      <c r="O93">
        <f t="shared" si="4"/>
        <v>209.14424516440971</v>
      </c>
    </row>
    <row r="94" spans="10:15" x14ac:dyDescent="0.2">
      <c r="J94">
        <f t="shared" si="5"/>
        <v>455</v>
      </c>
      <c r="K94">
        <f>airplane!$B$17*airplane!$B$7/maximum_speed!J94+airplane!$B$11*maximum_speed!J94/airplane!$B$17</f>
        <v>0.2663575605214919</v>
      </c>
      <c r="L94">
        <f>airplane!$B$16*K94/(airplane!$B$9*airplane!$B$10)</f>
        <v>46.537188876019144</v>
      </c>
      <c r="N94">
        <f t="shared" si="3"/>
        <v>152.06100000000001</v>
      </c>
      <c r="O94">
        <f t="shared" si="4"/>
        <v>206.99741612053316</v>
      </c>
    </row>
    <row r="95" spans="10:15" x14ac:dyDescent="0.2">
      <c r="J95">
        <f t="shared" si="5"/>
        <v>460</v>
      </c>
      <c r="K95">
        <f>airplane!$B$17*airplane!$B$7/maximum_speed!J95+airplane!$B$11*maximum_speed!J95/airplane!$B$17</f>
        <v>0.26365727434739672</v>
      </c>
      <c r="L95">
        <f>airplane!$B$16*K95/(airplane!$B$9*airplane!$B$10)</f>
        <v>46.065403027488557</v>
      </c>
      <c r="N95">
        <f t="shared" si="3"/>
        <v>153.732</v>
      </c>
      <c r="O95">
        <f t="shared" si="4"/>
        <v>204.89891266626913</v>
      </c>
    </row>
    <row r="96" spans="10:15" x14ac:dyDescent="0.2">
      <c r="J96">
        <f t="shared" si="5"/>
        <v>465</v>
      </c>
      <c r="K96">
        <f>airplane!$B$17*airplane!$B$7/maximum_speed!J96+airplane!$B$11*maximum_speed!J96/airplane!$B$17</f>
        <v>0.26101716604536973</v>
      </c>
      <c r="L96">
        <f>airplane!$B$16*K96/(airplane!$B$9*airplane!$B$10)</f>
        <v>45.60413127509667</v>
      </c>
      <c r="N96">
        <f t="shared" si="3"/>
        <v>155.40299999999999</v>
      </c>
      <c r="O96">
        <f t="shared" si="4"/>
        <v>202.84717591163002</v>
      </c>
    </row>
    <row r="97" spans="10:15" x14ac:dyDescent="0.2">
      <c r="J97">
        <f t="shared" si="5"/>
        <v>470</v>
      </c>
      <c r="K97">
        <f>airplane!$B$17*airplane!$B$7/maximum_speed!J97+airplane!$B$11*maximum_speed!J97/airplane!$B$17</f>
        <v>0.25843531504502576</v>
      </c>
      <c r="L97">
        <f>airplane!$B$16*K97/(airplane!$B$9*airplane!$B$10)</f>
        <v>45.15303806258374</v>
      </c>
      <c r="N97">
        <f t="shared" si="3"/>
        <v>157.07400000000001</v>
      </c>
      <c r="O97">
        <f t="shared" si="4"/>
        <v>200.84071330237248</v>
      </c>
    </row>
    <row r="98" spans="10:15" x14ac:dyDescent="0.2">
      <c r="J98">
        <f t="shared" si="5"/>
        <v>475</v>
      </c>
      <c r="K98">
        <f>airplane!$B$17*airplane!$B$7/maximum_speed!J98+airplane!$B$11*maximum_speed!J98/airplane!$B$17</f>
        <v>0.25590988164210116</v>
      </c>
      <c r="L98">
        <f>airplane!$B$16*K98/(airplane!$B$9*airplane!$B$10)</f>
        <v>44.711801962374651</v>
      </c>
      <c r="N98">
        <f t="shared" si="3"/>
        <v>158.745</v>
      </c>
      <c r="O98">
        <f t="shared" si="4"/>
        <v>198.87809512864246</v>
      </c>
    </row>
    <row r="99" spans="10:15" x14ac:dyDescent="0.2">
      <c r="J99">
        <f t="shared" si="5"/>
        <v>480</v>
      </c>
      <c r="K99">
        <f>airplane!$B$17*airplane!$B$7/maximum_speed!J99+airplane!$B$11*maximum_speed!J99/airplane!$B$17</f>
        <v>0.25343910278667647</v>
      </c>
      <c r="L99">
        <f>airplane!$B$16*K99/(airplane!$B$9*airplane!$B$10)</f>
        <v>44.280114939709883</v>
      </c>
      <c r="N99">
        <f t="shared" si="3"/>
        <v>160.416</v>
      </c>
      <c r="O99">
        <f t="shared" si="4"/>
        <v>196.95795125182957</v>
      </c>
    </row>
    <row r="100" spans="10:15" x14ac:dyDescent="0.2">
      <c r="J100">
        <f t="shared" si="5"/>
        <v>485</v>
      </c>
      <c r="K100">
        <f>airplane!$B$17*airplane!$B$7/maximum_speed!J100+airplane!$B$11*maximum_speed!J100/airplane!$B$17</f>
        <v>0.25102128813192198</v>
      </c>
      <c r="L100">
        <f>airplane!$B$16*K100/(airplane!$B$9*airplane!$B$10)</f>
        <v>43.85768166229429</v>
      </c>
      <c r="N100">
        <f t="shared" si="3"/>
        <v>162.08699999999999</v>
      </c>
      <c r="O100">
        <f t="shared" si="4"/>
        <v>195.07896803388502</v>
      </c>
    </row>
    <row r="101" spans="10:15" x14ac:dyDescent="0.2">
      <c r="J101">
        <f t="shared" si="5"/>
        <v>490</v>
      </c>
      <c r="K101">
        <f>airplane!$B$17*airplane!$B$7/maximum_speed!J101+airplane!$B$11*maximum_speed!J101/airplane!$B$17</f>
        <v>0.24865481632475578</v>
      </c>
      <c r="L101">
        <f>airplane!$B$16*K101/(airplane!$B$9*airplane!$B$10)</f>
        <v>43.444218852212046</v>
      </c>
      <c r="N101">
        <f t="shared" si="3"/>
        <v>163.75800000000001</v>
      </c>
      <c r="O101">
        <f t="shared" si="4"/>
        <v>193.23988545463919</v>
      </c>
    </row>
    <row r="102" spans="10:15" x14ac:dyDescent="0.2">
      <c r="J102">
        <f t="shared" si="5"/>
        <v>495</v>
      </c>
      <c r="K102">
        <f>airplane!$B$17*airplane!$B$7/maximum_speed!J102+airplane!$B$11*maximum_speed!J102/airplane!$B$17</f>
        <v>0.24633813152131165</v>
      </c>
      <c r="L102">
        <f>airplane!$B$16*K102/(airplane!$B$9*airplane!$B$10)</f>
        <v>43.039454677119728</v>
      </c>
      <c r="N102">
        <f t="shared" si="3"/>
        <v>165.429</v>
      </c>
      <c r="O102">
        <f t="shared" si="4"/>
        <v>191.43949440382858</v>
      </c>
    </row>
    <row r="103" spans="10:15" x14ac:dyDescent="0.2">
      <c r="J103">
        <f t="shared" si="5"/>
        <v>500</v>
      </c>
      <c r="K103">
        <f>airplane!$B$17*airplane!$B$7/maximum_speed!J103+airplane!$B$11*maximum_speed!J103/airplane!$B$17</f>
        <v>0.24406974011147789</v>
      </c>
      <c r="L103">
        <f>airplane!$B$16*K103/(airplane!$B$9*airplane!$B$10)</f>
        <v>42.64312817796764</v>
      </c>
      <c r="N103">
        <f t="shared" si="3"/>
        <v>167.1</v>
      </c>
      <c r="O103">
        <f t="shared" si="4"/>
        <v>189.67663413560007</v>
      </c>
    </row>
    <row r="104" spans="10:15" x14ac:dyDescent="0.2">
      <c r="J104">
        <f t="shared" si="5"/>
        <v>505</v>
      </c>
      <c r="K104">
        <f>airplane!$B$17*airplane!$B$7/maximum_speed!J104+airplane!$B$11*maximum_speed!J104/airplane!$B$17</f>
        <v>0.24184820763801859</v>
      </c>
      <c r="L104">
        <f>airplane!$B$16*K104/(airplane!$B$9*airplane!$B$10)</f>
        <v>42.254988730717962</v>
      </c>
      <c r="N104">
        <f t="shared" si="3"/>
        <v>168.77099999999999</v>
      </c>
      <c r="O104">
        <f t="shared" si="4"/>
        <v>187.9501898742335</v>
      </c>
    </row>
    <row r="105" spans="10:15" x14ac:dyDescent="0.2">
      <c r="J105">
        <f t="shared" si="5"/>
        <v>510</v>
      </c>
      <c r="K105">
        <f>airplane!$B$17*airplane!$B$7/maximum_speed!J105+airplane!$B$11*maximum_speed!J105/airplane!$B$17</f>
        <v>0.23967215589692267</v>
      </c>
      <c r="L105">
        <f>airplane!$B$16*K105/(airplane!$B$9*airplane!$B$10)</f>
        <v>41.874795539726485</v>
      </c>
      <c r="N105">
        <f t="shared" si="3"/>
        <v>170.44200000000001</v>
      </c>
      <c r="O105">
        <f t="shared" si="4"/>
        <v>186.25909056070341</v>
      </c>
    </row>
    <row r="106" spans="10:15" x14ac:dyDescent="0.2">
      <c r="J106">
        <f t="shared" si="5"/>
        <v>515</v>
      </c>
      <c r="K106">
        <f>airplane!$B$17*airplane!$B$7/maximum_speed!J106+airplane!$B$11*maximum_speed!J106/airplane!$B$17</f>
        <v>0.23754026020666505</v>
      </c>
      <c r="L106">
        <f>airplane!$B$16*K106/(airplane!$B$9*airplane!$B$10)</f>
        <v>41.502317160636196</v>
      </c>
      <c r="N106">
        <f t="shared" si="3"/>
        <v>172.113</v>
      </c>
      <c r="O106">
        <f t="shared" si="4"/>
        <v>184.60230673050981</v>
      </c>
    </row>
    <row r="107" spans="10:15" x14ac:dyDescent="0.2">
      <c r="J107">
        <f t="shared" si="5"/>
        <v>520</v>
      </c>
      <c r="K107">
        <f>airplane!$B$17*airplane!$B$7/maximum_speed!J107+airplane!$B$11*maximum_speed!J107/airplane!$B$17</f>
        <v>0.23545124683500998</v>
      </c>
      <c r="L107">
        <f>airplane!$B$16*K107/(airplane!$B$9*airplane!$B$10)</f>
        <v>41.137331050796085</v>
      </c>
      <c r="N107">
        <f t="shared" si="3"/>
        <v>173.78399999999999</v>
      </c>
      <c r="O107">
        <f t="shared" si="4"/>
        <v>182.97884851394102</v>
      </c>
    </row>
    <row r="108" spans="10:15" x14ac:dyDescent="0.2">
      <c r="J108">
        <f t="shared" si="5"/>
        <v>525</v>
      </c>
      <c r="K108">
        <f>airplane!$B$17*airplane!$B$7/maximum_speed!J108+airplane!$B$11*maximum_speed!J108/airplane!$B$17</f>
        <v>0.23340389057285454</v>
      </c>
      <c r="L108">
        <f>airplane!$B$16*K108/(airplane!$B$9*airplane!$B$10)</f>
        <v>40.779623145370437</v>
      </c>
      <c r="N108">
        <f t="shared" si="3"/>
        <v>175.45500000000001</v>
      </c>
      <c r="O108">
        <f t="shared" si="4"/>
        <v>181.38776375060772</v>
      </c>
    </row>
    <row r="109" spans="10:15" x14ac:dyDescent="0.2">
      <c r="J109">
        <f t="shared" si="5"/>
        <v>530</v>
      </c>
      <c r="K109">
        <f>airplane!$B$17*airplane!$B$7/maximum_speed!J109+airplane!$B$11*maximum_speed!J109/airplane!$B$17</f>
        <v>0.23139701244540153</v>
      </c>
      <c r="L109">
        <f>airplane!$B$16*K109/(airplane!$B$9*airplane!$B$10)</f>
        <v>40.428987457441849</v>
      </c>
      <c r="N109">
        <f t="shared" si="3"/>
        <v>177.126</v>
      </c>
      <c r="O109">
        <f t="shared" si="4"/>
        <v>179.82813621070136</v>
      </c>
    </row>
    <row r="110" spans="10:15" x14ac:dyDescent="0.2">
      <c r="J110">
        <f t="shared" si="5"/>
        <v>535</v>
      </c>
      <c r="K110">
        <f>airplane!$B$17*airplane!$B$7/maximum_speed!J110+airplane!$B$11*maximum_speed!J110/airplane!$B$17</f>
        <v>0.22942947755167806</v>
      </c>
      <c r="L110">
        <f>airplane!$B$16*K110/(airplane!$B$9*airplane!$B$10)</f>
        <v>40.085225700538466</v>
      </c>
      <c r="N110">
        <f t="shared" si="3"/>
        <v>178.797</v>
      </c>
      <c r="O110">
        <f t="shared" si="4"/>
        <v>178.29908391599511</v>
      </c>
    </row>
    <row r="111" spans="10:15" x14ac:dyDescent="0.2">
      <c r="J111">
        <f t="shared" si="5"/>
        <v>540</v>
      </c>
      <c r="K111">
        <f>airplane!$B$17*airplane!$B$7/maximum_speed!J111+airplane!$B$11*maximum_speed!J111/airplane!$B$17</f>
        <v>0.22750019302408045</v>
      </c>
      <c r="L111">
        <f>airplane!$B$16*K111/(airplane!$B$9*airplane!$B$10)</f>
        <v>39.748146932131789</v>
      </c>
      <c r="N111">
        <f t="shared" si="3"/>
        <v>180.46799999999999</v>
      </c>
      <c r="O111">
        <f t="shared" si="4"/>
        <v>176.79975755412221</v>
      </c>
    </row>
    <row r="112" spans="10:15" x14ac:dyDescent="0.2">
      <c r="J112">
        <f t="shared" si="5"/>
        <v>545</v>
      </c>
      <c r="K112">
        <f>airplane!$B$17*airplane!$B$7/maximum_speed!J112+airplane!$B$11*maximum_speed!J112/airplane!$B$17</f>
        <v>0.22560810610023829</v>
      </c>
      <c r="L112">
        <f>airplane!$B$16*K112/(airplane!$B$9*airplane!$B$10)</f>
        <v>39.417567216758606</v>
      </c>
      <c r="N112">
        <f t="shared" si="3"/>
        <v>182.13900000000001</v>
      </c>
      <c r="O112">
        <f t="shared" si="4"/>
        <v>175.3293389801423</v>
      </c>
    </row>
    <row r="113" spans="10:15" x14ac:dyDescent="0.2">
      <c r="J113">
        <f t="shared" si="5"/>
        <v>550</v>
      </c>
      <c r="K113">
        <f>airplane!$B$17*airplane!$B$7/maximum_speed!J113+airplane!$B$11*maximum_speed!J113/airplane!$B$17</f>
        <v>0.22375220230004922</v>
      </c>
      <c r="L113">
        <f>airplane!$B$16*K113/(airplane!$B$9*airplane!$B$10)</f>
        <v>39.093309307518027</v>
      </c>
      <c r="N113">
        <f t="shared" si="3"/>
        <v>183.81</v>
      </c>
      <c r="O113">
        <f t="shared" si="4"/>
        <v>173.88703979984021</v>
      </c>
    </row>
    <row r="114" spans="10:15" x14ac:dyDescent="0.2">
      <c r="J114">
        <f t="shared" si="5"/>
        <v>555</v>
      </c>
      <c r="K114">
        <f>airplane!$B$17*airplane!$B$7/maximum_speed!J114+airplane!$B$11*maximum_speed!J114/airplane!$B$17</f>
        <v>0.22193150370125225</v>
      </c>
      <c r="L114">
        <f>airplane!$B$16*K114/(airplane!$B$9*airplane!$B$10)</f>
        <v>38.775202344784823</v>
      </c>
      <c r="N114">
        <f t="shared" si="3"/>
        <v>185.48099999999999</v>
      </c>
      <c r="O114">
        <f t="shared" si="4"/>
        <v>172.4721000296029</v>
      </c>
    </row>
    <row r="115" spans="10:15" x14ac:dyDescent="0.2">
      <c r="J115">
        <f t="shared" si="5"/>
        <v>560</v>
      </c>
      <c r="K115">
        <f>airplane!$B$17*airplane!$B$7/maximum_speed!J115+airplane!$B$11*maximum_speed!J115/airplane!$B$17</f>
        <v>0.22014506730738162</v>
      </c>
      <c r="L115">
        <f>airplane!$B$16*K115/(airplane!$B$9*airplane!$B$10)</f>
        <v>38.463081571063277</v>
      </c>
      <c r="N115">
        <f t="shared" si="3"/>
        <v>187.15199999999999</v>
      </c>
      <c r="O115">
        <f t="shared" si="4"/>
        <v>171.08378682808947</v>
      </c>
    </row>
    <row r="116" spans="10:15" x14ac:dyDescent="0.2">
      <c r="J116">
        <f t="shared" si="5"/>
        <v>565</v>
      </c>
      <c r="K116">
        <f>airplane!$B$17*airplane!$B$7/maximum_speed!J116+airplane!$B$11*maximum_speed!J116/airplane!$B$17</f>
        <v>0.21839198350237723</v>
      </c>
      <c r="L116">
        <f>airplane!$B$16*K116/(airplane!$B$9*airplane!$B$10)</f>
        <v>38.156788060981377</v>
      </c>
      <c r="N116">
        <f t="shared" si="3"/>
        <v>188.82300000000001</v>
      </c>
      <c r="O116">
        <f t="shared" si="4"/>
        <v>169.72139329524518</v>
      </c>
    </row>
    <row r="117" spans="10:15" x14ac:dyDescent="0.2">
      <c r="J117">
        <f t="shared" si="5"/>
        <v>570</v>
      </c>
      <c r="K117">
        <f>airplane!$B$17*airplane!$B$7/maximum_speed!J117+airplane!$B$11*maximum_speed!J117/airplane!$B$17</f>
        <v>0.21667137458653218</v>
      </c>
      <c r="L117">
        <f>airplane!$B$16*K117/(airplane!$B$9*airplane!$B$10)</f>
        <v>37.856168465495998</v>
      </c>
      <c r="N117">
        <f t="shared" si="3"/>
        <v>190.494</v>
      </c>
      <c r="O117">
        <f t="shared" si="4"/>
        <v>168.3842373345262</v>
      </c>
    </row>
    <row r="118" spans="10:15" x14ac:dyDescent="0.2">
      <c r="J118">
        <f t="shared" si="5"/>
        <v>575</v>
      </c>
      <c r="K118">
        <f>airplane!$B$17*airplane!$B$7/maximum_speed!J118+airplane!$B$11*maximum_speed!J118/airplane!$B$17</f>
        <v>0.21498239338882483</v>
      </c>
      <c r="L118">
        <f>airplane!$B$16*K118/(airplane!$B$9*airplane!$B$10)</f>
        <v>37.561074769443728</v>
      </c>
      <c r="N118">
        <f t="shared" si="3"/>
        <v>192.16499999999999</v>
      </c>
      <c r="O118">
        <f t="shared" si="4"/>
        <v>167.07166057448572</v>
      </c>
    </row>
    <row r="119" spans="10:15" x14ac:dyDescent="0.2">
      <c r="J119">
        <f t="shared" si="5"/>
        <v>580</v>
      </c>
      <c r="K119">
        <f>airplane!$B$17*airplane!$B$7/maximum_speed!J119+airplane!$B$11*maximum_speed!J119/airplane!$B$17</f>
        <v>0.21332422195102754</v>
      </c>
      <c r="L119">
        <f>airplane!$B$16*K119/(airplane!$B$9*airplane!$B$10)</f>
        <v>37.271364061632354</v>
      </c>
      <c r="N119">
        <f t="shared" si="3"/>
        <v>193.83599999999998</v>
      </c>
      <c r="O119">
        <f t="shared" si="4"/>
        <v>165.78302734614073</v>
      </c>
    </row>
    <row r="120" spans="10:15" x14ac:dyDescent="0.2">
      <c r="J120">
        <f t="shared" si="5"/>
        <v>585</v>
      </c>
      <c r="K120">
        <f>airplane!$B$17*airplane!$B$7/maximum_speed!J120+airplane!$B$11*maximum_speed!J120/airplane!$B$17</f>
        <v>0.21169607027929643</v>
      </c>
      <c r="L120">
        <f>airplane!$B$16*K120/(airplane!$B$9*airplane!$B$10)</f>
        <v>36.986898316722353</v>
      </c>
      <c r="N120">
        <f t="shared" si="3"/>
        <v>195.50700000000001</v>
      </c>
      <c r="O120">
        <f t="shared" si="4"/>
        <v>164.51772371278105</v>
      </c>
    </row>
    <row r="121" spans="10:15" x14ac:dyDescent="0.2">
      <c r="J121">
        <f t="shared" si="5"/>
        <v>590</v>
      </c>
      <c r="K121">
        <f>airplane!$B$17*airplane!$B$7/maximum_speed!J121+airplane!$B$11*maximum_speed!J121/airplane!$B$17</f>
        <v>0.21009717515924001</v>
      </c>
      <c r="L121">
        <f>airplane!$B$16*K121/(airplane!$B$9*airplane!$B$10)</f>
        <v>36.707544188199293</v>
      </c>
      <c r="N121">
        <f t="shared" si="3"/>
        <v>197.178</v>
      </c>
      <c r="O121">
        <f t="shared" si="4"/>
        <v>163.27515654911048</v>
      </c>
    </row>
    <row r="122" spans="10:15" x14ac:dyDescent="0.2">
      <c r="J122">
        <f t="shared" si="5"/>
        <v>595</v>
      </c>
      <c r="K122">
        <f>airplane!$B$17*airplane!$B$7/maximum_speed!J122+airplane!$B$11*maximum_speed!J122/airplane!$B$17</f>
        <v>0.20852679903073201</v>
      </c>
      <c r="L122">
        <f>airplane!$B$16*K122/(airplane!$B$9*airplane!$B$10)</f>
        <v>36.433172811784495</v>
      </c>
      <c r="N122">
        <f t="shared" si="3"/>
        <v>198.84899999999999</v>
      </c>
      <c r="O122">
        <f t="shared" si="4"/>
        <v>162.05475266681745</v>
      </c>
    </row>
    <row r="123" spans="10:15" x14ac:dyDescent="0.2">
      <c r="J123">
        <f t="shared" si="5"/>
        <v>600</v>
      </c>
      <c r="K123">
        <f>airplane!$B$17*airplane!$B$7/maximum_speed!J123+airplane!$B$11*maximum_speed!J123/airplane!$B$17</f>
        <v>0.20698422891898374</v>
      </c>
      <c r="L123">
        <f>airplane!$B$16*K123/(airplane!$B$9*airplane!$B$10)</f>
        <v>36.163659618675268</v>
      </c>
      <c r="N123">
        <f t="shared" si="3"/>
        <v>200.52</v>
      </c>
      <c r="O123">
        <f t="shared" si="4"/>
        <v>160.8559579838676</v>
      </c>
    </row>
    <row r="124" spans="10:15" x14ac:dyDescent="0.2">
      <c r="J124">
        <f t="shared" si="5"/>
        <v>605</v>
      </c>
      <c r="K124">
        <f>airplane!$B$17*airplane!$B$7/maximum_speed!J124+airplane!$B$11*maximum_speed!J124/airplane!$B$17</f>
        <v>0.20546877541862099</v>
      </c>
      <c r="L124">
        <f>airplane!$B$16*K124/(airplane!$B$9*airplane!$B$10)</f>
        <v>35.898884158045853</v>
      </c>
      <c r="N124">
        <f t="shared" si="3"/>
        <v>202.191</v>
      </c>
      <c r="O124">
        <f t="shared" si="4"/>
        <v>159.67823673498796</v>
      </c>
    </row>
    <row r="125" spans="10:15" x14ac:dyDescent="0.2">
      <c r="J125">
        <f t="shared" si="5"/>
        <v>610</v>
      </c>
      <c r="K125">
        <f>airplane!$B$17*airplane!$B$7/maximum_speed!J125+airplane!$B$11*maximum_speed!J125/airplane!$B$17</f>
        <v>0.20397977172772441</v>
      </c>
      <c r="L125">
        <f>airplane!$B$16*K125/(airplane!$B$9*airplane!$B$10)</f>
        <v>35.638729928277883</v>
      </c>
      <c r="N125">
        <f t="shared" si="3"/>
        <v>203.86199999999999</v>
      </c>
      <c r="O125">
        <f t="shared" si="4"/>
        <v>158.52107072098005</v>
      </c>
    </row>
    <row r="126" spans="10:15" x14ac:dyDescent="0.2">
      <c r="J126">
        <f t="shared" si="5"/>
        <v>615</v>
      </c>
      <c r="K126">
        <f>airplane!$B$17*airplane!$B$7/maximum_speed!J126+airplane!$B$11*maximum_speed!J126/airplane!$B$17</f>
        <v>0.20251657272898999</v>
      </c>
      <c r="L126">
        <f>airplane!$B$16*K126/(airplane!$B$9*airplane!$B$10)</f>
        <v>35.383084216423526</v>
      </c>
      <c r="N126">
        <f t="shared" si="3"/>
        <v>205.53299999999999</v>
      </c>
      <c r="O126">
        <f t="shared" si="4"/>
        <v>157.38395859465186</v>
      </c>
    </row>
    <row r="127" spans="10:15" x14ac:dyDescent="0.2">
      <c r="J127">
        <f t="shared" si="5"/>
        <v>620</v>
      </c>
      <c r="K127">
        <f>airplane!$B$17*airplane!$B$7/maximum_speed!J127+airplane!$B$11*maximum_speed!J127/airplane!$B$17</f>
        <v>0.20107855411534925</v>
      </c>
      <c r="L127">
        <f>airplane!$B$16*K127/(airplane!$B$9*airplane!$B$10)</f>
        <v>35.131837945436487</v>
      </c>
      <c r="N127">
        <f t="shared" si="3"/>
        <v>207.20400000000001</v>
      </c>
      <c r="O127">
        <f t="shared" si="4"/>
        <v>156.26641518130151</v>
      </c>
    </row>
    <row r="128" spans="10:15" x14ac:dyDescent="0.2">
      <c r="J128">
        <f t="shared" si="5"/>
        <v>625</v>
      </c>
      <c r="K128">
        <f>airplane!$B$17*airplane!$B$7/maximum_speed!J128+airplane!$B$11*maximum_speed!J128/airplane!$B$17</f>
        <v>0.19966511155756</v>
      </c>
      <c r="L128">
        <f>airplane!$B$16*K128/(airplane!$B$9*airplane!$B$10)</f>
        <v>34.88488552873595</v>
      </c>
      <c r="N128">
        <f t="shared" si="3"/>
        <v>208.875</v>
      </c>
      <c r="O128">
        <f t="shared" si="4"/>
        <v>155.16797083181751</v>
      </c>
    </row>
    <row r="129" spans="10:15" x14ac:dyDescent="0.2">
      <c r="J129">
        <f t="shared" si="5"/>
        <v>630</v>
      </c>
      <c r="K129">
        <f>airplane!$B$17*airplane!$B$7/maximum_speed!J129+airplane!$B$11*maximum_speed!J129/airplane!$B$17</f>
        <v>0.19827565991143523</v>
      </c>
      <c r="L129">
        <f>airplane!$B$16*K129/(airplane!$B$9*airplane!$B$10)</f>
        <v>34.642124731696036</v>
      </c>
      <c r="N129">
        <f t="shared" si="3"/>
        <v>210.54599999999999</v>
      </c>
      <c r="O129">
        <f t="shared" si="4"/>
        <v>154.08817080658397</v>
      </c>
    </row>
    <row r="130" spans="10:15" x14ac:dyDescent="0.2">
      <c r="J130">
        <f t="shared" si="5"/>
        <v>635</v>
      </c>
      <c r="K130">
        <f>airplane!$B$17*airplane!$B$7/maximum_speed!J130+airplane!$B$11*maximum_speed!J130/airplane!$B$17</f>
        <v>0.19690963246252619</v>
      </c>
      <c r="L130">
        <f>airplane!$B$16*K130/(airplane!$B$9*airplane!$B$10)</f>
        <v>34.403456539679105</v>
      </c>
      <c r="N130">
        <f t="shared" si="3"/>
        <v>212.21699999999998</v>
      </c>
      <c r="O130">
        <f t="shared" si="4"/>
        <v>153.02657468849267</v>
      </c>
    </row>
    <row r="131" spans="10:15" x14ac:dyDescent="0.2">
      <c r="J131">
        <f t="shared" si="5"/>
        <v>640</v>
      </c>
      <c r="K131">
        <f>airplane!$B$17*airplane!$B$7/maximum_speed!J131+airplane!$B$11*maximum_speed!J131/airplane!$B$17</f>
        <v>0.19556648020621067</v>
      </c>
      <c r="L131">
        <f>airplane!$B$16*K131/(airplane!$B$9*airplane!$B$10)</f>
        <v>34.168785032254917</v>
      </c>
      <c r="N131">
        <f t="shared" si="3"/>
        <v>213.88800000000001</v>
      </c>
      <c r="O131">
        <f t="shared" si="4"/>
        <v>151.98275582346989</v>
      </c>
    </row>
    <row r="132" spans="10:15" x14ac:dyDescent="0.2">
      <c r="J132">
        <f t="shared" si="5"/>
        <v>645</v>
      </c>
      <c r="K132">
        <f>airplane!$B$17*airplane!$B$7/maximum_speed!J132+airplane!$B$11*maximum_speed!J132/airplane!$B$17</f>
        <v>0.19424567116126557</v>
      </c>
      <c r="L132">
        <f>airplane!$B$16*K132/(airplane!$B$9*airplane!$B$10)</f>
        <v>33.938017263270169</v>
      </c>
      <c r="N132">
        <f t="shared" ref="N132:N195" si="6">J132*0.3342</f>
        <v>215.559</v>
      </c>
      <c r="O132">
        <f t="shared" ref="O132:O195" si="7">L132*4.448</f>
        <v>150.95630078702573</v>
      </c>
    </row>
    <row r="133" spans="10:15" x14ac:dyDescent="0.2">
      <c r="J133">
        <f t="shared" si="5"/>
        <v>650</v>
      </c>
      <c r="K133">
        <f>airplane!$B$17*airplane!$B$7/maximum_speed!J133+airplane!$B$11*maximum_speed!J133/airplane!$B$17</f>
        <v>0.19294668971512077</v>
      </c>
      <c r="L133">
        <f>airplane!$B$16*K133/(airplane!$B$9*airplane!$B$10)</f>
        <v>33.711063146453171</v>
      </c>
      <c r="N133">
        <f t="shared" si="6"/>
        <v>217.23</v>
      </c>
      <c r="O133">
        <f t="shared" si="7"/>
        <v>149.94680887542373</v>
      </c>
    </row>
    <row r="134" spans="10:15" x14ac:dyDescent="0.2">
      <c r="J134">
        <f t="shared" si="5"/>
        <v>655</v>
      </c>
      <c r="K134">
        <f>airplane!$B$17*airplane!$B$7/maximum_speed!J134+airplane!$B$11*maximum_speed!J134/airplane!$B$17</f>
        <v>0.19166903599910143</v>
      </c>
      <c r="L134">
        <f>airplane!$B$16*K134/(airplane!$B$9*airplane!$B$10)</f>
        <v>33.487835346258095</v>
      </c>
      <c r="N134">
        <f t="shared" si="6"/>
        <v>218.90100000000001</v>
      </c>
      <c r="O134">
        <f t="shared" si="7"/>
        <v>148.95389162015601</v>
      </c>
    </row>
    <row r="135" spans="10:15" x14ac:dyDescent="0.2">
      <c r="J135">
        <f t="shared" si="5"/>
        <v>660</v>
      </c>
      <c r="K135">
        <f>airplane!$B$17*airplane!$B$7/maximum_speed!J135+airplane!$B$11*maximum_speed!J135/airplane!$B$17</f>
        <v>0.19041222529206842</v>
      </c>
      <c r="L135">
        <f>airplane!$B$16*K135/(airplane!$B$9*airplane!$B$10)</f>
        <v>33.268249173670817</v>
      </c>
      <c r="N135">
        <f t="shared" si="6"/>
        <v>220.572</v>
      </c>
      <c r="O135">
        <f t="shared" si="7"/>
        <v>147.97717232448781</v>
      </c>
    </row>
    <row r="136" spans="10:15" x14ac:dyDescent="0.2">
      <c r="J136">
        <f t="shared" si="5"/>
        <v>665</v>
      </c>
      <c r="K136">
        <f>airplane!$B$17*airplane!$B$7/maximum_speed!J136+airplane!$B$11*maximum_speed!J136/airplane!$B$17</f>
        <v>0.18917578745096181</v>
      </c>
      <c r="L136">
        <f>airplane!$B$16*K136/(airplane!$B$9*airplane!$B$10)</f>
        <v>33.052222486715209</v>
      </c>
      <c r="N136">
        <f t="shared" si="6"/>
        <v>222.24299999999999</v>
      </c>
      <c r="O136">
        <f t="shared" si="7"/>
        <v>147.01628562090926</v>
      </c>
    </row>
    <row r="137" spans="10:15" x14ac:dyDescent="0.2">
      <c r="J137">
        <f t="shared" si="5"/>
        <v>670</v>
      </c>
      <c r="K137">
        <f>airplane!$B$17*airplane!$B$7/maximum_speed!J137+airplane!$B$11*maximum_speed!J137/airplane!$B$17</f>
        <v>0.18795926636684301</v>
      </c>
      <c r="L137">
        <f>airplane!$B$16*K137/(airplane!$B$9*airplane!$B$10)</f>
        <v>32.839675595414455</v>
      </c>
      <c r="N137">
        <f t="shared" si="6"/>
        <v>223.91399999999999</v>
      </c>
      <c r="O137">
        <f t="shared" si="7"/>
        <v>146.0708770484035</v>
      </c>
    </row>
    <row r="138" spans="10:15" x14ac:dyDescent="0.2">
      <c r="J138">
        <f t="shared" si="5"/>
        <v>675</v>
      </c>
      <c r="K138">
        <f>airplane!$B$17*airplane!$B$7/maximum_speed!J138+airplane!$B$11*maximum_speed!J138/airplane!$B$17</f>
        <v>0.18676221944511223</v>
      </c>
      <c r="L138">
        <f>airplane!$B$16*K138/(airplane!$B$9*airplane!$B$10)</f>
        <v>32.630531170976212</v>
      </c>
      <c r="N138">
        <f t="shared" si="6"/>
        <v>225.58500000000001</v>
      </c>
      <c r="O138">
        <f t="shared" si="7"/>
        <v>145.14060264850221</v>
      </c>
    </row>
    <row r="139" spans="10:15" x14ac:dyDescent="0.2">
      <c r="J139">
        <f t="shared" si="5"/>
        <v>680</v>
      </c>
      <c r="K139">
        <f>airplane!$B$17*airplane!$B$7/maximum_speed!J139+airplane!$B$11*maximum_speed!J139/airplane!$B$17</f>
        <v>0.18558421710865802</v>
      </c>
      <c r="L139">
        <f>airplane!$B$16*K139/(airplane!$B$9*airplane!$B$10)</f>
        <v>32.424714158984393</v>
      </c>
      <c r="N139">
        <f t="shared" si="6"/>
        <v>227.256</v>
      </c>
      <c r="O139">
        <f t="shared" si="7"/>
        <v>144.2251285791626</v>
      </c>
    </row>
    <row r="140" spans="10:15" x14ac:dyDescent="0.2">
      <c r="J140">
        <f t="shared" ref="J140:J203" si="8">J139+5</f>
        <v>685</v>
      </c>
      <c r="K140">
        <f>airplane!$B$17*airplane!$B$7/maximum_speed!J140+airplane!$B$11*maximum_speed!J140/airplane!$B$17</f>
        <v>0.18442484232276632</v>
      </c>
      <c r="L140">
        <f>airplane!$B$16*K140/(airplane!$B$9*airplane!$B$10)</f>
        <v>32.222151696392757</v>
      </c>
      <c r="N140">
        <f t="shared" si="6"/>
        <v>228.92699999999999</v>
      </c>
      <c r="O140">
        <f t="shared" si="7"/>
        <v>143.32413074555501</v>
      </c>
    </row>
    <row r="141" spans="10:15" x14ac:dyDescent="0.2">
      <c r="J141">
        <f t="shared" si="8"/>
        <v>690</v>
      </c>
      <c r="K141">
        <f>airplane!$B$17*airplane!$B$7/maximum_speed!J141+airplane!$B$11*maximum_speed!J141/airplane!$B$17</f>
        <v>0.18328369014068568</v>
      </c>
      <c r="L141">
        <f>airplane!$B$16*K141/(airplane!$B$9*airplane!$B$10)</f>
        <v>32.022773032127347</v>
      </c>
      <c r="N141">
        <f t="shared" si="6"/>
        <v>230.59799999999998</v>
      </c>
      <c r="O141">
        <f t="shared" si="7"/>
        <v>142.43729444690246</v>
      </c>
    </row>
    <row r="142" spans="10:15" x14ac:dyDescent="0.2">
      <c r="J142">
        <f t="shared" si="8"/>
        <v>695</v>
      </c>
      <c r="K142">
        <f>airplane!$B$17*airplane!$B$7/maximum_speed!J142+airplane!$B$11*maximum_speed!J142/airplane!$B$17</f>
        <v>0.18216036726880874</v>
      </c>
      <c r="L142">
        <f>airplane!$B$16*K142/(airplane!$B$9*airplane!$B$10)</f>
        <v>31.826509451116394</v>
      </c>
      <c r="N142">
        <f t="shared" si="6"/>
        <v>232.26900000000001</v>
      </c>
      <c r="O142">
        <f t="shared" si="7"/>
        <v>141.56431403856573</v>
      </c>
    </row>
    <row r="143" spans="10:15" x14ac:dyDescent="0.2">
      <c r="J143">
        <f t="shared" si="8"/>
        <v>700</v>
      </c>
      <c r="K143">
        <f>airplane!$B$17*airplane!$B$7/maximum_speed!J143+airplane!$B$11*maximum_speed!J143/airplane!$B$17</f>
        <v>0.18105449165048826</v>
      </c>
      <c r="L143">
        <f>airplane!$B$16*K143/(airplane!$B$9*airplane!$B$10)</f>
        <v>31.633294201575872</v>
      </c>
      <c r="N143">
        <f t="shared" si="6"/>
        <v>233.94</v>
      </c>
      <c r="O143">
        <f t="shared" si="7"/>
        <v>140.7048926086095</v>
      </c>
    </row>
    <row r="144" spans="10:15" x14ac:dyDescent="0.2">
      <c r="J144">
        <f t="shared" si="8"/>
        <v>705</v>
      </c>
      <c r="K144">
        <f>airplane!$B$17*airplane!$B$7/maximum_speed!J144+airplane!$B$11*maximum_speed!J144/airplane!$B$17</f>
        <v>0.17996569206756349</v>
      </c>
      <c r="L144">
        <f>airplane!$B$16*K144/(airplane!$B$9*airplane!$B$10)</f>
        <v>31.443062425389396</v>
      </c>
      <c r="N144">
        <f t="shared" si="6"/>
        <v>235.61099999999999</v>
      </c>
      <c r="O144">
        <f t="shared" si="7"/>
        <v>139.85874166813204</v>
      </c>
    </row>
    <row r="145" spans="10:15" x14ac:dyDescent="0.2">
      <c r="J145">
        <f t="shared" si="8"/>
        <v>710</v>
      </c>
      <c r="K145">
        <f>airplane!$B$17*airplane!$B$7/maximum_speed!J145+airplane!$B$11*maximum_speed!J145/airplane!$B$17</f>
        <v>0.17889360775872318</v>
      </c>
      <c r="L145">
        <f>airplane!$B$16*K145/(airplane!$B$9*airplane!$B$10)</f>
        <v>31.255751091429747</v>
      </c>
      <c r="N145">
        <f t="shared" si="6"/>
        <v>237.28200000000001</v>
      </c>
      <c r="O145">
        <f t="shared" si="7"/>
        <v>139.02558085467953</v>
      </c>
    </row>
    <row r="146" spans="10:15" x14ac:dyDescent="0.2">
      <c r="J146">
        <f t="shared" si="8"/>
        <v>715</v>
      </c>
      <c r="K146">
        <f>airplane!$B$17*airplane!$B$7/maximum_speed!J146+airplane!$B$11*maximum_speed!J146/airplane!$B$17</f>
        <v>0.1778378880538817</v>
      </c>
      <c r="L146">
        <f>airplane!$B$16*K146/(airplane!$B$9*airplane!$B$10)</f>
        <v>31.071298931678196</v>
      </c>
      <c r="N146">
        <f t="shared" si="6"/>
        <v>238.953</v>
      </c>
      <c r="O146">
        <f t="shared" si="7"/>
        <v>138.20513764810462</v>
      </c>
    </row>
    <row r="147" spans="10:15" x14ac:dyDescent="0.2">
      <c r="J147">
        <f t="shared" si="8"/>
        <v>720</v>
      </c>
      <c r="K147">
        <f>airplane!$B$17*airplane!$B$7/maximum_speed!J147+airplane!$B$11*maximum_speed!J147/airplane!$B$17</f>
        <v>0.17679819202378907</v>
      </c>
      <c r="L147">
        <f>airplane!$B$16*K147/(airplane!$B$9*airplane!$B$10)</f>
        <v>30.889646380005409</v>
      </c>
      <c r="N147">
        <f t="shared" si="6"/>
        <v>240.624</v>
      </c>
      <c r="O147">
        <f t="shared" si="7"/>
        <v>137.39714709826407</v>
      </c>
    </row>
    <row r="148" spans="10:15" x14ac:dyDescent="0.2">
      <c r="J148">
        <f t="shared" si="8"/>
        <v>725</v>
      </c>
      <c r="K148">
        <f>airplane!$B$17*airplane!$B$7/maximum_speed!J148+airplane!$B$11*maximum_speed!J148/airplane!$B$17</f>
        <v>0.17577418814414014</v>
      </c>
      <c r="L148">
        <f>airplane!$B$16*K148/(airplane!$B$9*airplane!$B$10)</f>
        <v>30.710735513485613</v>
      </c>
      <c r="N148">
        <f t="shared" si="6"/>
        <v>242.29499999999999</v>
      </c>
      <c r="O148">
        <f t="shared" si="7"/>
        <v>136.60135156398403</v>
      </c>
    </row>
    <row r="149" spans="10:15" x14ac:dyDescent="0.2">
      <c r="J149">
        <f t="shared" si="8"/>
        <v>730</v>
      </c>
      <c r="K149">
        <f>airplane!$B$17*airplane!$B$7/maximum_speed!J149+airplane!$B$11*maximum_speed!J149/airplane!$B$17</f>
        <v>0.17476555397348739</v>
      </c>
      <c r="L149">
        <f>airplane!$B$16*K149/(airplane!$B$9*airplane!$B$10)</f>
        <v>30.534509996122512</v>
      </c>
      <c r="N149">
        <f t="shared" si="6"/>
        <v>243.96600000000001</v>
      </c>
      <c r="O149">
        <f t="shared" si="7"/>
        <v>135.81750046275295</v>
      </c>
    </row>
    <row r="150" spans="10:15" x14ac:dyDescent="0.2">
      <c r="J150">
        <f t="shared" si="8"/>
        <v>735</v>
      </c>
      <c r="K150">
        <f>airplane!$B$17*airplane!$B$7/maximum_speed!J150+airplane!$B$11*maximum_speed!J150/airplane!$B$17</f>
        <v>0.17377197584430035</v>
      </c>
      <c r="L150">
        <f>airplane!$B$16*K150/(airplane!$B$9*airplane!$B$10)</f>
        <v>30.360915024872096</v>
      </c>
      <c r="N150">
        <f t="shared" si="6"/>
        <v>245.637</v>
      </c>
      <c r="O150">
        <f t="shared" si="7"/>
        <v>135.04535003063108</v>
      </c>
    </row>
    <row r="151" spans="10:15" x14ac:dyDescent="0.2">
      <c r="J151">
        <f t="shared" si="8"/>
        <v>740</v>
      </c>
      <c r="K151">
        <f>airplane!$B$17*airplane!$B$7/maximum_speed!J151+airplane!$B$11*maximum_speed!J151/airplane!$B$17</f>
        <v>0.17279314856654929</v>
      </c>
      <c r="L151">
        <f>airplane!$B$16*K151/(airplane!$B$9*airplane!$B$10)</f>
        <v>30.189897277853699</v>
      </c>
      <c r="N151">
        <f t="shared" si="6"/>
        <v>247.30799999999999</v>
      </c>
      <c r="O151">
        <f t="shared" si="7"/>
        <v>134.28466309189326</v>
      </c>
    </row>
    <row r="152" spans="10:15" x14ac:dyDescent="0.2">
      <c r="J152">
        <f t="shared" si="8"/>
        <v>745</v>
      </c>
      <c r="K152">
        <f>airplane!$B$17*airplane!$B$7/maximum_speed!J152+airplane!$B$11*maximum_speed!J152/airplane!$B$17</f>
        <v>0.17182877514322542</v>
      </c>
      <c r="L152">
        <f>airplane!$B$16*K152/(airplane!$B$9*airplane!$B$10)</f>
        <v>30.021404864646552</v>
      </c>
      <c r="N152">
        <f t="shared" si="6"/>
        <v>248.97899999999998</v>
      </c>
      <c r="O152">
        <f t="shared" si="7"/>
        <v>133.53520883794786</v>
      </c>
    </row>
    <row r="153" spans="10:15" x14ac:dyDescent="0.2">
      <c r="J153">
        <f t="shared" si="8"/>
        <v>750</v>
      </c>
      <c r="K153">
        <f>airplane!$B$17*airplane!$B$7/maximum_speed!J153+airplane!$B$11*maximum_speed!J153/airplane!$B$17</f>
        <v>0.1708785664972402</v>
      </c>
      <c r="L153">
        <f>airplane!$B$16*K153/(airplane!$B$9*airplane!$B$10)</f>
        <v>29.855387278574419</v>
      </c>
      <c r="N153">
        <f t="shared" si="6"/>
        <v>250.65</v>
      </c>
      <c r="O153">
        <f t="shared" si="7"/>
        <v>132.79676261509903</v>
      </c>
    </row>
    <row r="154" spans="10:15" x14ac:dyDescent="0.2">
      <c r="J154">
        <f t="shared" si="8"/>
        <v>755</v>
      </c>
      <c r="K154">
        <f>airplane!$B$17*airplane!$B$7/maximum_speed!J154+airplane!$B$11*maximum_speed!J154/airplane!$B$17</f>
        <v>0.16994224120917631</v>
      </c>
      <c r="L154">
        <f>airplane!$B$16*K154/(airplane!$B$9*airplane!$B$10)</f>
        <v>29.691795350886274</v>
      </c>
      <c r="N154">
        <f t="shared" si="6"/>
        <v>252.321</v>
      </c>
      <c r="O154">
        <f t="shared" si="7"/>
        <v>132.06910572074216</v>
      </c>
    </row>
    <row r="155" spans="10:15" x14ac:dyDescent="0.2">
      <c r="J155">
        <f t="shared" si="8"/>
        <v>760</v>
      </c>
      <c r="K155">
        <f>airplane!$B$17*airplane!$B$7/maximum_speed!J155+airplane!$B$11*maximum_speed!J155/airplane!$B$17</f>
        <v>0.16901952526539057</v>
      </c>
      <c r="L155">
        <f>airplane!$B$16*K155/(airplane!$B$9*airplane!$B$10)</f>
        <v>29.530581206745595</v>
      </c>
      <c r="N155">
        <f t="shared" si="6"/>
        <v>253.99199999999999</v>
      </c>
      <c r="O155">
        <f t="shared" si="7"/>
        <v>131.35202520760441</v>
      </c>
    </row>
    <row r="156" spans="10:15" x14ac:dyDescent="0.2">
      <c r="J156">
        <f t="shared" si="8"/>
        <v>765</v>
      </c>
      <c r="K156">
        <f>airplane!$B$17*airplane!$B$7/maximum_speed!J156+airplane!$B$11*maximum_speed!J156/airplane!$B$17</f>
        <v>0.16811015181599515</v>
      </c>
      <c r="L156">
        <f>airplane!$B$16*K156/(airplane!$B$9*airplane!$B$10)</f>
        <v>29.371698222945561</v>
      </c>
      <c r="N156">
        <f t="shared" si="6"/>
        <v>255.66300000000001</v>
      </c>
      <c r="O156">
        <f t="shared" si="7"/>
        <v>130.64531369566186</v>
      </c>
    </row>
    <row r="157" spans="10:15" x14ac:dyDescent="0.2">
      <c r="J157">
        <f t="shared" si="8"/>
        <v>770</v>
      </c>
      <c r="K157">
        <f>airplane!$B$17*airplane!$B$7/maximum_speed!J157+airplane!$B$11*maximum_speed!J157/airplane!$B$17</f>
        <v>0.1672138609422682</v>
      </c>
      <c r="L157">
        <f>airplane!$B$16*K157/(airplane!$B$9*airplane!$B$10)</f>
        <v>29.215100987271764</v>
      </c>
      <c r="N157">
        <f t="shared" si="6"/>
        <v>257.334</v>
      </c>
      <c r="O157">
        <f t="shared" si="7"/>
        <v>129.94876919138483</v>
      </c>
    </row>
    <row r="158" spans="10:15" x14ac:dyDescent="0.2">
      <c r="J158">
        <f t="shared" si="8"/>
        <v>775</v>
      </c>
      <c r="K158">
        <f>airplane!$B$17*airplane!$B$7/maximum_speed!J158+airplane!$B$11*maximum_speed!J158/airplane!$B$17</f>
        <v>0.16633039943306771</v>
      </c>
      <c r="L158">
        <f>airplane!$B$16*K158/(airplane!$B$9*airplane!$B$10)</f>
        <v>29.060745259437866</v>
      </c>
      <c r="N158">
        <f t="shared" si="6"/>
        <v>259.005</v>
      </c>
      <c r="O158">
        <f t="shared" si="7"/>
        <v>129.26219491397964</v>
      </c>
    </row>
    <row r="159" spans="10:15" x14ac:dyDescent="0.2">
      <c r="J159">
        <f t="shared" si="8"/>
        <v>780</v>
      </c>
      <c r="K159">
        <f>airplane!$B$17*airplane!$B$7/maximum_speed!J159+airplane!$B$11*maximum_speed!J159/airplane!$B$17</f>
        <v>0.16545952056984511</v>
      </c>
      <c r="L159">
        <f>airplane!$B$16*K159/(airplane!$B$9*airplane!$B$10)</f>
        <v>28.908587933523876</v>
      </c>
      <c r="N159">
        <f t="shared" si="6"/>
        <v>260.67599999999999</v>
      </c>
      <c r="O159">
        <f t="shared" si="7"/>
        <v>128.58539912831421</v>
      </c>
    </row>
    <row r="160" spans="10:15" x14ac:dyDescent="0.2">
      <c r="J160">
        <f t="shared" si="8"/>
        <v>785</v>
      </c>
      <c r="K160">
        <f>airplane!$B$17*airplane!$B$7/maximum_speed!J160+airplane!$B$11*maximum_speed!J160/airplane!$B$17</f>
        <v>0.16460098391987474</v>
      </c>
      <c r="L160">
        <f>airplane!$B$16*K160/(airplane!$B$9*airplane!$B$10)</f>
        <v>28.758587001849811</v>
      </c>
      <c r="N160">
        <f t="shared" si="6"/>
        <v>262.34699999999998</v>
      </c>
      <c r="O160">
        <f t="shared" si="7"/>
        <v>127.91819498422797</v>
      </c>
    </row>
    <row r="161" spans="10:15" x14ac:dyDescent="0.2">
      <c r="J161">
        <f t="shared" si="8"/>
        <v>790</v>
      </c>
      <c r="K161">
        <f>airplane!$B$17*airplane!$B$7/maximum_speed!J161+airplane!$B$11*maximum_speed!J161/airplane!$B$17</f>
        <v>0.16375455513733528</v>
      </c>
      <c r="L161">
        <f>airplane!$B$16*K161/(airplane!$B$9*airplane!$B$10)</f>
        <v>28.61070152022122</v>
      </c>
      <c r="N161">
        <f t="shared" si="6"/>
        <v>264.01799999999997</v>
      </c>
      <c r="O161">
        <f t="shared" si="7"/>
        <v>127.26040036194399</v>
      </c>
    </row>
    <row r="162" spans="10:15" x14ac:dyDescent="0.2">
      <c r="J162">
        <f t="shared" si="8"/>
        <v>795</v>
      </c>
      <c r="K162">
        <f>airplane!$B$17*airplane!$B$7/maximum_speed!J162+airplane!$B$11*maximum_speed!J162/airplane!$B$17</f>
        <v>0.16292000577189794</v>
      </c>
      <c r="L162">
        <f>airplane!$B$16*K162/(airplane!$B$9*airplane!$B$10)</f>
        <v>28.46489157448632</v>
      </c>
      <c r="N162">
        <f t="shared" si="6"/>
        <v>265.68900000000002</v>
      </c>
      <c r="O162">
        <f t="shared" si="7"/>
        <v>126.61183772331516</v>
      </c>
    </row>
    <row r="163" spans="10:15" x14ac:dyDescent="0.2">
      <c r="J163">
        <f t="shared" si="8"/>
        <v>800</v>
      </c>
      <c r="K163">
        <f>airplane!$B$17*airplane!$B$7/maximum_speed!J163+airplane!$B$11*maximum_speed!J163/airplane!$B$17</f>
        <v>0.16209711308449196</v>
      </c>
      <c r="L163">
        <f>airplane!$B$16*K163/(airplane!$B$9*airplane!$B$10)</f>
        <v>28.321118248347084</v>
      </c>
      <c r="N163">
        <f t="shared" si="6"/>
        <v>267.36</v>
      </c>
      <c r="O163">
        <f t="shared" si="7"/>
        <v>125.97233396864785</v>
      </c>
    </row>
    <row r="164" spans="10:15" x14ac:dyDescent="0.2">
      <c r="J164">
        <f t="shared" si="8"/>
        <v>805</v>
      </c>
      <c r="K164">
        <f>airplane!$B$17*airplane!$B$7/maximum_speed!J164+airplane!$B$11*maximum_speed!J164/airplane!$B$17</f>
        <v>0.1612856598699367</v>
      </c>
      <c r="L164">
        <f>airplane!$B$16*K164/(airplane!$B$9*airplane!$B$10)</f>
        <v>28.179343592370071</v>
      </c>
      <c r="N164">
        <f t="shared" si="6"/>
        <v>269.03100000000001</v>
      </c>
      <c r="O164">
        <f t="shared" si="7"/>
        <v>125.34172029886209</v>
      </c>
    </row>
    <row r="165" spans="10:15" x14ac:dyDescent="0.2">
      <c r="J165">
        <f t="shared" si="8"/>
        <v>810</v>
      </c>
      <c r="K165">
        <f>airplane!$B$17*airplane!$B$7/maximum_speed!J165+airplane!$B$11*maximum_speed!J165/airplane!$B$17</f>
        <v>0.16048543428614229</v>
      </c>
      <c r="L165">
        <f>airplane!$B$16*K165/(airplane!$B$9*airplane!$B$10)</f>
        <v>28.039530594144857</v>
      </c>
      <c r="N165">
        <f t="shared" si="6"/>
        <v>270.702</v>
      </c>
      <c r="O165">
        <f t="shared" si="7"/>
        <v>124.71983208275634</v>
      </c>
    </row>
    <row r="166" spans="10:15" x14ac:dyDescent="0.2">
      <c r="J166">
        <f t="shared" si="8"/>
        <v>815</v>
      </c>
      <c r="K166">
        <f>airplane!$B$17*airplane!$B$7/maximum_speed!J166+airplane!$B$11*maximum_speed!J166/airplane!$B$17</f>
        <v>0.15969622968959782</v>
      </c>
      <c r="L166">
        <f>airplane!$B$16*K166/(airplane!$B$9*airplane!$B$10)</f>
        <v>27.901643149541048</v>
      </c>
      <c r="N166">
        <f t="shared" si="6"/>
        <v>272.37299999999999</v>
      </c>
      <c r="O166">
        <f t="shared" si="7"/>
        <v>124.10650872915859</v>
      </c>
    </row>
    <row r="167" spans="10:15" x14ac:dyDescent="0.2">
      <c r="J167">
        <f t="shared" si="8"/>
        <v>820</v>
      </c>
      <c r="K167">
        <f>airplane!$B$17*airplane!$B$7/maximum_speed!J167+airplane!$B$11*maximum_speed!J167/airplane!$B$17</f>
        <v>0.15891784447687798</v>
      </c>
      <c r="L167">
        <f>airplane!$B$16*K167/(airplane!$B$9*airplane!$B$10)</f>
        <v>27.76564603501679</v>
      </c>
      <c r="N167">
        <f t="shared" si="6"/>
        <v>274.04399999999998</v>
      </c>
      <c r="O167">
        <f t="shared" si="7"/>
        <v>123.5015935637547</v>
      </c>
    </row>
    <row r="168" spans="10:15" x14ac:dyDescent="0.2">
      <c r="J168">
        <f t="shared" si="8"/>
        <v>825</v>
      </c>
      <c r="K168">
        <f>airplane!$B$17*airplane!$B$7/maximum_speed!J168+airplane!$B$11*maximum_speed!J168/airplane!$B$17</f>
        <v>0.15815008193191324</v>
      </c>
      <c r="L168">
        <f>airplane!$B$16*K168/(airplane!$B$9*airplane!$B$10)</f>
        <v>27.631504880934269</v>
      </c>
      <c r="N168">
        <f t="shared" si="6"/>
        <v>275.71499999999997</v>
      </c>
      <c r="O168">
        <f t="shared" si="7"/>
        <v>122.90493371039564</v>
      </c>
    </row>
    <row r="169" spans="10:15" x14ac:dyDescent="0.2">
      <c r="J169">
        <f t="shared" si="8"/>
        <v>830</v>
      </c>
      <c r="K169">
        <f>airplane!$B$17*airplane!$B$7/maximum_speed!J169+airplane!$B$11*maximum_speed!J169/airplane!$B$17</f>
        <v>0.15739275007878031</v>
      </c>
      <c r="L169">
        <f>airplane!$B$16*K169/(airplane!$B$9*airplane!$B$10)</f>
        <v>27.49918614583973</v>
      </c>
      <c r="N169">
        <f t="shared" si="6"/>
        <v>277.38600000000002</v>
      </c>
      <c r="O169">
        <f t="shared" si="7"/>
        <v>122.31637997669513</v>
      </c>
    </row>
    <row r="170" spans="10:15" x14ac:dyDescent="0.2">
      <c r="J170">
        <f t="shared" si="8"/>
        <v>835</v>
      </c>
      <c r="K170">
        <f>airplane!$B$17*airplane!$B$7/maximum_speed!J170+airplane!$B$11*maximum_speed!J170/airplane!$B$17</f>
        <v>0.15664566153978157</v>
      </c>
      <c r="L170">
        <f>airplane!$B$16*K170/(airplane!$B$9*airplane!$B$10)</f>
        <v>27.368657091667494</v>
      </c>
      <c r="N170">
        <f t="shared" si="6"/>
        <v>279.05700000000002</v>
      </c>
      <c r="O170">
        <f t="shared" si="7"/>
        <v>121.73578674373702</v>
      </c>
    </row>
    <row r="171" spans="10:15" x14ac:dyDescent="0.2">
      <c r="J171">
        <f t="shared" si="8"/>
        <v>840</v>
      </c>
      <c r="K171">
        <f>airplane!$B$17*airplane!$B$7/maximum_speed!J171+airplane!$B$11*maximum_speed!J171/airplane!$B$17</f>
        <v>0.15590863339859326</v>
      </c>
      <c r="L171">
        <f>airplane!$B$16*K171/(airplane!$B$9*airplane!$B$10)</f>
        <v>27.239885759829686</v>
      </c>
      <c r="N171">
        <f t="shared" si="6"/>
        <v>280.72800000000001</v>
      </c>
      <c r="O171">
        <f t="shared" si="7"/>
        <v>121.16301185972246</v>
      </c>
    </row>
    <row r="172" spans="10:15" x14ac:dyDescent="0.2">
      <c r="J172">
        <f t="shared" si="8"/>
        <v>845</v>
      </c>
      <c r="K172">
        <f>airplane!$B$17*airplane!$B$7/maximum_speed!J172+airplane!$B$11*maximum_speed!J172/airplane!$B$17</f>
        <v>0.15518148706827198</v>
      </c>
      <c r="L172">
        <f>airplane!$B$16*K172/(airplane!$B$9*airplane!$B$10)</f>
        <v>27.112840948154687</v>
      </c>
      <c r="N172">
        <f t="shared" si="6"/>
        <v>282.399</v>
      </c>
      <c r="O172">
        <f t="shared" si="7"/>
        <v>120.59791653739207</v>
      </c>
    </row>
    <row r="173" spans="10:15" x14ac:dyDescent="0.2">
      <c r="J173">
        <f t="shared" si="8"/>
        <v>850</v>
      </c>
      <c r="K173">
        <f>airplane!$B$17*airplane!$B$7/maximum_speed!J173+airplane!$B$11*maximum_speed!J173/airplane!$B$17</f>
        <v>0.15446404816392006</v>
      </c>
      <c r="L173">
        <f>airplane!$B$16*K173/(airplane!$B$9*airplane!$B$10)</f>
        <v>26.987492188639617</v>
      </c>
      <c r="N173">
        <f t="shared" si="6"/>
        <v>284.07</v>
      </c>
      <c r="O173">
        <f t="shared" si="7"/>
        <v>120.04036525506903</v>
      </c>
    </row>
    <row r="174" spans="10:15" x14ac:dyDescent="0.2">
      <c r="J174">
        <f t="shared" si="8"/>
        <v>855</v>
      </c>
      <c r="K174">
        <f>airplane!$B$17*airplane!$B$7/maximum_speed!J174+airplane!$B$11*maximum_speed!J174/airplane!$B$17</f>
        <v>0.15375614637981874</v>
      </c>
      <c r="L174">
        <f>airplane!$B$16*K174/(airplane!$B$9*airplane!$B$10)</f>
        <v>26.863809725983423</v>
      </c>
      <c r="N174">
        <f t="shared" si="6"/>
        <v>285.74099999999999</v>
      </c>
      <c r="O174">
        <f t="shared" si="7"/>
        <v>119.49022566117428</v>
      </c>
    </row>
    <row r="175" spans="10:15" x14ac:dyDescent="0.2">
      <c r="J175">
        <f t="shared" si="8"/>
        <v>860</v>
      </c>
      <c r="K175">
        <f>airplane!$B$17*airplane!$B$7/maximum_speed!J175+airplane!$B$11*maximum_speed!J175/airplane!$B$17</f>
        <v>0.15305761537084739</v>
      </c>
      <c r="L175">
        <f>airplane!$B$16*K175/(airplane!$B$9*airplane!$B$10)</f>
        <v>26.741764496868804</v>
      </c>
      <c r="N175">
        <f t="shared" si="6"/>
        <v>287.41199999999998</v>
      </c>
      <c r="O175">
        <f t="shared" si="7"/>
        <v>118.94736848207245</v>
      </c>
    </row>
    <row r="176" spans="10:15" x14ac:dyDescent="0.2">
      <c r="J176">
        <f t="shared" si="8"/>
        <v>865</v>
      </c>
      <c r="K176">
        <f>airplane!$B$17*airplane!$B$7/maximum_speed!J176+airplane!$B$11*maximum_speed!J176/airplane!$B$17</f>
        <v>0.1523682926380153</v>
      </c>
      <c r="L176">
        <f>airplane!$B$16*K176/(airplane!$B$9*airplane!$B$10)</f>
        <v>26.621328109962668</v>
      </c>
      <c r="N176">
        <f t="shared" si="6"/>
        <v>289.08299999999997</v>
      </c>
      <c r="O176">
        <f t="shared" si="7"/>
        <v>118.41166743311396</v>
      </c>
    </row>
    <row r="177" spans="10:15" x14ac:dyDescent="0.2">
      <c r="J177">
        <f t="shared" si="8"/>
        <v>870</v>
      </c>
      <c r="K177">
        <f>airplane!$B$17*airplane!$B$7/maximum_speed!J177+airplane!$B$11*maximum_speed!J177/airplane!$B$17</f>
        <v>0.15168801941794074</v>
      </c>
      <c r="L177">
        <f>airplane!$B$16*K177/(airplane!$B$9*airplane!$B$10)</f>
        <v>26.502472826606247</v>
      </c>
      <c r="N177">
        <f t="shared" si="6"/>
        <v>290.75400000000002</v>
      </c>
      <c r="O177">
        <f t="shared" si="7"/>
        <v>117.8829991327446</v>
      </c>
    </row>
    <row r="178" spans="10:15" x14ac:dyDescent="0.2">
      <c r="J178">
        <f t="shared" si="8"/>
        <v>875</v>
      </c>
      <c r="K178">
        <f>airplane!$B$17*airplane!$B$7/maximum_speed!J178+airplane!$B$11*maximum_speed!J178/airplane!$B$17</f>
        <v>0.15101664057611935</v>
      </c>
      <c r="L178">
        <f>airplane!$B$16*K178/(airplane!$B$9*airplane!$B$10)</f>
        <v>26.385171542167267</v>
      </c>
      <c r="N178">
        <f t="shared" si="6"/>
        <v>292.42500000000001</v>
      </c>
      <c r="O178">
        <f t="shared" si="7"/>
        <v>117.36124301956002</v>
      </c>
    </row>
    <row r="179" spans="10:15" x14ac:dyDescent="0.2">
      <c r="J179">
        <f t="shared" si="8"/>
        <v>880</v>
      </c>
      <c r="K179">
        <f>airplane!$B$17*airplane!$B$7/maximum_speed!J179+airplane!$B$11*maximum_speed!J179/airplane!$B$17</f>
        <v>0.15035400450383085</v>
      </c>
      <c r="L179">
        <f>airplane!$B$16*K179/(airplane!$B$9*airplane!$B$10)</f>
        <v>26.269397768027805</v>
      </c>
      <c r="N179">
        <f t="shared" si="6"/>
        <v>294.096</v>
      </c>
      <c r="O179">
        <f t="shared" si="7"/>
        <v>116.84628127218768</v>
      </c>
    </row>
    <row r="180" spans="10:15" x14ac:dyDescent="0.2">
      <c r="J180">
        <f t="shared" si="8"/>
        <v>885</v>
      </c>
      <c r="K180">
        <f>airplane!$B$17*airplane!$B$7/maximum_speed!J180+airplane!$B$11*maximum_speed!J180/airplane!$B$17</f>
        <v>0.14969996301854085</v>
      </c>
      <c r="L180">
        <f>airplane!$B$16*K180/(airplane!$B$9*airplane!$B$10)</f>
        <v>26.155125614182797</v>
      </c>
      <c r="N180">
        <f t="shared" si="6"/>
        <v>295.767</v>
      </c>
      <c r="O180">
        <f t="shared" si="7"/>
        <v>116.33799873188509</v>
      </c>
    </row>
    <row r="181" spans="10:15" x14ac:dyDescent="0.2">
      <c r="J181">
        <f t="shared" si="8"/>
        <v>890</v>
      </c>
      <c r="K181">
        <f>airplane!$B$17*airplane!$B$7/maximum_speed!J181+airplane!$B$11*maximum_speed!J181/airplane!$B$17</f>
        <v>0.14905437126765939</v>
      </c>
      <c r="L181">
        <f>airplane!$B$16*K181/(airplane!$B$9*airplane!$B$10)</f>
        <v>26.042329772425013</v>
      </c>
      <c r="N181">
        <f t="shared" si="6"/>
        <v>297.43799999999999</v>
      </c>
      <c r="O181">
        <f t="shared" si="7"/>
        <v>115.83628282774647</v>
      </c>
    </row>
    <row r="182" spans="10:15" x14ac:dyDescent="0.2">
      <c r="J182">
        <f t="shared" si="8"/>
        <v>895</v>
      </c>
      <c r="K182">
        <f>airplane!$B$17*airplane!$B$7/maximum_speed!J182+airplane!$B$11*maximum_speed!J182/airplane!$B$17</f>
        <v>0.14841708763552608</v>
      </c>
      <c r="L182">
        <f>airplane!$B$16*K182/(airplane!$B$9*airplane!$B$10)</f>
        <v>25.930985500093797</v>
      </c>
      <c r="N182">
        <f t="shared" si="6"/>
        <v>299.10899999999998</v>
      </c>
      <c r="O182">
        <f t="shared" si="7"/>
        <v>115.34102350441722</v>
      </c>
    </row>
    <row r="183" spans="10:15" x14ac:dyDescent="0.2">
      <c r="J183">
        <f t="shared" si="8"/>
        <v>900</v>
      </c>
      <c r="K183">
        <f>airplane!$B$17*airplane!$B$7/maximum_speed!J183+airplane!$B$11*maximum_speed!J183/airplane!$B$17</f>
        <v>0.14778797365349508</v>
      </c>
      <c r="L183">
        <f>airplane!$B$16*K183/(airplane!$B$9*airplane!$B$10)</f>
        <v>25.821068604365365</v>
      </c>
      <c r="N183">
        <f t="shared" si="6"/>
        <v>300.77999999999997</v>
      </c>
      <c r="O183">
        <f t="shared" si="7"/>
        <v>114.85211315221716</v>
      </c>
    </row>
    <row r="184" spans="10:15" x14ac:dyDescent="0.2">
      <c r="J184">
        <f t="shared" si="8"/>
        <v>905</v>
      </c>
      <c r="K184">
        <f>airplane!$B$17*airplane!$B$7/maximum_speed!J184+airplane!$B$11*maximum_speed!J184/airplane!$B$17</f>
        <v>0.1471668939130012</v>
      </c>
      <c r="L184">
        <f>airplane!$B$16*K184/(airplane!$B$9*airplane!$B$10)</f>
        <v>25.712555427063979</v>
      </c>
      <c r="N184">
        <f t="shared" si="6"/>
        <v>302.45100000000002</v>
      </c>
      <c r="O184">
        <f t="shared" si="7"/>
        <v>114.36944653958059</v>
      </c>
    </row>
    <row r="185" spans="10:15" x14ac:dyDescent="0.2">
      <c r="J185">
        <f t="shared" si="8"/>
        <v>910</v>
      </c>
      <c r="K185">
        <f>airplane!$B$17*airplane!$B$7/maximum_speed!J185+airplane!$B$11*maximum_speed!J185/airplane!$B$17</f>
        <v>0.14655371598149153</v>
      </c>
      <c r="L185">
        <f>airplane!$B$16*K185/(airplane!$B$9*airplane!$B$10)</f>
        <v>25.605422829973801</v>
      </c>
      <c r="N185">
        <f t="shared" si="6"/>
        <v>304.12200000000001</v>
      </c>
      <c r="O185">
        <f t="shared" si="7"/>
        <v>113.89292074772348</v>
      </c>
    </row>
    <row r="186" spans="10:15" x14ac:dyDescent="0.2">
      <c r="J186">
        <f t="shared" si="8"/>
        <v>915</v>
      </c>
      <c r="K186">
        <f>airplane!$B$17*airplane!$B$7/maximum_speed!J186+airplane!$B$11*maximum_speed!J186/airplane!$B$17</f>
        <v>0.14594831032111397</v>
      </c>
      <c r="L186">
        <f>airplane!$B$16*K186/(airplane!$B$9*airplane!$B$10)</f>
        <v>25.499648180632363</v>
      </c>
      <c r="N186">
        <f t="shared" si="6"/>
        <v>305.79300000000001</v>
      </c>
      <c r="O186">
        <f t="shared" si="7"/>
        <v>113.42243510745276</v>
      </c>
    </row>
    <row r="187" spans="10:15" x14ac:dyDescent="0.2">
      <c r="J187">
        <f t="shared" si="8"/>
        <v>920</v>
      </c>
      <c r="K187">
        <f>airplane!$B$17*airplane!$B$7/maximum_speed!J187+airplane!$B$11*maximum_speed!J187/airplane!$B$17</f>
        <v>0.14535055021005655</v>
      </c>
      <c r="L187">
        <f>airplane!$B$16*K187/(airplane!$B$9*airplane!$B$10)</f>
        <v>25.395209338587236</v>
      </c>
      <c r="N187">
        <f t="shared" si="6"/>
        <v>307.464</v>
      </c>
      <c r="O187">
        <f t="shared" si="7"/>
        <v>112.95789113803603</v>
      </c>
    </row>
    <row r="188" spans="10:15" x14ac:dyDescent="0.2">
      <c r="J188">
        <f t="shared" si="8"/>
        <v>925</v>
      </c>
      <c r="K188">
        <f>airplane!$B$17*airplane!$B$7/maximum_speed!J188+airplane!$B$11*maximum_speed!J188/airplane!$B$17</f>
        <v>0.14476031166643838</v>
      </c>
      <c r="L188">
        <f>airplane!$B$16*K188/(airplane!$B$9*airplane!$B$10)</f>
        <v>25.292084642098477</v>
      </c>
      <c r="N188">
        <f t="shared" si="6"/>
        <v>309.13499999999999</v>
      </c>
      <c r="O188">
        <f t="shared" si="7"/>
        <v>112.49919248805404</v>
      </c>
    </row>
    <row r="189" spans="10:15" x14ac:dyDescent="0.2">
      <c r="J189">
        <f t="shared" si="8"/>
        <v>930</v>
      </c>
      <c r="K189">
        <f>airplane!$B$17*airplane!$B$7/maximum_speed!J189+airplane!$B$11*maximum_speed!J189/airplane!$B$17</f>
        <v>0.14417747337465564</v>
      </c>
      <c r="L189">
        <f>airplane!$B$16*K189/(airplane!$B$9*airplane!$B$10)</f>
        <v>25.190252895270021</v>
      </c>
      <c r="N189">
        <f t="shared" si="6"/>
        <v>310.80599999999998</v>
      </c>
      <c r="O189">
        <f t="shared" si="7"/>
        <v>112.04624487816106</v>
      </c>
    </row>
    <row r="190" spans="10:15" x14ac:dyDescent="0.2">
      <c r="J190">
        <f t="shared" si="8"/>
        <v>935</v>
      </c>
      <c r="K190">
        <f>airplane!$B$17*airplane!$B$7/maximum_speed!J190+airplane!$B$11*maximum_speed!J190/airplane!$B$17</f>
        <v>0.14360191661409061</v>
      </c>
      <c r="L190">
        <f>airplane!$B$16*K190/(airplane!$B$9*airplane!$B$10)</f>
        <v>25.089693355593941</v>
      </c>
      <c r="N190">
        <f t="shared" si="6"/>
        <v>312.47699999999998</v>
      </c>
      <c r="O190">
        <f t="shared" si="7"/>
        <v>111.59895604568186</v>
      </c>
    </row>
    <row r="191" spans="10:15" x14ac:dyDescent="0.2">
      <c r="J191">
        <f t="shared" si="8"/>
        <v>940</v>
      </c>
      <c r="K191">
        <f>airplane!$B$17*airplane!$B$7/maximum_speed!J191+airplane!$B$11*maximum_speed!J191/airplane!$B$17</f>
        <v>0.14303352519009624</v>
      </c>
      <c r="L191">
        <f>airplane!$B$16*K191/(airplane!$B$9*airplane!$B$10)</f>
        <v>24.990385721892284</v>
      </c>
      <c r="N191">
        <f t="shared" si="6"/>
        <v>314.14800000000002</v>
      </c>
      <c r="O191">
        <f t="shared" si="7"/>
        <v>111.15723569097689</v>
      </c>
    </row>
    <row r="192" spans="10:15" x14ac:dyDescent="0.2">
      <c r="J192">
        <f t="shared" si="8"/>
        <v>945</v>
      </c>
      <c r="K192">
        <f>airplane!$B$17*airplane!$B$7/maximum_speed!J192+airplane!$B$11*maximum_speed!J192/airplane!$B$17</f>
        <v>0.14247218536717138</v>
      </c>
      <c r="L192">
        <f>airplane!$B$16*K192/(airplane!$B$9*airplane!$B$10)</f>
        <v>24.892310122641639</v>
      </c>
      <c r="N192">
        <f t="shared" si="6"/>
        <v>315.81900000000002</v>
      </c>
      <c r="O192">
        <f t="shared" si="7"/>
        <v>110.72099542551003</v>
      </c>
    </row>
    <row r="193" spans="10:15" x14ac:dyDescent="0.2">
      <c r="J193">
        <f t="shared" si="8"/>
        <v>950</v>
      </c>
      <c r="K193">
        <f>airplane!$B$17*airplane!$B$7/maximum_speed!J193+airplane!$B$11*maximum_speed!J193/airplane!$B$17</f>
        <v>0.14191778580424652</v>
      </c>
      <c r="L193">
        <f>airplane!$B$16*K193/(airplane!$B$9*airplane!$B$10)</f>
        <v>24.795447104666465</v>
      </c>
      <c r="N193">
        <f t="shared" si="6"/>
        <v>317.49</v>
      </c>
      <c r="O193">
        <f t="shared" si="7"/>
        <v>110.29014872155645</v>
      </c>
    </row>
    <row r="194" spans="10:15" x14ac:dyDescent="0.2">
      <c r="J194">
        <f t="shared" si="8"/>
        <v>955</v>
      </c>
      <c r="K194">
        <f>airplane!$B$17*airplane!$B$7/maximum_speed!J194+airplane!$B$11*maximum_speed!J194/airplane!$B$17</f>
        <v>0.14137021749200226</v>
      </c>
      <c r="L194">
        <f>airplane!$B$16*K194/(airplane!$B$9*airplane!$B$10)</f>
        <v>24.699777622187561</v>
      </c>
      <c r="N194">
        <f t="shared" si="6"/>
        <v>319.161</v>
      </c>
      <c r="O194">
        <f t="shared" si="7"/>
        <v>109.86461086349028</v>
      </c>
    </row>
    <row r="195" spans="10:15" x14ac:dyDescent="0.2">
      <c r="J195">
        <f t="shared" si="8"/>
        <v>960</v>
      </c>
      <c r="K195">
        <f>airplane!$B$17*airplane!$B$7/maximum_speed!J195+airplane!$B$11*maximum_speed!J195/airplane!$B$17</f>
        <v>0.14082937369214676</v>
      </c>
      <c r="L195">
        <f>airplane!$B$16*K195/(airplane!$B$9*airplane!$B$10)</f>
        <v>24.60528302621281</v>
      </c>
      <c r="N195">
        <f t="shared" si="6"/>
        <v>320.83199999999999</v>
      </c>
      <c r="O195">
        <f t="shared" si="7"/>
        <v>109.44429890059459</v>
      </c>
    </row>
    <row r="196" spans="10:15" x14ac:dyDescent="0.2">
      <c r="J196">
        <f t="shared" si="8"/>
        <v>965</v>
      </c>
      <c r="K196">
        <f>airplane!$B$17*airplane!$B$7/maximum_speed!J196+airplane!$B$11*maximum_speed!J196/airplane!$B$17</f>
        <v>0.14029514987858072</v>
      </c>
      <c r="L196">
        <f>airplane!$B$16*K196/(airplane!$B$9*airplane!$B$10)</f>
        <v>24.511945054257684</v>
      </c>
      <c r="N196">
        <f t="shared" ref="N196:N217" si="9">J196*0.3342</f>
        <v>322.50299999999999</v>
      </c>
      <c r="O196">
        <f t="shared" ref="O196:O217" si="10">L196*4.448</f>
        <v>109.02913160133819</v>
      </c>
    </row>
    <row r="197" spans="10:15" x14ac:dyDescent="0.2">
      <c r="J197">
        <f t="shared" si="8"/>
        <v>970</v>
      </c>
      <c r="K197">
        <f>airplane!$B$17*airplane!$B$7/maximum_speed!J197+airplane!$B$11*maximum_speed!J197/airplane!$B$17</f>
        <v>0.1397674436803821</v>
      </c>
      <c r="L197">
        <f>airplane!$B$16*K197/(airplane!$B$9*airplane!$B$10)</f>
        <v>24.419745820383739</v>
      </c>
      <c r="N197">
        <f t="shared" si="9"/>
        <v>324.17399999999998</v>
      </c>
      <c r="O197">
        <f t="shared" si="10"/>
        <v>108.61902940906688</v>
      </c>
    </row>
    <row r="198" spans="10:15" x14ac:dyDescent="0.2">
      <c r="J198">
        <f t="shared" si="8"/>
        <v>975</v>
      </c>
      <c r="K198">
        <f>airplane!$B$17*airplane!$B$7/maximum_speed!J198+airplane!$B$11*maximum_speed!J198/airplane!$B$17</f>
        <v>0.13924615482654526</v>
      </c>
      <c r="L198">
        <f>airplane!$B$16*K198/(airplane!$B$9*airplane!$B$10)</f>
        <v>24.328667805543567</v>
      </c>
      <c r="N198">
        <f t="shared" si="9"/>
        <v>325.84499999999997</v>
      </c>
      <c r="O198">
        <f t="shared" si="10"/>
        <v>108.2139143990578</v>
      </c>
    </row>
    <row r="199" spans="10:15" x14ac:dyDescent="0.2">
      <c r="J199">
        <f t="shared" si="8"/>
        <v>980</v>
      </c>
      <c r="K199">
        <f>airplane!$B$17*airplane!$B$7/maximum_speed!J199+airplane!$B$11*maximum_speed!J199/airplane!$B$17</f>
        <v>0.13873118509241159</v>
      </c>
      <c r="L199">
        <f>airplane!$B$16*K199/(airplane!$B$9*airplane!$B$10)</f>
        <v>24.238693848221342</v>
      </c>
      <c r="N199">
        <f t="shared" si="9"/>
        <v>327.51600000000002</v>
      </c>
      <c r="O199">
        <f t="shared" si="10"/>
        <v>107.81371023688854</v>
      </c>
    </row>
    <row r="200" spans="10:15" x14ac:dyDescent="0.2">
      <c r="J200">
        <f t="shared" si="8"/>
        <v>985</v>
      </c>
      <c r="K200">
        <f>airplane!$B$17*airplane!$B$7/maximum_speed!J200+airplane!$B$11*maximum_speed!J200/airplane!$B$17</f>
        <v>0.13822243824773184</v>
      </c>
      <c r="L200">
        <f>airplane!$B$16*K200/(airplane!$B$9*airplane!$B$10)</f>
        <v>24.149807135358429</v>
      </c>
      <c r="N200">
        <f t="shared" si="9"/>
        <v>329.18700000000001</v>
      </c>
      <c r="O200">
        <f t="shared" si="10"/>
        <v>107.41834213807431</v>
      </c>
    </row>
    <row r="201" spans="10:15" x14ac:dyDescent="0.2">
      <c r="J201">
        <f t="shared" si="8"/>
        <v>990</v>
      </c>
      <c r="K201">
        <f>airplane!$B$17*airplane!$B$7/maximum_speed!J201+airplane!$B$11*maximum_speed!J201/airplane!$B$17</f>
        <v>0.13771982000630212</v>
      </c>
      <c r="L201">
        <f>airplane!$B$16*K201/(airplane!$B$9*airplane!$B$10)</f>
        <v>24.061991193553915</v>
      </c>
      <c r="N201">
        <f t="shared" si="9"/>
        <v>330.858</v>
      </c>
      <c r="O201">
        <f t="shared" si="10"/>
        <v>107.02773682892783</v>
      </c>
    </row>
    <row r="202" spans="10:15" x14ac:dyDescent="0.2">
      <c r="J202">
        <f t="shared" si="8"/>
        <v>995</v>
      </c>
      <c r="K202">
        <f>airplane!$B$17*airplane!$B$7/maximum_speed!J202+airplane!$B$11*maximum_speed!J202/airplane!$B$17</f>
        <v>0.13722323797711866</v>
      </c>
      <c r="L202">
        <f>airplane!$B$16*K202/(airplane!$B$9*airplane!$B$10)</f>
        <v>23.975229880530541</v>
      </c>
      <c r="N202">
        <f t="shared" si="9"/>
        <v>332.529</v>
      </c>
      <c r="O202">
        <f t="shared" si="10"/>
        <v>106.64182250859986</v>
      </c>
    </row>
    <row r="203" spans="10:15" x14ac:dyDescent="0.2">
      <c r="J203">
        <f t="shared" si="8"/>
        <v>1000</v>
      </c>
      <c r="K203">
        <f>airplane!$B$17*airplane!$B$7/maximum_speed!J203+airplane!$B$11*maximum_speed!J203/airplane!$B$17</f>
        <v>0.13673260161699782</v>
      </c>
      <c r="L203">
        <f>airplane!$B$16*K203/(airplane!$B$9*airplane!$B$10)</f>
        <v>23.889507376856596</v>
      </c>
      <c r="N203">
        <f t="shared" si="9"/>
        <v>334.2</v>
      </c>
      <c r="O203">
        <f t="shared" si="10"/>
        <v>106.26052881225814</v>
      </c>
    </row>
    <row r="204" spans="10:15" x14ac:dyDescent="0.2">
      <c r="J204">
        <f t="shared" ref="J204:J267" si="11">J203+5</f>
        <v>1005</v>
      </c>
      <c r="K204">
        <f>airplane!$B$17*airplane!$B$7/maximum_speed!J204+airplane!$B$11*maximum_speed!J204/airplane!$B$17</f>
        <v>0.13624782218461026</v>
      </c>
      <c r="L204">
        <f>airplane!$B$16*K204/(airplane!$B$9*airplane!$B$10)</f>
        <v>23.804808177914921</v>
      </c>
      <c r="N204">
        <f t="shared" si="9"/>
        <v>335.87099999999998</v>
      </c>
      <c r="O204">
        <f t="shared" si="10"/>
        <v>105.88378677536558</v>
      </c>
    </row>
    <row r="205" spans="10:15" x14ac:dyDescent="0.2">
      <c r="J205">
        <f t="shared" si="11"/>
        <v>1010</v>
      </c>
      <c r="K205">
        <f>airplane!$B$17*airplane!$B$7/maximum_speed!J205+airplane!$B$11*maximum_speed!J205/airplane!$B$17</f>
        <v>0.13576881269588076</v>
      </c>
      <c r="L205">
        <f>airplane!$B$16*K205/(airplane!$B$9*airplane!$B$10)</f>
        <v>23.721117086110485</v>
      </c>
      <c r="N205">
        <f t="shared" si="9"/>
        <v>337.54199999999997</v>
      </c>
      <c r="O205">
        <f t="shared" si="10"/>
        <v>105.51152879901944</v>
      </c>
    </row>
    <row r="206" spans="10:15" x14ac:dyDescent="0.2">
      <c r="J206">
        <f t="shared" si="11"/>
        <v>1015</v>
      </c>
      <c r="K206">
        <f>airplane!$B$17*airplane!$B$7/maximum_speed!J206+airplane!$B$11*maximum_speed!J206/airplane!$B$17</f>
        <v>0.13529548788070597</v>
      </c>
      <c r="L206">
        <f>airplane!$B$16*K206/(airplane!$B$9*airplane!$B$10)</f>
        <v>23.638419203308249</v>
      </c>
      <c r="N206">
        <f t="shared" si="9"/>
        <v>339.21300000000002</v>
      </c>
      <c r="O206">
        <f t="shared" si="10"/>
        <v>105.1436886163151</v>
      </c>
    </row>
    <row r="207" spans="10:15" x14ac:dyDescent="0.2">
      <c r="J207">
        <f t="shared" si="11"/>
        <v>1020</v>
      </c>
      <c r="K207">
        <f>airplane!$B$17*airplane!$B$7/maximum_speed!J207+airplane!$B$11*maximum_speed!J207/airplane!$B$17</f>
        <v>0.13482776414094541</v>
      </c>
      <c r="L207">
        <f>airplane!$B$16*K207/(airplane!$B$9*airplane!$B$10)</f>
        <v>23.556699923493479</v>
      </c>
      <c r="N207">
        <f t="shared" si="9"/>
        <v>340.88400000000001</v>
      </c>
      <c r="O207">
        <f t="shared" si="10"/>
        <v>104.780201259699</v>
      </c>
    </row>
    <row r="208" spans="10:15" x14ac:dyDescent="0.2">
      <c r="J208">
        <f t="shared" si="11"/>
        <v>1025</v>
      </c>
      <c r="K208">
        <f>airplane!$B$17*airplane!$B$7/maximum_speed!J208+airplane!$B$11*maximum_speed!J208/airplane!$B$17</f>
        <v>0.13436555950964177</v>
      </c>
      <c r="L208">
        <f>airplane!$B$16*K208/(airplane!$B$9*airplane!$B$10)</f>
        <v>23.475944925646839</v>
      </c>
      <c r="N208">
        <f t="shared" si="9"/>
        <v>342.55500000000001</v>
      </c>
      <c r="O208">
        <f t="shared" si="10"/>
        <v>104.42100302927714</v>
      </c>
    </row>
    <row r="209" spans="10:15" x14ac:dyDescent="0.2">
      <c r="J209">
        <f t="shared" si="11"/>
        <v>1030</v>
      </c>
      <c r="K209">
        <f>airplane!$B$17*airplane!$B$7/maximum_speed!J209+airplane!$B$11*maximum_speed!J209/airplane!$B$17</f>
        <v>0.13390879361142918</v>
      </c>
      <c r="L209">
        <f>airplane!$B$16*K209/(airplane!$B$9*airplane!$B$10)</f>
        <v>23.396140166827056</v>
      </c>
      <c r="N209">
        <f t="shared" si="9"/>
        <v>344.226</v>
      </c>
      <c r="O209">
        <f t="shared" si="10"/>
        <v>104.06603146204675</v>
      </c>
    </row>
    <row r="210" spans="10:15" x14ac:dyDescent="0.2">
      <c r="J210">
        <f t="shared" si="11"/>
        <v>1035</v>
      </c>
      <c r="K210">
        <f>airplane!$B$17*airplane!$B$7/maximum_speed!J210+airplane!$B$11*maximum_speed!J210/airplane!$B$17</f>
        <v>0.13345738762408893</v>
      </c>
      <c r="L210">
        <f>airplane!$B$16*K210/(airplane!$B$9*airplane!$B$10)</f>
        <v>23.317271875454026</v>
      </c>
      <c r="N210">
        <f t="shared" si="9"/>
        <v>345.89699999999999</v>
      </c>
      <c r="O210">
        <f t="shared" si="10"/>
        <v>103.71522530201952</v>
      </c>
    </row>
    <row r="211" spans="10:15" x14ac:dyDescent="0.2">
      <c r="J211">
        <f t="shared" si="11"/>
        <v>1040</v>
      </c>
      <c r="K211">
        <f>airplane!$B$17*airplane!$B$7/maximum_speed!J211+airplane!$B$11*maximum_speed!J211/airplane!$B$17</f>
        <v>0.13301126424121423</v>
      </c>
      <c r="L211">
        <f>airplane!$B$16*K211/(airplane!$B$9*airplane!$B$10)</f>
        <v>23.23932654478573</v>
      </c>
      <c r="N211">
        <f t="shared" si="9"/>
        <v>347.56799999999998</v>
      </c>
      <c r="O211">
        <f t="shared" si="10"/>
        <v>103.36852447120694</v>
      </c>
    </row>
    <row r="212" spans="10:15" x14ac:dyDescent="0.2">
      <c r="J212">
        <f t="shared" si="11"/>
        <v>1045</v>
      </c>
      <c r="K212">
        <f>airplane!$B$17*airplane!$B$7/maximum_speed!J212+airplane!$B$11*maximum_speed!J212/airplane!$B$17</f>
        <v>0.13257034763594669</v>
      </c>
      <c r="L212">
        <f>airplane!$B$16*K212/(airplane!$B$9*airplane!$B$10)</f>
        <v>23.162290926582383</v>
      </c>
      <c r="N212">
        <f t="shared" si="9"/>
        <v>349.23899999999998</v>
      </c>
      <c r="O212">
        <f t="shared" si="10"/>
        <v>103.02587004143845</v>
      </c>
    </row>
    <row r="213" spans="10:15" x14ac:dyDescent="0.2">
      <c r="J213">
        <f t="shared" si="11"/>
        <v>1050</v>
      </c>
      <c r="K213">
        <f>airplane!$B$17*airplane!$B$7/maximum_speed!J213+airplane!$B$11*maximum_speed!J213/airplane!$B$17</f>
        <v>0.13213456342574909</v>
      </c>
      <c r="L213">
        <f>airplane!$B$16*K213/(airplane!$B$9*airplane!$B$10)</f>
        <v>23.08615202495163</v>
      </c>
      <c r="N213">
        <f t="shared" si="9"/>
        <v>350.91</v>
      </c>
      <c r="O213">
        <f t="shared" si="10"/>
        <v>102.68720420698486</v>
      </c>
    </row>
    <row r="214" spans="10:15" x14ac:dyDescent="0.2">
      <c r="J214">
        <f t="shared" si="11"/>
        <v>1055</v>
      </c>
      <c r="K214">
        <f>airplane!$B$17*airplane!$B$7/maximum_speed!J214+airplane!$B$11*maximum_speed!J214/airplane!$B$17</f>
        <v>0.13170383863817967</v>
      </c>
      <c r="L214">
        <f>airplane!$B$16*K214/(airplane!$B$9*airplane!$B$10)</f>
        <v>23.010897090368747</v>
      </c>
      <c r="N214">
        <f t="shared" si="9"/>
        <v>352.58100000000002</v>
      </c>
      <c r="O214">
        <f t="shared" si="10"/>
        <v>102.35247025796019</v>
      </c>
    </row>
    <row r="215" spans="10:15" x14ac:dyDescent="0.2">
      <c r="J215">
        <f t="shared" si="11"/>
        <v>1060</v>
      </c>
      <c r="K215">
        <f>airplane!$B$17*airplane!$B$7/maximum_speed!J215+airplane!$B$11*maximum_speed!J215/airplane!$B$17</f>
        <v>0.13127810167763518</v>
      </c>
      <c r="L215">
        <f>airplane!$B$16*K215/(airplane!$B$9*airplane!$B$10)</f>
        <v>22.936513613866069</v>
      </c>
      <c r="N215">
        <f t="shared" si="9"/>
        <v>354.25200000000001</v>
      </c>
      <c r="O215">
        <f t="shared" si="10"/>
        <v>102.02161255447628</v>
      </c>
    </row>
    <row r="216" spans="10:15" x14ac:dyDescent="0.2">
      <c r="J216">
        <f t="shared" si="11"/>
        <v>1065</v>
      </c>
      <c r="K216">
        <f>airplane!$B$17*airplane!$B$7/maximum_speed!J216+airplane!$B$11*maximum_speed!J216/airplane!$B$17</f>
        <v>0.13085728229303079</v>
      </c>
      <c r="L216">
        <f>airplane!$B$16*K216/(airplane!$B$9*airplane!$B$10)</f>
        <v>22.862989321386131</v>
      </c>
      <c r="N216">
        <f t="shared" si="9"/>
        <v>355.923</v>
      </c>
      <c r="O216">
        <f t="shared" si="10"/>
        <v>101.69457650152552</v>
      </c>
    </row>
    <row r="217" spans="10:15" x14ac:dyDescent="0.2">
      <c r="J217">
        <f t="shared" si="11"/>
        <v>1070</v>
      </c>
      <c r="K217">
        <f>airplane!$B$17*airplane!$B$7/maximum_speed!J217+airplane!$B$11*maximum_speed!J217/airplane!$B$17</f>
        <v>0.13044131154638602</v>
      </c>
      <c r="L217">
        <f>airplane!$B$16*K217/(airplane!$B$9*airplane!$B$10)</f>
        <v>22.790312168293102</v>
      </c>
      <c r="N217">
        <f t="shared" si="9"/>
        <v>357.59399999999999</v>
      </c>
      <c r="O217">
        <f t="shared" si="10"/>
        <v>101.37130852456772</v>
      </c>
    </row>
    <row r="218" spans="10:15" x14ac:dyDescent="0.2">
      <c r="J218">
        <f t="shared" si="11"/>
        <v>1075</v>
      </c>
      <c r="K218">
        <f>airplane!$B$17*airplane!$B$7/maximum_speed!J218+airplane!$B$11*maximum_speed!J218/airplane!$B$17</f>
        <v>0.13003012178228748</v>
      </c>
      <c r="L218">
        <f>airplane!$B$16*K218/(airplane!$B$9*airplane!$B$10)</f>
        <v>22.718470334037395</v>
      </c>
      <c r="N218">
        <f t="shared" ref="N218:N255" si="12">J218*0.3342</f>
        <v>359.26499999999999</v>
      </c>
      <c r="O218">
        <f t="shared" ref="O218:O255" si="13">L218*4.448</f>
        <v>101.05175604579834</v>
      </c>
    </row>
    <row r="219" spans="10:15" x14ac:dyDescent="0.2">
      <c r="J219">
        <f t="shared" si="11"/>
        <v>1080</v>
      </c>
      <c r="K219">
        <f>airplane!$B$17*airplane!$B$7/maximum_speed!J219+airplane!$B$11*maximum_speed!J219/airplane!$B$17</f>
        <v>0.1296236465981998</v>
      </c>
      <c r="L219">
        <f>airplane!$B$16*K219/(airplane!$B$9*airplane!$B$10)</f>
        <v>22.647452216968492</v>
      </c>
      <c r="N219">
        <f t="shared" si="12"/>
        <v>360.93599999999998</v>
      </c>
      <c r="O219">
        <f t="shared" si="13"/>
        <v>100.73586746107587</v>
      </c>
    </row>
    <row r="220" spans="10:15" x14ac:dyDescent="0.2">
      <c r="J220">
        <f t="shared" si="11"/>
        <v>1085</v>
      </c>
      <c r="K220">
        <f>airplane!$B$17*airplane!$B$7/maximum_speed!J220+airplane!$B$11*maximum_speed!J220/airplane!$B$17</f>
        <v>0.12922182081559752</v>
      </c>
      <c r="L220">
        <f>airplane!$B$16*K220/(airplane!$B$9*airplane!$B$10)</f>
        <v>22.577246429291186</v>
      </c>
      <c r="N220">
        <f t="shared" si="12"/>
        <v>362.60699999999997</v>
      </c>
      <c r="O220">
        <f t="shared" si="13"/>
        <v>100.4235921174872</v>
      </c>
    </row>
    <row r="221" spans="10:15" x14ac:dyDescent="0.2">
      <c r="J221">
        <f t="shared" si="11"/>
        <v>1090</v>
      </c>
      <c r="K221">
        <f>airplane!$B$17*airplane!$B$7/maximum_speed!J221+airplane!$B$11*maximum_speed!J221/airplane!$B$17</f>
        <v>0.12882458045189132</v>
      </c>
      <c r="L221">
        <f>airplane!$B$16*K221/(airplane!$B$9*airplane!$B$10)</f>
        <v>22.507841792160633</v>
      </c>
      <c r="N221">
        <f t="shared" si="12"/>
        <v>364.27800000000002</v>
      </c>
      <c r="O221">
        <f t="shared" si="13"/>
        <v>100.11488029153051</v>
      </c>
    </row>
    <row r="222" spans="10:15" x14ac:dyDescent="0.2">
      <c r="J222">
        <f t="shared" si="11"/>
        <v>1095</v>
      </c>
      <c r="K222">
        <f>airplane!$B$17*airplane!$B$7/maximum_speed!J222+airplane!$B$11*maximum_speed!J222/airplane!$B$17</f>
        <v>0.12843186269312379</v>
      </c>
      <c r="L222">
        <f>airplane!$B$16*K222/(airplane!$B$9*airplane!$B$10)</f>
        <v>22.439227330911816</v>
      </c>
      <c r="N222">
        <f t="shared" si="12"/>
        <v>365.94900000000001</v>
      </c>
      <c r="O222">
        <f t="shared" si="13"/>
        <v>99.80968316789577</v>
      </c>
    </row>
    <row r="223" spans="10:15" x14ac:dyDescent="0.2">
      <c r="J223">
        <f t="shared" si="11"/>
        <v>1100</v>
      </c>
      <c r="K223">
        <f>airplane!$B$17*airplane!$B$7/maximum_speed!J223+airplane!$B$11*maximum_speed!J223/airplane!$B$17</f>
        <v>0.12804360586740937</v>
      </c>
      <c r="L223">
        <f>airplane!$B$16*K223/(airplane!$B$9*airplane!$B$10)</f>
        <v>22.371392270419069</v>
      </c>
      <c r="N223">
        <f t="shared" si="12"/>
        <v>367.62</v>
      </c>
      <c r="O223">
        <f t="shared" si="13"/>
        <v>99.507952818824023</v>
      </c>
    </row>
    <row r="224" spans="10:15" x14ac:dyDescent="0.2">
      <c r="J224">
        <f t="shared" si="11"/>
        <v>1105</v>
      </c>
      <c r="K224">
        <f>airplane!$B$17*airplane!$B$7/maximum_speed!J224+airplane!$B$11*maximum_speed!J224/airplane!$B$17</f>
        <v>0.12765974941909577</v>
      </c>
      <c r="L224">
        <f>airplane!$B$16*K224/(airplane!$B$9*airplane!$B$10)</f>
        <v>22.304326030581638</v>
      </c>
      <c r="N224">
        <f t="shared" si="12"/>
        <v>369.291</v>
      </c>
      <c r="O224">
        <f t="shared" si="13"/>
        <v>99.209642184027132</v>
      </c>
    </row>
    <row r="225" spans="10:15" x14ac:dyDescent="0.2">
      <c r="J225">
        <f t="shared" si="11"/>
        <v>1110</v>
      </c>
      <c r="K225">
        <f>airplane!$B$17*airplane!$B$7/maximum_speed!J225+airplane!$B$11*maximum_speed!J225/airplane!$B$17</f>
        <v>0.1272802338836235</v>
      </c>
      <c r="L225">
        <f>airplane!$B$16*K225/(airplane!$B$9*airplane!$B$10)</f>
        <v>22.238018221931199</v>
      </c>
      <c r="N225">
        <f t="shared" si="12"/>
        <v>370.96199999999999</v>
      </c>
      <c r="O225">
        <f t="shared" si="13"/>
        <v>98.91470505114998</v>
      </c>
    </row>
    <row r="226" spans="10:15" x14ac:dyDescent="0.2">
      <c r="J226">
        <f t="shared" si="11"/>
        <v>1115</v>
      </c>
      <c r="K226">
        <f>airplane!$B$17*airplane!$B$7/maximum_speed!J226+airplane!$B$11*maximum_speed!J226/airplane!$B$17</f>
        <v>0.12690500086306197</v>
      </c>
      <c r="L226">
        <f>airplane!$B$16*K226/(airplane!$B$9*airplane!$B$10)</f>
        <v>22.172458641357618</v>
      </c>
      <c r="N226">
        <f t="shared" si="12"/>
        <v>372.63299999999998</v>
      </c>
      <c r="O226">
        <f t="shared" si="13"/>
        <v>98.623096036758696</v>
      </c>
    </row>
    <row r="227" spans="10:15" x14ac:dyDescent="0.2">
      <c r="J227">
        <f t="shared" si="11"/>
        <v>1120</v>
      </c>
      <c r="K227">
        <f>airplane!$B$17*airplane!$B$7/maximum_speed!J227+airplane!$B$11*maximum_speed!J227/airplane!$B$17</f>
        <v>0.12653399300230075</v>
      </c>
      <c r="L227">
        <f>airplane!$B$16*K227/(airplane!$B$9*airplane!$B$10)</f>
        <v>22.107637267949148</v>
      </c>
      <c r="N227">
        <f t="shared" si="12"/>
        <v>374.30399999999997</v>
      </c>
      <c r="O227">
        <f t="shared" si="13"/>
        <v>98.334770567837822</v>
      </c>
    </row>
    <row r="228" spans="10:15" x14ac:dyDescent="0.2">
      <c r="J228">
        <f t="shared" si="11"/>
        <v>1125</v>
      </c>
      <c r="K228">
        <f>airplane!$B$17*airplane!$B$7/maximum_speed!J228+airplane!$B$11*maximum_speed!J228/airplane!$B$17</f>
        <v>0.12616715396587586</v>
      </c>
      <c r="L228">
        <f>airplane!$B$16*K228/(airplane!$B$9*airplane!$B$10)</f>
        <v>22.043544258943591</v>
      </c>
      <c r="N228">
        <f t="shared" si="12"/>
        <v>375.97500000000002</v>
      </c>
      <c r="O228">
        <f t="shared" si="13"/>
        <v>98.049684863781096</v>
      </c>
    </row>
    <row r="229" spans="10:15" x14ac:dyDescent="0.2">
      <c r="J229">
        <f t="shared" si="11"/>
        <v>1130</v>
      </c>
      <c r="K229">
        <f>airplane!$B$17*airplane!$B$7/maximum_speed!J229+airplane!$B$11*maximum_speed!J229/airplane!$B$17</f>
        <v>0.12580442841541115</v>
      </c>
      <c r="L229">
        <f>airplane!$B$16*K229/(airplane!$B$9*airplane!$B$10)</f>
        <v>21.980169945786926</v>
      </c>
      <c r="N229">
        <f t="shared" si="12"/>
        <v>377.64600000000002</v>
      </c>
      <c r="O229">
        <f t="shared" si="13"/>
        <v>97.767795918860259</v>
      </c>
    </row>
    <row r="230" spans="10:15" x14ac:dyDescent="0.2">
      <c r="J230">
        <f t="shared" si="11"/>
        <v>1135</v>
      </c>
      <c r="K230">
        <f>airplane!$B$17*airplane!$B$7/maximum_speed!J230+airplane!$B$11*maximum_speed!J230/airplane!$B$17</f>
        <v>0.12544576198765606</v>
      </c>
      <c r="L230">
        <f>airplane!$B$16*K230/(airplane!$B$9*airplane!$B$10)</f>
        <v>21.917504830296132</v>
      </c>
      <c r="N230">
        <f t="shared" si="12"/>
        <v>379.31700000000001</v>
      </c>
      <c r="O230">
        <f t="shared" si="13"/>
        <v>97.489061485157208</v>
      </c>
    </row>
    <row r="231" spans="10:15" x14ac:dyDescent="0.2">
      <c r="J231">
        <f t="shared" si="11"/>
        <v>1140</v>
      </c>
      <c r="K231">
        <f>airplane!$B$17*airplane!$B$7/maximum_speed!J231+airplane!$B$11*maximum_speed!J231/airplane!$B$17</f>
        <v>0.12509110127310122</v>
      </c>
      <c r="L231">
        <f>airplane!$B$16*K231/(airplane!$B$9*airplane!$B$10)</f>
        <v>21.855539580922965</v>
      </c>
      <c r="N231">
        <f t="shared" si="12"/>
        <v>380.988</v>
      </c>
      <c r="O231">
        <f t="shared" si="13"/>
        <v>97.213440055945355</v>
      </c>
    </row>
    <row r="232" spans="10:15" x14ac:dyDescent="0.2">
      <c r="J232">
        <f t="shared" si="11"/>
        <v>1145</v>
      </c>
      <c r="K232">
        <f>airplane!$B$17*airplane!$B$7/maximum_speed!J232+airplane!$B$11*maximum_speed!J232/airplane!$B$17</f>
        <v>0.12474039379515448</v>
      </c>
      <c r="L232">
        <f>airplane!$B$16*K232/(airplane!$B$9*airplane!$B$10)</f>
        <v>21.794265029115667</v>
      </c>
      <c r="N232">
        <f t="shared" si="12"/>
        <v>382.65899999999999</v>
      </c>
      <c r="O232">
        <f t="shared" si="13"/>
        <v>96.940890849506502</v>
      </c>
    </row>
    <row r="233" spans="10:15" x14ac:dyDescent="0.2">
      <c r="J233">
        <f t="shared" si="11"/>
        <v>1150</v>
      </c>
      <c r="K233">
        <f>airplane!$B$17*airplane!$B$7/maximum_speed!J233+airplane!$B$11*maximum_speed!J233/airplane!$B$17</f>
        <v>0.12439358798986014</v>
      </c>
      <c r="L233">
        <f>airplane!$B$16*K233/(airplane!$B$9*airplane!$B$10)</f>
        <v>21.733672165775562</v>
      </c>
      <c r="N233">
        <f t="shared" si="12"/>
        <v>384.33</v>
      </c>
      <c r="O233">
        <f t="shared" si="13"/>
        <v>96.67137379336971</v>
      </c>
    </row>
    <row r="234" spans="10:15" x14ac:dyDescent="0.2">
      <c r="J234">
        <f t="shared" si="11"/>
        <v>1155</v>
      </c>
      <c r="K234">
        <f>airplane!$B$17*airplane!$B$7/maximum_speed!J234+airplane!$B$11*maximum_speed!J234/airplane!$B$17</f>
        <v>0.12405063318614472</v>
      </c>
      <c r="L234">
        <f>airplane!$B$16*K234/(airplane!$B$9*airplane!$B$10)</f>
        <v>21.673752137805661</v>
      </c>
      <c r="N234">
        <f t="shared" si="12"/>
        <v>386.00099999999998</v>
      </c>
      <c r="O234">
        <f t="shared" si="13"/>
        <v>96.404849508959586</v>
      </c>
    </row>
    <row r="235" spans="10:15" x14ac:dyDescent="0.2">
      <c r="J235">
        <f t="shared" si="11"/>
        <v>1160</v>
      </c>
      <c r="K235">
        <f>airplane!$B$17*airplane!$B$7/maximum_speed!J235+airplane!$B$11*maximum_speed!J235/airplane!$B$17</f>
        <v>0.12371147958657407</v>
      </c>
      <c r="L235">
        <f>airplane!$B$16*K235/(airplane!$B$9*airplane!$B$10)</f>
        <v>21.614496244748597</v>
      </c>
      <c r="N235">
        <f t="shared" si="12"/>
        <v>387.67199999999997</v>
      </c>
      <c r="O235">
        <f t="shared" si="13"/>
        <v>96.14127929664177</v>
      </c>
    </row>
    <row r="236" spans="10:15" x14ac:dyDescent="0.2">
      <c r="J236">
        <f t="shared" si="11"/>
        <v>1165</v>
      </c>
      <c r="K236">
        <f>airplane!$B$17*airplane!$B$7/maximum_speed!J236+airplane!$B$11*maximum_speed!J236/airplane!$B$17</f>
        <v>0.12337607824860553</v>
      </c>
      <c r="L236">
        <f>airplane!$B$16*K236/(airplane!$B$9*airplane!$B$10)</f>
        <v>21.555895935511074</v>
      </c>
      <c r="N236">
        <f t="shared" si="12"/>
        <v>389.34300000000002</v>
      </c>
      <c r="O236">
        <f t="shared" si="13"/>
        <v>95.880625121153273</v>
      </c>
    </row>
    <row r="237" spans="10:15" x14ac:dyDescent="0.2">
      <c r="J237">
        <f t="shared" si="11"/>
        <v>1170</v>
      </c>
      <c r="K237">
        <f>airplane!$B$17*airplane!$B$7/maximum_speed!J237+airplane!$B$11*maximum_speed!J237/airplane!$B$17</f>
        <v>0.12304438106632111</v>
      </c>
      <c r="L237">
        <f>airplane!$B$16*K237/(airplane!$B$9*airplane!$B$10)</f>
        <v>21.497942805172329</v>
      </c>
      <c r="N237">
        <f t="shared" si="12"/>
        <v>391.01400000000001</v>
      </c>
      <c r="O237">
        <f t="shared" si="13"/>
        <v>95.622849597406528</v>
      </c>
    </row>
    <row r="238" spans="10:15" x14ac:dyDescent="0.2">
      <c r="J238">
        <f t="shared" si="11"/>
        <v>1175</v>
      </c>
      <c r="K238">
        <f>airplane!$B$17*airplane!$B$7/maximum_speed!J238+airplane!$B$11*maximum_speed!J238/airplane!$B$17</f>
        <v>0.122716340752627</v>
      </c>
      <c r="L238">
        <f>airplane!$B$16*K238/(airplane!$B$9*airplane!$B$10)</f>
        <v>21.440628591874074</v>
      </c>
      <c r="N238">
        <f t="shared" si="12"/>
        <v>392.685</v>
      </c>
      <c r="O238">
        <f t="shared" si="13"/>
        <v>95.367915976655894</v>
      </c>
    </row>
    <row r="239" spans="10:15" x14ac:dyDescent="0.2">
      <c r="J239">
        <f t="shared" si="11"/>
        <v>1180</v>
      </c>
      <c r="K239">
        <f>airplane!$B$17*airplane!$B$7/maximum_speed!J239+airplane!$B$11*maximum_speed!J239/airplane!$B$17</f>
        <v>0.12239191082190549</v>
      </c>
      <c r="L239">
        <f>airplane!$B$16*K239/(airplane!$B$9*airplane!$B$10)</f>
        <v>21.383945173789524</v>
      </c>
      <c r="N239">
        <f t="shared" si="12"/>
        <v>394.35599999999999</v>
      </c>
      <c r="O239">
        <f t="shared" si="13"/>
        <v>95.115788133015812</v>
      </c>
    </row>
    <row r="240" spans="10:15" x14ac:dyDescent="0.2">
      <c r="J240">
        <f t="shared" si="11"/>
        <v>1185</v>
      </c>
      <c r="K240">
        <f>airplane!$B$17*airplane!$B$7/maximum_speed!J240+airplane!$B$11*maximum_speed!J240/airplane!$B$17</f>
        <v>0.12207104557310633</v>
      </c>
      <c r="L240">
        <f>airplane!$B$16*K240/(airplane!$B$9*airplane!$B$10)</f>
        <v>21.327884566169143</v>
      </c>
      <c r="N240">
        <f t="shared" si="12"/>
        <v>396.02699999999999</v>
      </c>
      <c r="O240">
        <f t="shared" si="13"/>
        <v>94.866430550320359</v>
      </c>
    </row>
    <row r="241" spans="10:15" x14ac:dyDescent="0.2">
      <c r="J241">
        <f t="shared" si="11"/>
        <v>1190</v>
      </c>
      <c r="K241">
        <f>airplane!$B$17*airplane!$B$7/maximum_speed!J241+airplane!$B$11*maximum_speed!J241/airplane!$B$17</f>
        <v>0.12175370007326408</v>
      </c>
      <c r="L241">
        <f>airplane!$B$16*K241/(airplane!$B$9*airplane!$B$10)</f>
        <v>21.272438918460853</v>
      </c>
      <c r="N241">
        <f t="shared" si="12"/>
        <v>397.69799999999998</v>
      </c>
      <c r="O241">
        <f t="shared" si="13"/>
        <v>94.619808309313882</v>
      </c>
    </row>
    <row r="242" spans="10:15" x14ac:dyDescent="0.2">
      <c r="J242">
        <f t="shared" si="11"/>
        <v>1195</v>
      </c>
      <c r="K242">
        <f>airplane!$B$17*airplane!$B$7/maximum_speed!J242+airplane!$B$11*maximum_speed!J242/airplane!$B$17</f>
        <v>0.12143983014142951</v>
      </c>
      <c r="L242">
        <f>airplane!$B$16*K242/(airplane!$B$9*airplane!$B$10)</f>
        <v>21.217600511502585</v>
      </c>
      <c r="N242">
        <f t="shared" si="12"/>
        <v>399.36899999999997</v>
      </c>
      <c r="O242">
        <f t="shared" si="13"/>
        <v>94.375887075163504</v>
      </c>
    </row>
    <row r="243" spans="10:15" x14ac:dyDescent="0.2">
      <c r="J243">
        <f t="shared" si="11"/>
        <v>1200</v>
      </c>
      <c r="K243">
        <f>airplane!$B$17*airplane!$B$7/maximum_speed!J243+airplane!$B$11*maximum_speed!J243/airplane!$B$17</f>
        <v>0.12112939233300254</v>
      </c>
      <c r="L243">
        <f>airplane!$B$16*K243/(airplane!$B$9*airplane!$B$10)</f>
        <v>21.163361754784969</v>
      </c>
      <c r="N243">
        <f t="shared" si="12"/>
        <v>401.04</v>
      </c>
      <c r="O243">
        <f t="shared" si="13"/>
        <v>94.134633085283554</v>
      </c>
    </row>
    <row r="244" spans="10:15" x14ac:dyDescent="0.2">
      <c r="J244">
        <f t="shared" si="11"/>
        <v>1205</v>
      </c>
      <c r="K244">
        <f>airplane!$B$17*airplane!$B$7/maximum_speed!J244+airplane!$B$11*maximum_speed!J244/airplane!$B$17</f>
        <v>0.12082234392445523</v>
      </c>
      <c r="L244">
        <f>airplane!$B$16*K244/(airplane!$B$9*airplane!$B$10)</f>
        <v>21.109715183782178</v>
      </c>
      <c r="N244">
        <f t="shared" si="12"/>
        <v>402.71100000000001</v>
      </c>
      <c r="O244">
        <f t="shared" si="13"/>
        <v>93.896013137463143</v>
      </c>
    </row>
    <row r="245" spans="10:15" x14ac:dyDescent="0.2">
      <c r="J245">
        <f t="shared" si="11"/>
        <v>1210</v>
      </c>
      <c r="K245">
        <f>airplane!$B$17*airplane!$B$7/maximum_speed!J245+airplane!$B$11*maximum_speed!J245/airplane!$B$17</f>
        <v>0.12051864289843374</v>
      </c>
      <c r="L245">
        <f>airplane!$B$16*K245/(airplane!$B$9*airplane!$B$10)</f>
        <v>21.056653457348986</v>
      </c>
      <c r="N245">
        <f t="shared" si="12"/>
        <v>404.38200000000001</v>
      </c>
      <c r="O245">
        <f t="shared" si="13"/>
        <v>93.659994578288305</v>
      </c>
    </row>
    <row r="246" spans="10:15" x14ac:dyDescent="0.2">
      <c r="J246">
        <f t="shared" si="11"/>
        <v>1215</v>
      </c>
      <c r="K246">
        <f>airplane!$B$17*airplane!$B$7/maximum_speed!J246+airplane!$B$11*maximum_speed!J246/airplane!$B$17</f>
        <v>0.12021824792922786</v>
      </c>
      <c r="L246">
        <f>airplane!$B$16*K246/(airplane!$B$9*airplane!$B$10)</f>
        <v>21.004169355182075</v>
      </c>
      <c r="N246">
        <f t="shared" si="12"/>
        <v>406.053</v>
      </c>
      <c r="O246">
        <f t="shared" si="13"/>
        <v>93.426545291849877</v>
      </c>
    </row>
    <row r="247" spans="10:15" x14ac:dyDescent="0.2">
      <c r="J247">
        <f t="shared" si="11"/>
        <v>1220</v>
      </c>
      <c r="K247">
        <f>airplane!$B$17*airplane!$B$7/maximum_speed!J247+airplane!$B$11*maximum_speed!J247/airplane!$B$17</f>
        <v>0.11992111836859805</v>
      </c>
      <c r="L247">
        <f>airplane!$B$16*K247/(airplane!$B$9*airplane!$B$10)</f>
        <v>20.952255775343733</v>
      </c>
      <c r="N247">
        <f t="shared" si="12"/>
        <v>407.72399999999999</v>
      </c>
      <c r="O247">
        <f t="shared" si="13"/>
        <v>93.195633688728932</v>
      </c>
    </row>
    <row r="248" spans="10:15" x14ac:dyDescent="0.2">
      <c r="J248">
        <f t="shared" si="11"/>
        <v>1225</v>
      </c>
      <c r="K248">
        <f>airplane!$B$17*airplane!$B$7/maximum_speed!J248+airplane!$B$11*maximum_speed!J248/airplane!$B$17</f>
        <v>0.1196272142319495</v>
      </c>
      <c r="L248">
        <f>airplane!$B$16*K248/(airplane!$B$9*airplane!$B$10)</f>
        <v>20.900905731846269</v>
      </c>
      <c r="N248">
        <f t="shared" si="12"/>
        <v>409.39499999999998</v>
      </c>
      <c r="O248">
        <f t="shared" si="13"/>
        <v>92.967228695252217</v>
      </c>
    </row>
    <row r="249" spans="10:15" x14ac:dyDescent="0.2">
      <c r="J249">
        <f t="shared" si="11"/>
        <v>1230</v>
      </c>
      <c r="K249">
        <f>airplane!$B$17*airplane!$B$7/maximum_speed!J249+airplane!$B$11*maximum_speed!J249/airplane!$B$17</f>
        <v>0.11933649618484342</v>
      </c>
      <c r="L249">
        <f>airplane!$B$16*K249/(airplane!$B$9*airplane!$B$10)</f>
        <v>20.85011235229528</v>
      </c>
      <c r="N249">
        <f t="shared" si="12"/>
        <v>411.06599999999997</v>
      </c>
      <c r="O249">
        <f t="shared" si="13"/>
        <v>92.741299743009421</v>
      </c>
    </row>
    <row r="250" spans="10:15" x14ac:dyDescent="0.2">
      <c r="J250">
        <f t="shared" si="11"/>
        <v>1235</v>
      </c>
      <c r="K250">
        <f>airplane!$B$17*airplane!$B$7/maximum_speed!J250+airplane!$B$11*maximum_speed!J250/airplane!$B$17</f>
        <v>0.11904892552983598</v>
      </c>
      <c r="L250">
        <f>airplane!$B$16*K250/(airplane!$B$9*airplane!$B$10)</f>
        <v>20.79986887559021</v>
      </c>
      <c r="N250">
        <f t="shared" si="12"/>
        <v>412.73700000000002</v>
      </c>
      <c r="O250">
        <f t="shared" si="13"/>
        <v>92.517816758625258</v>
      </c>
    </row>
    <row r="251" spans="10:15" x14ac:dyDescent="0.2">
      <c r="J251">
        <f t="shared" si="11"/>
        <v>1240</v>
      </c>
      <c r="K251">
        <f>airplane!$B$17*airplane!$B$7/maximum_speed!J251+airplane!$B$11*maximum_speed!J251/airplane!$B$17</f>
        <v>0.11876446419363565</v>
      </c>
      <c r="L251">
        <f>airplane!$B$16*K251/(airplane!$B$9*airplane!$B$10)</f>
        <v>20.750168649680493</v>
      </c>
      <c r="N251">
        <f t="shared" si="12"/>
        <v>414.40800000000002</v>
      </c>
      <c r="O251">
        <f t="shared" si="13"/>
        <v>92.296750153778845</v>
      </c>
    </row>
    <row r="252" spans="10:15" x14ac:dyDescent="0.2">
      <c r="J252">
        <f t="shared" si="11"/>
        <v>1245</v>
      </c>
      <c r="K252">
        <f>airplane!$B$17*airplane!$B$7/maximum_speed!J252+airplane!$B$11*maximum_speed!J252/airplane!$B$17</f>
        <v>0.11848307471457005</v>
      </c>
      <c r="L252">
        <f>airplane!$B$16*K252/(airplane!$B$9*airplane!$B$10)</f>
        <v>20.701005129375822</v>
      </c>
      <c r="N252">
        <f t="shared" si="12"/>
        <v>416.07900000000001</v>
      </c>
      <c r="O252">
        <f t="shared" si="13"/>
        <v>92.078070815463661</v>
      </c>
    </row>
    <row r="253" spans="10:15" x14ac:dyDescent="0.2">
      <c r="J253">
        <f t="shared" si="11"/>
        <v>1250</v>
      </c>
      <c r="K253">
        <f>airplane!$B$17*airplane!$B$7/maximum_speed!J253+airplane!$B$11*maximum_speed!J253/airplane!$B$17</f>
        <v>0.1182047202303536</v>
      </c>
      <c r="L253">
        <f>airplane!$B$16*K253/(airplane!$B$9*airplane!$B$10)</f>
        <v>20.652371874208946</v>
      </c>
      <c r="N253">
        <f t="shared" si="12"/>
        <v>417.75</v>
      </c>
      <c r="O253">
        <f t="shared" si="13"/>
        <v>91.861750096481401</v>
      </c>
    </row>
    <row r="254" spans="10:15" x14ac:dyDescent="0.2">
      <c r="J254">
        <f t="shared" si="11"/>
        <v>1255</v>
      </c>
      <c r="K254">
        <f>airplane!$B$17*airplane!$B$7/maximum_speed!J254+airplane!$B$11*maximum_speed!J254/airplane!$B$17</f>
        <v>0.11792936446614742</v>
      </c>
      <c r="L254">
        <f>airplane!$B$16*K254/(airplane!$B$9*airplane!$B$10)</f>
        <v>20.604262546349528</v>
      </c>
      <c r="N254">
        <f t="shared" si="12"/>
        <v>419.42099999999999</v>
      </c>
      <c r="O254">
        <f t="shared" si="13"/>
        <v>91.647759806162711</v>
      </c>
    </row>
    <row r="255" spans="10:15" x14ac:dyDescent="0.2">
      <c r="J255">
        <f t="shared" si="11"/>
        <v>1260</v>
      </c>
      <c r="K255">
        <f>airplane!$B$17*airplane!$B$7/maximum_speed!J255+airplane!$B$11*maximum_speed!J255/airplane!$B$17</f>
        <v>0.11765697172290381</v>
      </c>
      <c r="L255">
        <f>airplane!$B$16*K255/(airplane!$B$9*airplane!$B$10)</f>
        <v>20.556670908567721</v>
      </c>
      <c r="N255">
        <f t="shared" si="12"/>
        <v>421.09199999999998</v>
      </c>
      <c r="O255">
        <f t="shared" si="13"/>
        <v>91.43607220130923</v>
      </c>
    </row>
    <row r="256" spans="10:15" x14ac:dyDescent="0.2">
      <c r="J256">
        <f t="shared" si="11"/>
        <v>1265</v>
      </c>
      <c r="K256">
        <f>airplane!$B$17*airplane!$B$7/maximum_speed!J256+airplane!$B$11*maximum_speed!J256/airplane!$B$17</f>
        <v>0.11738750686598681</v>
      </c>
      <c r="L256">
        <f>airplane!$B$16*K256/(airplane!$B$9*airplane!$B$10)</f>
        <v>20.509590822245993</v>
      </c>
      <c r="N256">
        <f t="shared" ref="N256:N289" si="14">J256*0.3342</f>
        <v>422.76299999999998</v>
      </c>
      <c r="O256">
        <f t="shared" ref="O256:O289" si="15">L256*4.448</f>
        <v>91.226659977350181</v>
      </c>
    </row>
    <row r="257" spans="10:15" x14ac:dyDescent="0.2">
      <c r="J257">
        <f t="shared" si="11"/>
        <v>1270</v>
      </c>
      <c r="K257">
        <f>airplane!$B$17*airplane!$B$7/maximum_speed!J257+airplane!$B$11*maximum_speed!J257/airplane!$B$17</f>
        <v>0.11712093531406188</v>
      </c>
      <c r="L257">
        <f>airplane!$B$16*K257/(airplane!$B$9*airplane!$B$10)</f>
        <v>20.463016245437981</v>
      </c>
      <c r="N257">
        <f t="shared" si="14"/>
        <v>424.43399999999997</v>
      </c>
      <c r="O257">
        <f t="shared" si="15"/>
        <v>91.019496259708149</v>
      </c>
    </row>
    <row r="258" spans="10:15" x14ac:dyDescent="0.2">
      <c r="J258">
        <f t="shared" si="11"/>
        <v>1275</v>
      </c>
      <c r="K258">
        <f>airplane!$B$17*airplane!$B$7/maximum_speed!J258+airplane!$B$11*maximum_speed!J258/airplane!$B$17</f>
        <v>0.11685722302824675</v>
      </c>
      <c r="L258">
        <f>airplane!$B$16*K258/(airplane!$B$9*airplane!$B$10)</f>
        <v>20.41694123097292</v>
      </c>
      <c r="N258">
        <f t="shared" si="14"/>
        <v>426.10500000000002</v>
      </c>
      <c r="O258">
        <f t="shared" si="15"/>
        <v>90.814554595367554</v>
      </c>
    </row>
    <row r="259" spans="10:15" x14ac:dyDescent="0.2">
      <c r="J259">
        <f t="shared" si="11"/>
        <v>1280</v>
      </c>
      <c r="K259">
        <f>airplane!$B$17*airplane!$B$7/maximum_speed!J259+airplane!$B$11*maximum_speed!J259/airplane!$B$17</f>
        <v>0.11659633650151671</v>
      </c>
      <c r="L259">
        <f>airplane!$B$16*K259/(airplane!$B$9*airplane!$B$10)</f>
        <v>20.371359924604615</v>
      </c>
      <c r="N259">
        <f t="shared" si="14"/>
        <v>427.77600000000001</v>
      </c>
      <c r="O259">
        <f t="shared" si="15"/>
        <v>90.611808944641339</v>
      </c>
    </row>
    <row r="260" spans="10:15" x14ac:dyDescent="0.2">
      <c r="J260">
        <f t="shared" si="11"/>
        <v>1285</v>
      </c>
      <c r="K260">
        <f>airplane!$B$17*airplane!$B$7/maximum_speed!J260+airplane!$B$11*maximum_speed!J260/airplane!$B$17</f>
        <v>0.11633824274835713</v>
      </c>
      <c r="L260">
        <f>airplane!$B$16*K260/(airplane!$B$9*airplane!$B$10)</f>
        <v>20.326266563203529</v>
      </c>
      <c r="N260">
        <f t="shared" si="14"/>
        <v>429.447</v>
      </c>
      <c r="O260">
        <f t="shared" si="15"/>
        <v>90.411233673129303</v>
      </c>
    </row>
    <row r="261" spans="10:15" x14ac:dyDescent="0.2">
      <c r="J261">
        <f t="shared" si="11"/>
        <v>1290</v>
      </c>
      <c r="K261">
        <f>airplane!$B$17*airplane!$B$7/maximum_speed!J261+airplane!$B$11*maximum_speed!J261/airplane!$B$17</f>
        <v>0.11608290929465676</v>
      </c>
      <c r="L261">
        <f>airplane!$B$16*K261/(airplane!$B$9*airplane!$B$10)</f>
        <v>20.28165547299097</v>
      </c>
      <c r="N261">
        <f t="shared" si="14"/>
        <v>431.11799999999999</v>
      </c>
      <c r="O261">
        <f t="shared" si="15"/>
        <v>90.212803543863842</v>
      </c>
    </row>
    <row r="262" spans="10:15" x14ac:dyDescent="0.2">
      <c r="J262">
        <f t="shared" si="11"/>
        <v>1295</v>
      </c>
      <c r="K262">
        <f>airplane!$B$17*airplane!$B$7/maximum_speed!J262+airplane!$B$11*maximum_speed!J262/airplane!$B$17</f>
        <v>0.11583030416783492</v>
      </c>
      <c r="L262">
        <f>airplane!$B$16*K262/(airplane!$B$9*airplane!$B$10)</f>
        <v>20.237521067814175</v>
      </c>
      <c r="N262">
        <f t="shared" si="14"/>
        <v>432.78899999999999</v>
      </c>
      <c r="O262">
        <f t="shared" si="15"/>
        <v>90.016493709637459</v>
      </c>
    </row>
    <row r="263" spans="10:15" x14ac:dyDescent="0.2">
      <c r="J263">
        <f t="shared" si="11"/>
        <v>1300</v>
      </c>
      <c r="K263">
        <f>airplane!$B$17*airplane!$B$7/maximum_speed!J263+airplane!$B$11*maximum_speed!J263/airplane!$B$17</f>
        <v>0.11558039588719693</v>
      </c>
      <c r="L263">
        <f>airplane!$B$16*K263/(airplane!$B$9*airplane!$B$10)</f>
        <v>20.193857847461196</v>
      </c>
      <c r="N263">
        <f t="shared" si="14"/>
        <v>434.46</v>
      </c>
      <c r="O263">
        <f t="shared" si="15"/>
        <v>89.822279705507412</v>
      </c>
    </row>
    <row r="264" spans="10:15" x14ac:dyDescent="0.2">
      <c r="J264">
        <f t="shared" si="11"/>
        <v>1305</v>
      </c>
      <c r="K264">
        <f>airplane!$B$17*airplane!$B$7/maximum_speed!J264+airplane!$B$11*maximum_speed!J264/airplane!$B$17</f>
        <v>0.11533315345451076</v>
      </c>
      <c r="L264">
        <f>airplane!$B$16*K264/(airplane!$B$9*airplane!$B$10)</f>
        <v>20.150660396014519</v>
      </c>
      <c r="N264">
        <f t="shared" si="14"/>
        <v>436.13099999999997</v>
      </c>
      <c r="O264">
        <f t="shared" si="15"/>
        <v>89.630137441472584</v>
      </c>
    </row>
    <row r="265" spans="10:15" x14ac:dyDescent="0.2">
      <c r="J265">
        <f t="shared" si="11"/>
        <v>1310</v>
      </c>
      <c r="K265">
        <f>airplane!$B$17*airplane!$B$7/maximum_speed!J265+airplane!$B$11*maximum_speed!J265/airplane!$B$17</f>
        <v>0.11508854634479986</v>
      </c>
      <c r="L265">
        <f>airplane!$B$16*K265/(airplane!$B$9*airplane!$B$10)</f>
        <v>20.107923380242386</v>
      </c>
      <c r="N265">
        <f t="shared" si="14"/>
        <v>437.80200000000002</v>
      </c>
      <c r="O265">
        <f t="shared" si="15"/>
        <v>89.44004319531814</v>
      </c>
    </row>
    <row r="266" spans="10:15" x14ac:dyDescent="0.2">
      <c r="J266">
        <f t="shared" si="11"/>
        <v>1315</v>
      </c>
      <c r="K266">
        <f>airplane!$B$17*airplane!$B$7/maximum_speed!J266+airplane!$B$11*maximum_speed!J266/airplane!$B$17</f>
        <v>0.1148465444973459</v>
      </c>
      <c r="L266">
        <f>airplane!$B$16*K266/(airplane!$B$9*airplane!$B$10)</f>
        <v>20.065641548026846</v>
      </c>
      <c r="N266">
        <f t="shared" si="14"/>
        <v>439.47300000000001</v>
      </c>
      <c r="O266">
        <f t="shared" si="15"/>
        <v>89.251973605623419</v>
      </c>
    </row>
    <row r="267" spans="10:15" x14ac:dyDescent="0.2">
      <c r="J267">
        <f t="shared" si="11"/>
        <v>1320</v>
      </c>
      <c r="K267">
        <f>airplane!$B$17*airplane!$B$7/maximum_speed!J267+airplane!$B$11*maximum_speed!J267/airplane!$B$17</f>
        <v>0.11460711830689593</v>
      </c>
      <c r="L267">
        <f>airplane!$B$16*K267/(airplane!$B$9*airplane!$B$10)</f>
        <v>20.023809726827473</v>
      </c>
      <c r="N267">
        <f t="shared" si="14"/>
        <v>441.14400000000001</v>
      </c>
      <c r="O267">
        <f t="shared" si="15"/>
        <v>89.065905664928607</v>
      </c>
    </row>
    <row r="268" spans="10:15" x14ac:dyDescent="0.2">
      <c r="J268">
        <f t="shared" ref="J268:J289" si="16">J267+5</f>
        <v>1325</v>
      </c>
      <c r="K268">
        <f>airplane!$B$17*airplane!$B$7/maximum_speed!J268+airplane!$B$11*maximum_speed!J268/airplane!$B$17</f>
        <v>0.11437023861506879</v>
      </c>
      <c r="L268">
        <f>airplane!$B$16*K268/(airplane!$B$9*airplane!$B$10)</f>
        <v>19.982422822179942</v>
      </c>
      <c r="N268">
        <f t="shared" si="14"/>
        <v>442.815</v>
      </c>
      <c r="O268">
        <f t="shared" si="15"/>
        <v>88.881816713056395</v>
      </c>
    </row>
    <row r="269" spans="10:15" x14ac:dyDescent="0.2">
      <c r="J269">
        <f t="shared" si="16"/>
        <v>1330</v>
      </c>
      <c r="K269">
        <f>airplane!$B$17*airplane!$B$7/maximum_speed!J269+airplane!$B$11*maximum_speed!J269/airplane!$B$17</f>
        <v>0.11413587670195521</v>
      </c>
      <c r="L269">
        <f>airplane!$B$16*K269/(airplane!$B$9*airplane!$B$10)</f>
        <v>19.941475816228401</v>
      </c>
      <c r="N269">
        <f t="shared" si="14"/>
        <v>444.48599999999999</v>
      </c>
      <c r="O269">
        <f t="shared" si="15"/>
        <v>88.699684430583929</v>
      </c>
    </row>
    <row r="270" spans="10:15" x14ac:dyDescent="0.2">
      <c r="J270">
        <f t="shared" si="16"/>
        <v>1335</v>
      </c>
      <c r="K270">
        <f>airplane!$B$17*airplane!$B$7/maximum_speed!J270+airplane!$B$11*maximum_speed!J270/airplane!$B$17</f>
        <v>0.11390400427790671</v>
      </c>
      <c r="L270">
        <f>airplane!$B$16*K270/(airplane!$B$9*airplane!$B$10)</f>
        <v>19.900963766290868</v>
      </c>
      <c r="N270">
        <f t="shared" si="14"/>
        <v>446.15699999999998</v>
      </c>
      <c r="O270">
        <f t="shared" si="15"/>
        <v>88.519486832461794</v>
      </c>
    </row>
    <row r="271" spans="10:15" x14ac:dyDescent="0.2">
      <c r="J271">
        <f t="shared" si="16"/>
        <v>1340</v>
      </c>
      <c r="K271">
        <f>airplane!$B$17*airplane!$B$7/maximum_speed!J271+airplane!$B$11*maximum_speed!J271/airplane!$B$17</f>
        <v>0.1136745934755084</v>
      </c>
      <c r="L271">
        <f>airplane!$B$16*K271/(airplane!$B$9*airplane!$B$10)</f>
        <v>19.860881803456749</v>
      </c>
      <c r="N271">
        <f t="shared" si="14"/>
        <v>447.82799999999997</v>
      </c>
      <c r="O271">
        <f t="shared" si="15"/>
        <v>88.341202261775635</v>
      </c>
    </row>
    <row r="272" spans="10:15" x14ac:dyDescent="0.2">
      <c r="J272">
        <f t="shared" si="16"/>
        <v>1345</v>
      </c>
      <c r="K272">
        <f>airplane!$B$17*airplane!$B$7/maximum_speed!J272+airplane!$B$11*maximum_speed!J272/airplane!$B$17</f>
        <v>0.1134476168417307</v>
      </c>
      <c r="L272">
        <f>airplane!$B$16*K272/(airplane!$B$9*airplane!$B$10)</f>
        <v>19.821225131215588</v>
      </c>
      <c r="N272">
        <f t="shared" si="14"/>
        <v>449.49900000000002</v>
      </c>
      <c r="O272">
        <f t="shared" si="15"/>
        <v>88.16480938364694</v>
      </c>
    </row>
    <row r="273" spans="10:15" x14ac:dyDescent="0.2">
      <c r="J273">
        <f t="shared" si="16"/>
        <v>1350</v>
      </c>
      <c r="K273">
        <f>airplane!$B$17*airplane!$B$7/maximum_speed!J273+airplane!$B$11*maximum_speed!J273/airplane!$B$17</f>
        <v>0.11322304733025561</v>
      </c>
      <c r="L273">
        <f>airplane!$B$16*K273/(airplane!$B$9*airplane!$B$10)</f>
        <v>19.781989024116353</v>
      </c>
      <c r="N273">
        <f t="shared" si="14"/>
        <v>451.17</v>
      </c>
      <c r="O273">
        <f t="shared" si="15"/>
        <v>87.990287179269544</v>
      </c>
    </row>
    <row r="274" spans="10:15" x14ac:dyDescent="0.2">
      <c r="J274">
        <f t="shared" si="16"/>
        <v>1355</v>
      </c>
      <c r="K274">
        <f>airplane!$B$17*airplane!$B$7/maximum_speed!J274+airplane!$B$11*maximum_speed!J274/airplane!$B$17</f>
        <v>0.11300085829397277</v>
      </c>
      <c r="L274">
        <f>airplane!$B$16*K274/(airplane!$B$9*airplane!$B$10)</f>
        <v>19.743168826456372</v>
      </c>
      <c r="N274">
        <f t="shared" si="14"/>
        <v>452.84100000000001</v>
      </c>
      <c r="O274">
        <f t="shared" si="15"/>
        <v>87.817614940077959</v>
      </c>
    </row>
    <row r="275" spans="10:15" x14ac:dyDescent="0.2">
      <c r="J275">
        <f t="shared" si="16"/>
        <v>1360</v>
      </c>
      <c r="K275">
        <f>airplane!$B$17*airplane!$B$7/maximum_speed!J275+airplane!$B$11*maximum_speed!J275/airplane!$B$17</f>
        <v>0.1127810234776411</v>
      </c>
      <c r="L275">
        <f>airplane!$B$16*K275/(airplane!$B$9*airplane!$B$10)</f>
        <v>19.704759950999179</v>
      </c>
      <c r="N275">
        <f t="shared" si="14"/>
        <v>454.512</v>
      </c>
      <c r="O275">
        <f t="shared" si="15"/>
        <v>87.646772262044351</v>
      </c>
    </row>
    <row r="276" spans="10:15" x14ac:dyDescent="0.2">
      <c r="J276">
        <f t="shared" si="16"/>
        <v>1365</v>
      </c>
      <c r="K276">
        <f>airplane!$B$17*airplane!$B$7/maximum_speed!J276+airplane!$B$11*maximum_speed!J276/airplane!$B$17</f>
        <v>0.11256351701071167</v>
      </c>
      <c r="L276">
        <f>airplane!$B$16*K276/(airplane!$B$9*airplane!$B$10)</f>
        <v>19.666757877720563</v>
      </c>
      <c r="N276">
        <f t="shared" si="14"/>
        <v>456.18299999999999</v>
      </c>
      <c r="O276">
        <f t="shared" si="15"/>
        <v>87.477739040101071</v>
      </c>
    </row>
    <row r="277" spans="10:15" x14ac:dyDescent="0.2">
      <c r="J277">
        <f t="shared" si="16"/>
        <v>1370</v>
      </c>
      <c r="K277">
        <f>airplane!$B$17*airplane!$B$7/maximum_speed!J277+airplane!$B$11*maximum_speed!J277/airplane!$B$17</f>
        <v>0.11234831340030783</v>
      </c>
      <c r="L277">
        <f>airplane!$B$16*K277/(airplane!$B$9*airplane!$B$10)</f>
        <v>19.629158152582082</v>
      </c>
      <c r="N277">
        <f t="shared" si="14"/>
        <v>457.85399999999998</v>
      </c>
      <c r="O277">
        <f t="shared" si="15"/>
        <v>87.310495462685111</v>
      </c>
    </row>
    <row r="278" spans="10:15" x14ac:dyDescent="0.2">
      <c r="J278">
        <f t="shared" si="16"/>
        <v>1375</v>
      </c>
      <c r="K278">
        <f>airplane!$B$17*airplane!$B$7/maximum_speed!J278+airplane!$B$11*maximum_speed!J278/airplane!$B$17</f>
        <v>0.11213538752435837</v>
      </c>
      <c r="L278">
        <f>airplane!$B$16*K278/(airplane!$B$9*airplane!$B$10)</f>
        <v>19.591956386331287</v>
      </c>
      <c r="N278">
        <f t="shared" si="14"/>
        <v>459.52499999999998</v>
      </c>
      <c r="O278">
        <f t="shared" si="15"/>
        <v>87.145022006401575</v>
      </c>
    </row>
    <row r="279" spans="10:15" x14ac:dyDescent="0.2">
      <c r="J279">
        <f t="shared" si="16"/>
        <v>1380</v>
      </c>
      <c r="K279">
        <f>airplane!$B$17*airplane!$B$7/maximum_speed!J279+airplane!$B$11*maximum_speed!J279/airplane!$B$17</f>
        <v>0.1119247146248801</v>
      </c>
      <c r="L279">
        <f>airplane!$B$16*K279/(airplane!$B$9*airplane!$B$10)</f>
        <v>19.555148253328106</v>
      </c>
      <c r="N279">
        <f t="shared" si="14"/>
        <v>461.19599999999997</v>
      </c>
      <c r="O279">
        <f t="shared" si="15"/>
        <v>86.981299430803418</v>
      </c>
    </row>
    <row r="280" spans="10:15" x14ac:dyDescent="0.2">
      <c r="J280">
        <f t="shared" si="16"/>
        <v>1385</v>
      </c>
      <c r="K280">
        <f>airplane!$B$17*airplane!$B$7/maximum_speed!J280+airplane!$B$11*maximum_speed!J280/airplane!$B$17</f>
        <v>0.11171627030140584</v>
      </c>
      <c r="L280">
        <f>airplane!$B$16*K280/(airplane!$B$9*airplane!$B$10)</f>
        <v>19.518729490396566</v>
      </c>
      <c r="N280">
        <f t="shared" si="14"/>
        <v>462.86700000000002</v>
      </c>
      <c r="O280">
        <f t="shared" si="15"/>
        <v>86.819308773283936</v>
      </c>
    </row>
    <row r="281" spans="10:15" x14ac:dyDescent="0.2">
      <c r="J281">
        <f t="shared" si="16"/>
        <v>1390</v>
      </c>
      <c r="K281">
        <f>airplane!$B$17*airplane!$B$7/maximum_speed!J281+airplane!$B$11*maximum_speed!J281/airplane!$B$17</f>
        <v>0.11151003050455421</v>
      </c>
      <c r="L281">
        <f>airplane!$B$16*K281/(airplane!$B$9*airplane!$B$10)</f>
        <v>19.482695895701358</v>
      </c>
      <c r="N281">
        <f t="shared" si="14"/>
        <v>464.53800000000001</v>
      </c>
      <c r="O281">
        <f t="shared" si="15"/>
        <v>86.659031344079651</v>
      </c>
    </row>
    <row r="282" spans="10:15" x14ac:dyDescent="0.2">
      <c r="J282">
        <f t="shared" si="16"/>
        <v>1395</v>
      </c>
      <c r="K282">
        <f>airplane!$B$17*airplane!$B$7/maximum_speed!J282+airplane!$B$11*maximum_speed!J282/airplane!$B$17</f>
        <v>0.11130597152973792</v>
      </c>
      <c r="L282">
        <f>airplane!$B$16*K282/(airplane!$B$9*airplane!$B$10)</f>
        <v>19.447043327648547</v>
      </c>
      <c r="N282">
        <f t="shared" si="14"/>
        <v>466.209</v>
      </c>
      <c r="O282">
        <f t="shared" si="15"/>
        <v>86.500448721380749</v>
      </c>
    </row>
    <row r="283" spans="10:15" x14ac:dyDescent="0.2">
      <c r="J283">
        <f t="shared" si="16"/>
        <v>1400</v>
      </c>
      <c r="K283">
        <f>airplane!$B$17*airplane!$B$7/maximum_speed!J283+airplane!$B$11*maximum_speed!J283/airplane!$B$17</f>
        <v>0.11110407001100657</v>
      </c>
      <c r="L283">
        <f>airplane!$B$16*K283/(airplane!$B$9*airplane!$B$10)</f>
        <v>19.411767703809826</v>
      </c>
      <c r="N283">
        <f t="shared" si="14"/>
        <v>467.88</v>
      </c>
      <c r="O283">
        <f t="shared" si="15"/>
        <v>86.343542746546106</v>
      </c>
    </row>
    <row r="284" spans="10:15" x14ac:dyDescent="0.2">
      <c r="J284">
        <f t="shared" si="16"/>
        <v>1405</v>
      </c>
      <c r="K284">
        <f>airplane!$B$17*airplane!$B$7/maximum_speed!J284+airplane!$B$11*maximum_speed!J284/airplane!$B$17</f>
        <v>0.11090430291502117</v>
      </c>
      <c r="L284">
        <f>airplane!$B$16*K284/(airplane!$B$9*airplane!$B$10)</f>
        <v>19.376864999869731</v>
      </c>
      <c r="N284">
        <f t="shared" si="14"/>
        <v>469.55099999999999</v>
      </c>
      <c r="O284">
        <f t="shared" si="15"/>
        <v>86.188295519420578</v>
      </c>
    </row>
    <row r="285" spans="10:15" x14ac:dyDescent="0.2">
      <c r="J285">
        <f t="shared" si="16"/>
        <v>1410</v>
      </c>
      <c r="K285">
        <f>airplane!$B$17*airplane!$B$7/maximum_speed!J285+airplane!$B$11*maximum_speed!J285/airplane!$B$17</f>
        <v>0.11070664753515677</v>
      </c>
      <c r="L285">
        <f>airplane!$B$16*K285/(airplane!$B$9*airplane!$B$10)</f>
        <v>19.342331248595311</v>
      </c>
      <c r="N285">
        <f t="shared" si="14"/>
        <v>471.22199999999998</v>
      </c>
      <c r="O285">
        <f t="shared" si="15"/>
        <v>86.034689393751947</v>
      </c>
    </row>
    <row r="286" spans="10:15" x14ac:dyDescent="0.2">
      <c r="J286">
        <f t="shared" si="16"/>
        <v>1415</v>
      </c>
      <c r="K286">
        <f>airplane!$B$17*airplane!$B$7/maximum_speed!J286+airplane!$B$11*maximum_speed!J286/airplane!$B$17</f>
        <v>0.11051108148573008</v>
      </c>
      <c r="L286">
        <f>airplane!$B$16*K286/(airplane!$B$9*airplane!$B$10)</f>
        <v>19.308162538827556</v>
      </c>
      <c r="N286">
        <f t="shared" si="14"/>
        <v>472.89299999999997</v>
      </c>
      <c r="O286">
        <f t="shared" si="15"/>
        <v>85.88270697270498</v>
      </c>
    </row>
    <row r="287" spans="10:15" x14ac:dyDescent="0.2">
      <c r="J287">
        <f t="shared" si="16"/>
        <v>1420</v>
      </c>
      <c r="K287">
        <f>airplane!$B$17*airplane!$B$7/maximum_speed!J287+airplane!$B$11*maximum_speed!J287/airplane!$B$17</f>
        <v>0.1103175826963492</v>
      </c>
      <c r="L287">
        <f>airplane!$B$16*K287/(airplane!$B$9*airplane!$B$10)</f>
        <v>19.274355014494216</v>
      </c>
      <c r="N287">
        <f t="shared" si="14"/>
        <v>474.56400000000002</v>
      </c>
      <c r="O287">
        <f t="shared" si="15"/>
        <v>85.732331104470276</v>
      </c>
    </row>
    <row r="288" spans="10:15" x14ac:dyDescent="0.2">
      <c r="J288">
        <f t="shared" si="16"/>
        <v>1425</v>
      </c>
      <c r="K288">
        <f>airplane!$B$17*airplane!$B$7/maximum_speed!J288+airplane!$B$11*maximum_speed!J288/airplane!$B$17</f>
        <v>0.11012612940638206</v>
      </c>
      <c r="L288">
        <f>airplane!$B$16*K288/(airplane!$B$9*airplane!$B$10)</f>
        <v>19.240904873643352</v>
      </c>
      <c r="N288">
        <f t="shared" si="14"/>
        <v>476.23500000000001</v>
      </c>
      <c r="O288">
        <f t="shared" si="15"/>
        <v>85.583544877965636</v>
      </c>
    </row>
    <row r="289" spans="10:15" x14ac:dyDescent="0.2">
      <c r="J289">
        <f t="shared" si="16"/>
        <v>1430</v>
      </c>
      <c r="K289">
        <f>airplane!$B$17*airplane!$B$7/maximum_speed!J289+airplane!$B$11*maximum_speed!J289/airplane!$B$17</f>
        <v>0.10993670015954105</v>
      </c>
      <c r="L289">
        <f>airplane!$B$16*K289/(airplane!$B$9*airplane!$B$10)</f>
        <v>19.207808367497169</v>
      </c>
      <c r="N289">
        <f t="shared" si="14"/>
        <v>477.90600000000001</v>
      </c>
      <c r="O289">
        <f t="shared" si="15"/>
        <v>85.43633161862742</v>
      </c>
    </row>
  </sheetData>
  <phoneticPr fontId="5" type="noConversion"/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12" shapeId="3074" r:id="rId4">
          <objectPr defaultSize="0" autoPict="0" r:id="rId5">
            <anchor moveWithCells="1" sizeWithCells="1">
              <from>
                <xdr:col>0</xdr:col>
                <xdr:colOff>25400</xdr:colOff>
                <xdr:row>1</xdr:row>
                <xdr:rowOff>139700</xdr:rowOff>
              </from>
              <to>
                <xdr:col>9</xdr:col>
                <xdr:colOff>254000</xdr:colOff>
                <xdr:row>25</xdr:row>
                <xdr:rowOff>127000</xdr:rowOff>
              </to>
            </anchor>
          </objectPr>
        </oleObject>
      </mc:Choice>
      <mc:Fallback>
        <oleObject progId="Word.Document.12" shapeId="3074" r:id="rId4"/>
      </mc:Fallback>
    </mc:AlternateContent>
  </oleObjec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C645E5A605BD94BB9169D9A4797D82A" ma:contentTypeVersion="0" ma:contentTypeDescription="Create a new document." ma:contentTypeScope="" ma:versionID="2f9c938590682d3bc6f9f06b292ad50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6862625-A6CD-4D1C-A5D6-932E358AB44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7EA7CEA-45AB-4479-8A89-7C378884A9C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7D734BC1-6006-44F6-B165-922A6A0F87BC}">
  <ds:schemaRefs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dcmitype/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airplane</vt:lpstr>
      <vt:lpstr>Forward Flight  at 3000 m</vt:lpstr>
      <vt:lpstr>Forward Flight At Sea Level</vt:lpstr>
      <vt:lpstr>Power Curve at 3000 m</vt:lpstr>
      <vt:lpstr>Power Curve at sea Level</vt:lpstr>
      <vt:lpstr>Old Forward Flight  (2)</vt:lpstr>
      <vt:lpstr>Old Forward Flight</vt:lpstr>
      <vt:lpstr>Atmosphere</vt:lpstr>
      <vt:lpstr>maximum_speed</vt:lpstr>
      <vt:lpstr>Landing</vt:lpstr>
      <vt:lpstr>Ceiling</vt:lpstr>
      <vt:lpstr>Rate of climb</vt:lpstr>
      <vt:lpstr>Turns</vt:lpstr>
      <vt:lpstr>Hand_launch</vt:lpstr>
    </vt:vector>
  </TitlesOfParts>
  <Company>Purdue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Engineering Computer Network</dc:creator>
  <cp:lastModifiedBy>Hanh Nguyen</cp:lastModifiedBy>
  <dcterms:created xsi:type="dcterms:W3CDTF">2011-04-03T21:04:55Z</dcterms:created>
  <dcterms:modified xsi:type="dcterms:W3CDTF">2018-04-22T20:54:24Z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0x0101008C645E5A605BD94BB9169D9A4797D82A</vt:lpwstr>
  </property>
</Properties>
</file>