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mp\z_Java\UXM_2\"/>
    </mc:Choice>
  </mc:AlternateContent>
  <xr:revisionPtr revIDLastSave="0" documentId="10_ncr:100000_{613AEA66-FD9C-419C-B86E-AE2628299844}" xr6:coauthVersionLast="31" xr6:coauthVersionMax="31" xr10:uidLastSave="{00000000-0000-0000-0000-000000000000}"/>
  <bookViews>
    <workbookView xWindow="25080" yWindow="0" windowWidth="23565" windowHeight="8610" tabRatio="703" activeTab="4" xr2:uid="{00000000-000D-0000-FFFF-FFFF00000000}"/>
  </bookViews>
  <sheets>
    <sheet name="Ulazni" sheetId="1" r:id="rId1"/>
    <sheet name="ANTL" sheetId="8" r:id="rId2"/>
    <sheet name="IPRT" sheetId="2" r:id="rId3"/>
    <sheet name="IPIF-VLANIF" sheetId="7" r:id="rId4"/>
    <sheet name="xml" sheetId="3" r:id="rId5"/>
  </sheets>
  <definedNames>
    <definedName name="_xlnm._FilterDatabase" localSheetId="1" hidden="1">ANTL!$A$4:$H$4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4" i="3" l="1"/>
  <c r="K204" i="3" s="1"/>
  <c r="E15" i="2" l="1"/>
  <c r="E17" i="2"/>
  <c r="E156" i="8" l="1"/>
  <c r="E151" i="8"/>
  <c r="A149" i="8"/>
  <c r="E149" i="8" s="1"/>
  <c r="E143" i="8"/>
  <c r="E138" i="8"/>
  <c r="A136" i="8"/>
  <c r="E136" i="8" s="1"/>
  <c r="E130" i="8"/>
  <c r="E125" i="8"/>
  <c r="A123" i="8"/>
  <c r="E123" i="8" s="1"/>
  <c r="E117" i="8"/>
  <c r="E112" i="8"/>
  <c r="A110" i="8"/>
  <c r="E110" i="8" s="1"/>
  <c r="E104" i="8"/>
  <c r="E99" i="8"/>
  <c r="A97" i="8"/>
  <c r="E97" i="8" s="1"/>
  <c r="E91" i="8"/>
  <c r="E86" i="8"/>
  <c r="A84" i="8"/>
  <c r="E84" i="8" s="1"/>
  <c r="E78" i="8"/>
  <c r="E73" i="8"/>
  <c r="A71" i="8"/>
  <c r="E71" i="8" s="1"/>
  <c r="E65" i="8"/>
  <c r="E60" i="8"/>
  <c r="A58" i="8"/>
  <c r="E58" i="8" s="1"/>
  <c r="E52" i="8"/>
  <c r="E47" i="8"/>
  <c r="A45" i="8"/>
  <c r="E45" i="8" s="1"/>
  <c r="E39" i="8"/>
  <c r="E34" i="8"/>
  <c r="A32" i="8"/>
  <c r="E32" i="8" s="1"/>
  <c r="E26" i="8"/>
  <c r="E21" i="8"/>
  <c r="A19" i="8"/>
  <c r="E19" i="8" s="1"/>
  <c r="A6" i="8"/>
  <c r="D5" i="8"/>
  <c r="A5" i="8"/>
  <c r="E6" i="8" l="1"/>
  <c r="F6" i="8" s="1"/>
  <c r="F7" i="8"/>
  <c r="E8" i="8"/>
  <c r="F8" i="8" s="1"/>
  <c r="F9" i="8"/>
  <c r="F10" i="8"/>
  <c r="F11" i="8"/>
  <c r="F12" i="8"/>
  <c r="E13" i="8"/>
  <c r="F13" i="8" s="1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I192" i="3" l="1"/>
  <c r="A75" i="7" l="1"/>
  <c r="B75" i="7" s="1"/>
  <c r="C75" i="7" s="1"/>
  <c r="B74" i="7"/>
  <c r="C74" i="7" s="1"/>
  <c r="A70" i="7"/>
  <c r="B70" i="7" s="1"/>
  <c r="C70" i="7" s="1"/>
  <c r="B69" i="7"/>
  <c r="C69" i="7" s="1"/>
  <c r="A65" i="7"/>
  <c r="B65" i="7" s="1"/>
  <c r="C65" i="7" s="1"/>
  <c r="B64" i="7"/>
  <c r="C64" i="7" s="1"/>
  <c r="B59" i="7"/>
  <c r="C59" i="7" s="1"/>
  <c r="A60" i="7"/>
  <c r="B60" i="7" s="1"/>
  <c r="C60" i="7" s="1"/>
  <c r="C4" i="7"/>
  <c r="C5" i="7"/>
  <c r="C7" i="7"/>
  <c r="C8" i="7"/>
  <c r="C9" i="7"/>
  <c r="C12" i="7"/>
  <c r="C13" i="7"/>
  <c r="C14" i="7"/>
  <c r="C15" i="7"/>
  <c r="C17" i="7"/>
  <c r="C18" i="7"/>
  <c r="C20" i="7"/>
  <c r="C21" i="7"/>
  <c r="C22" i="7"/>
  <c r="C25" i="7"/>
  <c r="C26" i="7"/>
  <c r="C27" i="7"/>
  <c r="C28" i="7"/>
  <c r="C30" i="7"/>
  <c r="C31" i="7"/>
  <c r="C33" i="7"/>
  <c r="C34" i="7"/>
  <c r="C35" i="7"/>
  <c r="C38" i="7"/>
  <c r="C39" i="7"/>
  <c r="C40" i="7"/>
  <c r="C41" i="7"/>
  <c r="C43" i="7"/>
  <c r="C44" i="7"/>
  <c r="C46" i="7"/>
  <c r="C47" i="7"/>
  <c r="C48" i="7"/>
  <c r="C51" i="7"/>
  <c r="C52" i="7"/>
  <c r="C53" i="7"/>
  <c r="C55" i="7"/>
  <c r="C61" i="7"/>
  <c r="C62" i="7"/>
  <c r="C66" i="7"/>
  <c r="C67" i="7"/>
  <c r="C71" i="7"/>
  <c r="C72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A50" i="7"/>
  <c r="A49" i="7"/>
  <c r="B45" i="7"/>
  <c r="C45" i="7" s="1"/>
  <c r="A37" i="7"/>
  <c r="A36" i="7"/>
  <c r="B32" i="7"/>
  <c r="C32" i="7" s="1"/>
  <c r="A24" i="7"/>
  <c r="A23" i="7"/>
  <c r="B19" i="7"/>
  <c r="C19" i="7" s="1"/>
  <c r="B6" i="7"/>
  <c r="C6" i="7" s="1"/>
  <c r="A11" i="7"/>
  <c r="A10" i="7"/>
  <c r="N2" i="1"/>
  <c r="N3" i="1"/>
  <c r="N4" i="1"/>
  <c r="N5" i="1"/>
  <c r="N6" i="1"/>
  <c r="N7" i="1"/>
  <c r="N1" i="1"/>
  <c r="P4" i="1"/>
  <c r="P3" i="1"/>
  <c r="P2" i="1"/>
  <c r="P1" i="1"/>
  <c r="P6" i="1"/>
  <c r="K192" i="3" s="1"/>
  <c r="P7" i="1"/>
  <c r="P5" i="1"/>
  <c r="B36" i="7" l="1"/>
  <c r="C36" i="7" s="1"/>
  <c r="B49" i="7"/>
  <c r="C49" i="7" s="1"/>
  <c r="B10" i="7"/>
  <c r="C10" i="7" s="1"/>
  <c r="B23" i="7"/>
  <c r="C23" i="7" s="1"/>
  <c r="O6" i="1"/>
  <c r="O5" i="1"/>
  <c r="G20" i="2" l="1"/>
  <c r="G19" i="2"/>
  <c r="Q9" i="1"/>
  <c r="Q8" i="1"/>
  <c r="Q2" i="1"/>
  <c r="B11" i="7" s="1"/>
  <c r="C11" i="7" s="1"/>
  <c r="Q3" i="1"/>
  <c r="Q4" i="1"/>
  <c r="Q5" i="1"/>
  <c r="B24" i="7" s="1"/>
  <c r="C24" i="7" s="1"/>
  <c r="Q6" i="1"/>
  <c r="B37" i="7" s="1"/>
  <c r="C37" i="7" s="1"/>
  <c r="Q7" i="1"/>
  <c r="Q1" i="1"/>
  <c r="I160" i="3" l="1"/>
  <c r="K160" i="3" s="1"/>
  <c r="B50" i="7"/>
  <c r="C50" i="7" s="1"/>
  <c r="G26" i="2"/>
  <c r="I146" i="3"/>
  <c r="K146" i="3" s="1"/>
  <c r="D21" i="2"/>
  <c r="G21" i="2" s="1"/>
  <c r="I153" i="3"/>
  <c r="K153" i="3" s="1"/>
  <c r="D22" i="2"/>
  <c r="G22" i="2" s="1"/>
  <c r="I139" i="3"/>
  <c r="K139" i="3" s="1"/>
  <c r="G25" i="2"/>
  <c r="G24" i="2"/>
  <c r="G23" i="2"/>
  <c r="C27" i="1"/>
  <c r="I193" i="3" s="1"/>
  <c r="K193" i="3" s="1"/>
  <c r="C25" i="1"/>
  <c r="H58" i="1"/>
  <c r="I97" i="3" s="1"/>
  <c r="K97" i="3" s="1"/>
  <c r="G58" i="1"/>
  <c r="I90" i="3" s="1"/>
  <c r="K90" i="3" s="1"/>
  <c r="F58" i="1"/>
  <c r="I83" i="3" s="1"/>
  <c r="K83" i="3" s="1"/>
  <c r="E58" i="1"/>
  <c r="I76" i="3" s="1"/>
  <c r="K76" i="3" s="1"/>
  <c r="D63" i="1" l="1"/>
  <c r="K199" i="3"/>
  <c r="I67" i="3"/>
  <c r="B73" i="7"/>
  <c r="C73" i="7" s="1"/>
  <c r="B58" i="7"/>
  <c r="C58" i="7" s="1"/>
  <c r="B63" i="7"/>
  <c r="C63" i="7" s="1"/>
  <c r="B68" i="7"/>
  <c r="C68" i="7" s="1"/>
  <c r="B42" i="7"/>
  <c r="C42" i="7" s="1"/>
  <c r="B29" i="7"/>
  <c r="C29" i="7" s="1"/>
  <c r="B16" i="7"/>
  <c r="C16" i="7" s="1"/>
  <c r="B3" i="7"/>
  <c r="C3" i="7" s="1"/>
  <c r="F63" i="1"/>
  <c r="I103" i="3" s="1"/>
  <c r="F64" i="1"/>
  <c r="I104" i="3" s="1"/>
  <c r="I30" i="1"/>
  <c r="G30" i="1"/>
  <c r="I157" i="3"/>
  <c r="K157" i="3" s="1"/>
  <c r="I150" i="3"/>
  <c r="I143" i="3"/>
  <c r="K143" i="3" s="1"/>
  <c r="B22" i="2"/>
  <c r="E22" i="2" s="1"/>
  <c r="B21" i="2"/>
  <c r="E21" i="2" s="1"/>
  <c r="B14" i="2"/>
  <c r="E16" i="2" s="1"/>
  <c r="C20" i="2"/>
  <c r="F20" i="2" s="1"/>
  <c r="C22" i="2"/>
  <c r="F22" i="2" s="1"/>
  <c r="F55" i="1"/>
  <c r="I80" i="3" s="1"/>
  <c r="G55" i="1"/>
  <c r="I87" i="3" s="1"/>
  <c r="H55" i="1"/>
  <c r="I94" i="3" s="1"/>
  <c r="E55" i="1"/>
  <c r="I73" i="3" s="1"/>
  <c r="F61" i="1"/>
  <c r="I85" i="3" s="1"/>
  <c r="K85" i="3" s="1"/>
  <c r="G61" i="1"/>
  <c r="I92" i="3" s="1"/>
  <c r="K92" i="3" s="1"/>
  <c r="H61" i="1"/>
  <c r="I99" i="3" s="1"/>
  <c r="K99" i="3" s="1"/>
  <c r="E61" i="1"/>
  <c r="I78" i="3" s="1"/>
  <c r="K78" i="3" s="1"/>
  <c r="F60" i="1"/>
  <c r="I84" i="3" s="1"/>
  <c r="K84" i="3" s="1"/>
  <c r="G60" i="1"/>
  <c r="I91" i="3" s="1"/>
  <c r="K91" i="3" s="1"/>
  <c r="H60" i="1"/>
  <c r="I98" i="3" s="1"/>
  <c r="K98" i="3" s="1"/>
  <c r="E60" i="1"/>
  <c r="I77" i="3" s="1"/>
  <c r="K77" i="3" s="1"/>
  <c r="F57" i="1"/>
  <c r="I82" i="3" s="1"/>
  <c r="K82" i="3" s="1"/>
  <c r="G57" i="1"/>
  <c r="I89" i="3" s="1"/>
  <c r="K89" i="3" s="1"/>
  <c r="H57" i="1"/>
  <c r="I96" i="3" s="1"/>
  <c r="K96" i="3" s="1"/>
  <c r="E57" i="1"/>
  <c r="I75" i="3" s="1"/>
  <c r="K75" i="3" s="1"/>
  <c r="F56" i="1"/>
  <c r="I81" i="3" s="1"/>
  <c r="K81" i="3" s="1"/>
  <c r="G56" i="1"/>
  <c r="I88" i="3" s="1"/>
  <c r="K88" i="3" s="1"/>
  <c r="H56" i="1"/>
  <c r="I95" i="3" s="1"/>
  <c r="K95" i="3" s="1"/>
  <c r="E56" i="1"/>
  <c r="I74" i="3" s="1"/>
  <c r="K74" i="3" s="1"/>
  <c r="C52" i="1"/>
  <c r="I63" i="3" s="1"/>
  <c r="K63" i="3" s="1"/>
  <c r="C51" i="1"/>
  <c r="I62" i="3" s="1"/>
  <c r="K62" i="3" s="1"/>
  <c r="I58" i="3"/>
  <c r="K58" i="3" s="1"/>
  <c r="B23" i="2" l="1"/>
  <c r="E23" i="2" s="1"/>
  <c r="C19" i="2"/>
  <c r="C28" i="2"/>
  <c r="G28" i="2" s="1"/>
  <c r="C25" i="2"/>
  <c r="F25" i="2" s="1"/>
  <c r="C23" i="2"/>
  <c r="F23" i="2" s="1"/>
  <c r="C26" i="2"/>
  <c r="F26" i="2" s="1"/>
  <c r="C27" i="2"/>
  <c r="F27" i="2" s="1"/>
  <c r="K185" i="3"/>
  <c r="K186" i="3"/>
  <c r="K178" i="3"/>
  <c r="C21" i="2"/>
  <c r="F21" i="2" s="1"/>
  <c r="C24" i="2"/>
  <c r="F24" i="2" s="1"/>
  <c r="B24" i="2"/>
  <c r="E24" i="2" s="1"/>
  <c r="I132" i="3"/>
  <c r="K132" i="3" s="1"/>
  <c r="I130" i="3"/>
  <c r="K130" i="3" s="1"/>
  <c r="E25" i="1"/>
  <c r="E5" i="8" s="1"/>
  <c r="F5" i="8" s="1"/>
  <c r="I7" i="3"/>
  <c r="I138" i="3"/>
  <c r="C43" i="1"/>
  <c r="E41" i="1"/>
  <c r="B2" i="7" l="1"/>
  <c r="C2" i="7" s="1"/>
  <c r="B57" i="7"/>
  <c r="C57" i="7" s="1"/>
  <c r="F25" i="1"/>
  <c r="I68" i="3" s="1"/>
  <c r="I33" i="3"/>
  <c r="L33" i="3" s="1"/>
  <c r="I22" i="3"/>
  <c r="I159" i="3"/>
  <c r="K159" i="3" s="1"/>
  <c r="I124" i="3"/>
  <c r="K124" i="3" s="1"/>
  <c r="F19" i="2"/>
  <c r="I53" i="3"/>
  <c r="K53" i="3" s="1"/>
  <c r="I152" i="3"/>
  <c r="K152" i="3" s="1"/>
  <c r="I16" i="3"/>
  <c r="K16" i="3" s="1"/>
  <c r="I145" i="3"/>
  <c r="K145" i="3" s="1"/>
  <c r="I111" i="3"/>
  <c r="K111" i="3" s="1"/>
  <c r="I113" i="3"/>
  <c r="K113" i="3" s="1"/>
  <c r="C54" i="1"/>
  <c r="K68" i="3" s="1"/>
  <c r="B15" i="2"/>
  <c r="L22" i="3"/>
  <c r="K7" i="3"/>
  <c r="E73" i="1"/>
  <c r="I121" i="3" s="1"/>
  <c r="K121" i="3" s="1"/>
  <c r="E30" i="1"/>
  <c r="I27" i="3" s="1"/>
  <c r="L27" i="3" s="1"/>
  <c r="I23" i="3"/>
  <c r="L23" i="3" s="1"/>
  <c r="K150" i="3"/>
  <c r="K138" i="3"/>
  <c r="I136" i="3"/>
  <c r="K174" i="3" s="1"/>
  <c r="I43" i="3"/>
  <c r="K43" i="3" s="1"/>
  <c r="I44" i="3"/>
  <c r="K44" i="3" s="1"/>
  <c r="I45" i="3"/>
  <c r="K45" i="3" s="1"/>
  <c r="I46" i="3"/>
  <c r="K46" i="3" s="1"/>
  <c r="I47" i="3"/>
  <c r="K47" i="3" s="1"/>
  <c r="I42" i="3"/>
  <c r="K42" i="3" s="1"/>
  <c r="I12" i="3"/>
  <c r="K12" i="3" s="1"/>
  <c r="I8" i="3"/>
  <c r="K8" i="3" s="1"/>
  <c r="I9" i="3"/>
  <c r="K10" i="3" s="1"/>
  <c r="I54" i="3"/>
  <c r="K54" i="3" s="1"/>
  <c r="I51" i="3"/>
  <c r="K51" i="3" s="1"/>
  <c r="I52" i="3"/>
  <c r="K52" i="3" s="1"/>
  <c r="K67" i="3" l="1"/>
  <c r="K73" i="3" s="1"/>
  <c r="K102" i="3" s="1"/>
  <c r="K36" i="3"/>
  <c r="I29" i="3"/>
  <c r="L29" i="3" s="1"/>
  <c r="I28" i="3"/>
  <c r="L28" i="3" s="1"/>
  <c r="K173" i="3"/>
  <c r="K136" i="3"/>
  <c r="K181" i="3"/>
  <c r="K177" i="3"/>
  <c r="K182" i="3"/>
  <c r="K9" i="3"/>
  <c r="K87" i="3" l="1"/>
  <c r="K80" i="3"/>
  <c r="K94" i="3"/>
</calcChain>
</file>

<file path=xl/sharedStrings.xml><?xml version="1.0" encoding="utf-8"?>
<sst xmlns="http://schemas.openxmlformats.org/spreadsheetml/2006/main" count="749" uniqueCount="356">
  <si>
    <t>/</t>
  </si>
  <si>
    <t>&lt;p name="mPlaneRemoteIpAddressOmuSig"&gt;172.22.240.161&lt;/p&gt;</t>
  </si>
  <si>
    <t>&lt;p name="sPlaneIpAddress"&gt;10.206.130.14&lt;/p&gt;</t>
  </si>
  <si>
    <t>sctpFarEndSubnetIpAddress:</t>
  </si>
  <si>
    <t>&lt;p name="vlanId"&gt;1011&lt;/p&gt;</t>
  </si>
  <si>
    <t>&lt;p name="userLabel"&gt;SBTS Abis VLAN 1011&lt;/p&gt;</t>
  </si>
  <si>
    <t>&lt;/managedObject&gt;</t>
  </si>
  <si>
    <t>&lt;p name="userLabel"&gt;SBTS Iub VLAN 1010&lt;/p&gt;</t>
  </si>
  <si>
    <t>&lt;p name="vlanId"&gt;1010&lt;/p&gt;</t>
  </si>
  <si>
    <t>&lt;p name="vlanId"&gt;1013&lt;/p&gt;</t>
  </si>
  <si>
    <t>&lt;p name="userLabel"&gt;SBTS OSS VLAN 1013&lt;/p&gt;</t>
  </si>
  <si>
    <t>&lt;p name="interfacePtr"&gt;ETHIF-1/VLANIF-3&lt;/p&gt;</t>
  </si>
  <si>
    <t>&lt;list name="ipAddrList"&gt;</t>
  </si>
  <si>
    <t>&lt;item&gt;</t>
  </si>
  <si>
    <t>&lt;/item&gt;</t>
  </si>
  <si>
    <t>&lt;/list&gt;</t>
  </si>
  <si>
    <t>&lt;list name="staticRoutes"&gt;</t>
  </si>
  <si>
    <t>&lt;item&gt;&lt;p name="destIpAddr"&gt;10.15.205.0&lt;/p&gt;</t>
  </si>
  <si>
    <t>&lt;p name="destinationIpPrefixLength"&gt;24&lt;/p&gt;</t>
  </si>
  <si>
    <t>&lt;p name="preSrcIpv4Addr"&gt;0.0.0.0&lt;/p&gt;</t>
  </si>
  <si>
    <t>&lt;p name="preference"&gt;1&lt;/p&gt;&lt;/item&gt;</t>
  </si>
  <si>
    <t>&lt;item&gt;&lt;p name="destIpAddr"&gt;10.253.0.0&lt;/p&gt;</t>
  </si>
  <si>
    <t>&lt;p name="destinationIpPrefixLength"&gt;26&lt;/p&gt;</t>
  </si>
  <si>
    <t>&lt;p name="destinationIpPrefixLength"&gt;29&lt;/p&gt;</t>
  </si>
  <si>
    <t>&lt;p name="destinationIpPrefixLength"&gt;28&lt;/p&gt;</t>
  </si>
  <si>
    <t>&lt;item&gt;&lt;p name="destIpAddr"&gt;0.0.0.0&lt;/p&gt;</t>
  </si>
  <si>
    <t>&lt;p name="destinationIpPrefixLength"&gt;0&lt;/p&gt;</t>
  </si>
  <si>
    <t>&lt;p name="preference"&gt;1&lt;/p&gt;</t>
  </si>
  <si>
    <t>SBTS-id</t>
  </si>
  <si>
    <t>replace with new id</t>
  </si>
  <si>
    <t>SBTS</t>
  </si>
  <si>
    <t>&lt;p name="sbtsName"&gt;ZA61_Zvezdan&lt;/p&gt;</t>
  </si>
  <si>
    <t>&lt;p name="sbtsDescription"&gt;ZA61_Zvezdan&lt;/p&gt;</t>
  </si>
  <si>
    <t>&lt;p name="btsProfile"&gt;WG75_1&lt;/p&gt;</t>
  </si>
  <si>
    <t>&lt;p name="location"&gt;Zvezdan&lt;/p&gt;</t>
  </si>
  <si>
    <t>MPLANE</t>
  </si>
  <si>
    <t>&lt;p name="mPlaneIpAddress"&gt;10.244.226.78&lt;/p&gt;</t>
  </si>
  <si>
    <t>BTSSCW</t>
  </si>
  <si>
    <t>&lt;list name="cPlaneList"&gt;</t>
  </si>
  <si>
    <t>&lt;p name="ipV4Address"&gt;10.206.130.14&lt;/p&gt;</t>
  </si>
  <si>
    <t>&lt;p name="sctpPortMin"&gt;50124&lt;/p&gt;</t>
  </si>
  <si>
    <t>&lt;list name="rncConfigList"&gt;</t>
  </si>
  <si>
    <t>&lt;p name="identifier"&gt;10&lt;/p&gt;</t>
  </si>
  <si>
    <t>&lt;p name="sctpFarEndSubnetIpAddress"&gt;172.22.229.64&lt;/p&gt;</t>
  </si>
  <si>
    <t>&lt;list name="uPlaneList"&gt;</t>
  </si>
  <si>
    <t>LCELW</t>
  </si>
  <si>
    <t>LCELW-id</t>
  </si>
  <si>
    <t>LCELGW</t>
  </si>
  <si>
    <t>&lt;list name="lCelwIdList"&gt;</t>
  </si>
  <si>
    <t>&lt;p&gt;12861&lt;/p&gt;</t>
  </si>
  <si>
    <t>&lt;p&gt;17961&lt;/p&gt;</t>
  </si>
  <si>
    <t>&lt;p&gt;22861&lt;/p&gt;</t>
  </si>
  <si>
    <t>&lt;p&gt;27961&lt;/p&gt;</t>
  </si>
  <si>
    <t>BTSSCC</t>
  </si>
  <si>
    <t>&lt;p name="bcfId"&gt;2560&lt;/p&gt;</t>
  </si>
  <si>
    <t>&lt;p name="bscId"&gt;397591&lt;/p&gt;</t>
  </si>
  <si>
    <t>&lt;p name="mPlaneLocalIpAddressOmuSig"&gt;10.244.226.78&lt;/p&gt;</t>
  </si>
  <si>
    <t>LCELC</t>
  </si>
  <si>
    <t>LCELC i za druge celije</t>
  </si>
  <si>
    <t>TIME</t>
  </si>
  <si>
    <t>&lt;list name="ntpServersList"&gt;</t>
  </si>
  <si>
    <t>&lt;p name="ntpServerIp"&gt;10.15.205.107&lt;/p&gt;</t>
  </si>
  <si>
    <t>TOP</t>
  </si>
  <si>
    <t>TOPF</t>
  </si>
  <si>
    <t>&lt;list name="topMasters"&gt;</t>
  </si>
  <si>
    <t>&lt;p name="masterIpAddr"&gt;10.253.0.22&lt;/p&gt;</t>
  </si>
  <si>
    <t>&lt;p name="masterIpAddr"&gt;10.253.0.26&lt;/p&gt;</t>
  </si>
  <si>
    <t>&lt;p name="interfacePtr"&gt;ETHIF-1/VLANIF-1&lt;/p&gt;</t>
  </si>
  <si>
    <t>IPIF-1</t>
  </si>
  <si>
    <t>&lt;p name="localIpAddr"&gt;10.206.130.10&lt;/p&gt;</t>
  </si>
  <si>
    <t>IPIF-3</t>
  </si>
  <si>
    <t>&lt;p name="localIpAddr"&gt;10.206.130.14&lt;/p&gt;</t>
  </si>
  <si>
    <t>IPIF-4</t>
  </si>
  <si>
    <t>&lt;p name="interfacePtr"&gt;ETHIF-1/VLANIF-4&lt;/p&gt;</t>
  </si>
  <si>
    <t>&lt;p name="localIpAddr"&gt;10.244.226.78&lt;/p&gt;</t>
  </si>
  <si>
    <t>IPRT</t>
  </si>
  <si>
    <t>!!</t>
  </si>
  <si>
    <t>VLANIF-1</t>
  </si>
  <si>
    <t>VLANIF-3</t>
  </si>
  <si>
    <t>VLANIF-4</t>
  </si>
  <si>
    <t>172.22.230.128</t>
  </si>
  <si>
    <t>172.22.229.64</t>
  </si>
  <si>
    <t>172.22.231.128</t>
  </si>
  <si>
    <t>BCF</t>
  </si>
  <si>
    <t>BKS00</t>
  </si>
  <si>
    <t>BNI00</t>
  </si>
  <si>
    <t>BKG00</t>
  </si>
  <si>
    <t>BSC name</t>
  </si>
  <si>
    <t>BSC names</t>
  </si>
  <si>
    <t>Profil</t>
  </si>
  <si>
    <t>RNC id</t>
  </si>
  <si>
    <t>IPNB</t>
  </si>
  <si>
    <t>sbts id</t>
  </si>
  <si>
    <t>ANTL</t>
  </si>
  <si>
    <t>RKG01</t>
  </si>
  <si>
    <t>RNI01</t>
  </si>
  <si>
    <t>RBZ02</t>
  </si>
  <si>
    <t>RKG02</t>
  </si>
  <si>
    <t>subnet</t>
  </si>
  <si>
    <t>&lt;p name="timeZone"&gt;(GMT+1) Europe/Belgrade&lt;/p&gt;</t>
  </si>
  <si>
    <t>10.15.205.107</t>
  </si>
  <si>
    <t>ZAJEDNICKO</t>
  </si>
  <si>
    <t>IPNB / sctp port min</t>
  </si>
  <si>
    <t>RNC name</t>
  </si>
  <si>
    <t>&lt;p name="sctpFarEndSubnetPrefixLength"&gt;26&lt;/p&gt;</t>
  </si>
  <si>
    <t>sctpFarEndSubnetPrefixLength</t>
  </si>
  <si>
    <t>sctpFarEndSubnetIpAddress</t>
  </si>
  <si>
    <t>nije dovrsen vlookup</t>
  </si>
  <si>
    <t>LCELW-id za sve celije</t>
  </si>
  <si>
    <t>/30</t>
  </si>
  <si>
    <t>TIME / ntpServerIp</t>
  </si>
  <si>
    <t>LWG37_2</t>
  </si>
  <si>
    <t>BBZ04</t>
  </si>
  <si>
    <t>LNBTS</t>
  </si>
  <si>
    <t>&lt;p name="enbName"&gt;eN-Sljivovac-KGO84&lt;/p&gt;</t>
  </si>
  <si>
    <t>LNCEL</t>
  </si>
  <si>
    <t>SBTS-1705/LNBTS-1705</t>
  </si>
  <si>
    <t>SBTS-1705/LNBTS-1705/LNCEL-17055</t>
  </si>
  <si>
    <t>LNCEL i za druge celije</t>
  </si>
  <si>
    <t>Site code</t>
  </si>
  <si>
    <t>LNBTS name</t>
  </si>
  <si>
    <t>OAM-3G_=_SRAN_OAM_sekundarni</t>
  </si>
  <si>
    <t>10.253.0.50</t>
  </si>
  <si>
    <t>TKC_T</t>
  </si>
  <si>
    <t>NBG_T</t>
  </si>
  <si>
    <t>PerTrxPower</t>
  </si>
  <si>
    <t>SITE_NAME</t>
  </si>
  <si>
    <t>ENBID</t>
  </si>
  <si>
    <t>LNcell ID 1</t>
  </si>
  <si>
    <t>LNcell ID 2</t>
  </si>
  <si>
    <t>LNcell ID 3</t>
  </si>
  <si>
    <t>LNcell ID 4</t>
  </si>
  <si>
    <t>CellId1</t>
  </si>
  <si>
    <t>CellId2</t>
  </si>
  <si>
    <t>CellId3</t>
  </si>
  <si>
    <t>CellId4</t>
  </si>
  <si>
    <t>CELL1NAME</t>
  </si>
  <si>
    <t>CELL2NAME</t>
  </si>
  <si>
    <t>CELL3NAME</t>
  </si>
  <si>
    <t>CELL4NAME</t>
  </si>
  <si>
    <t>TAC</t>
  </si>
  <si>
    <t>PHYSICALLAYERCELLIDGROUP</t>
  </si>
  <si>
    <t>PCI1</t>
  </si>
  <si>
    <t>PCI2</t>
  </si>
  <si>
    <t>PCI3</t>
  </si>
  <si>
    <t>PHYSICALLAYERCELLIDGROUP ZA PCI4</t>
  </si>
  <si>
    <t>PCI4</t>
  </si>
  <si>
    <t>LAT</t>
  </si>
  <si>
    <t>LON</t>
  </si>
  <si>
    <t>CONFOUTPUTPOWER</t>
  </si>
  <si>
    <t>MMEIP1</t>
  </si>
  <si>
    <t>MMEIP2</t>
  </si>
  <si>
    <t>QRXLEVMIN</t>
  </si>
  <si>
    <t>PZERONOMINALPUSCH</t>
  </si>
  <si>
    <t>rachRootSequence1</t>
  </si>
  <si>
    <t>rachRootSequence2</t>
  </si>
  <si>
    <t>rachRootSequence3</t>
  </si>
  <si>
    <t>rachRootSequence4</t>
  </si>
  <si>
    <t>AZIMUTCELL1</t>
  </si>
  <si>
    <t>AZIMUTCELL2</t>
  </si>
  <si>
    <t>AZIMUTCELL3</t>
  </si>
  <si>
    <t>cellName</t>
  </si>
  <si>
    <t>phyCellId</t>
  </si>
  <si>
    <t>MME1</t>
  </si>
  <si>
    <t>MME2</t>
  </si>
  <si>
    <t>LNMME</t>
  </si>
  <si>
    <t>rootSeqIndex</t>
  </si>
  <si>
    <t>eutraCelId</t>
  </si>
  <si>
    <t>id</t>
  </si>
  <si>
    <t>TELEKOMOVA TABELA ZA LTE</t>
  </si>
  <si>
    <t>A OVO JE MOJ PREGLED</t>
  </si>
  <si>
    <t>KG82</t>
  </si>
  <si>
    <t>glavni sran oam 10.244</t>
  </si>
  <si>
    <t>netact</t>
  </si>
  <si>
    <t>PTP obuhvata sve</t>
  </si>
  <si>
    <t>&lt;p name="destIpAddr"&gt;10.15.205.0&lt;/p&gt;</t>
  </si>
  <si>
    <t>&lt;p name="gateway"&gt;10.244.92.57&lt;/p&gt;</t>
  </si>
  <si>
    <t>&lt;p name="destIpAddr"&gt;10.253.0.0&lt;/p&gt;</t>
  </si>
  <si>
    <t>&lt;p name="gateway"&gt;10.243.46.29&lt;/p&gt;</t>
  </si>
  <si>
    <t>&lt;p name="destIpAddr"&gt;172.21.7.16&lt;/p&gt;</t>
  </si>
  <si>
    <t>&lt;p name="gateway"&gt;10.206.138.57&lt;/p&gt;</t>
  </si>
  <si>
    <t>&lt;p name="destIpAddr"&gt;172.21.7.0&lt;/p&gt;</t>
  </si>
  <si>
    <t>&lt;p name="destIpAddr"&gt;10.254.2.4&lt;/p&gt;</t>
  </si>
  <si>
    <t>&lt;p name="gateway"&gt;10.245.92.57&lt;/p&gt;</t>
  </si>
  <si>
    <t>&lt;p name="destinationIpPrefixLength"&gt;32&lt;/p&gt;</t>
  </si>
  <si>
    <t>&lt;p name="destIpAddr"&gt;10.254.22.4&lt;/p&gt;</t>
  </si>
  <si>
    <t>&lt;p name="destIpAddr"&gt;10.254.6.32&lt;/p&gt;</t>
  </si>
  <si>
    <t>&lt;p name="destIpAddr"&gt;10.254.26.32&lt;/p&gt;</t>
  </si>
  <si>
    <t>&lt;p name="destIpAddr"&gt;10.245.0.0&lt;/p&gt;</t>
  </si>
  <si>
    <t>&lt;p name="destinationIpPrefixLength"&gt;16&lt;/p&gt;</t>
  </si>
  <si>
    <t>&lt;p name="destIpAddr"&gt;0.0.0.0&lt;/p&gt;</t>
  </si>
  <si>
    <t>omusig opseg svih mogucih bcxu na BKG (vlan 44)</t>
  </si>
  <si>
    <t>lte oam subnet celog sajta</t>
  </si>
  <si>
    <t>trxsig vlan za sve trxsig celog bsc-a</t>
  </si>
  <si>
    <t>2G userplane</t>
  </si>
  <si>
    <t>lte mme</t>
  </si>
  <si>
    <t>S1 interface tj subnet</t>
  </si>
  <si>
    <t>gw ispred mme</t>
  </si>
  <si>
    <t>isto za sve</t>
  </si>
  <si>
    <t>sve zive stanice x3</t>
  </si>
  <si>
    <t>uvek isto</t>
  </si>
  <si>
    <t>PTP za sve sajtove/16 -&gt; LTE sync</t>
  </si>
  <si>
    <t>za lte uzmi mask /16 _ -&gt;  lte sync</t>
  </si>
  <si>
    <t>3gRAN</t>
  </si>
  <si>
    <t>2gRAN</t>
  </si>
  <si>
    <t>LTEs1</t>
  </si>
  <si>
    <t>SBTSoam</t>
  </si>
  <si>
    <t>LTEsync</t>
  </si>
  <si>
    <t>lte mme1 -&gt; LTE_S1</t>
  </si>
  <si>
    <t>lte mme2 -&gt; LTE_S1</t>
  </si>
  <si>
    <t>gw ispred mme -&gt; LTE_S1</t>
  </si>
  <si>
    <t>sve stanice x2 -&gt; LTE_S1</t>
  </si>
  <si>
    <t>&lt;item&gt;&lt;p name="destIpAddr"&gt;10.254.6.32&lt;/p&gt;</t>
  </si>
  <si>
    <t>&lt;item&gt;&lt;p name="destIpAddr"&gt;10.254.26.32&lt;/p&gt;</t>
  </si>
  <si>
    <t>&lt;item&gt;&lt;p name="destIpAddr"&gt;10.245.0.0&lt;/p&gt;</t>
  </si>
  <si>
    <t>NSN TRAFFIC</t>
  </si>
  <si>
    <t>NSN 2G_3G O&amp;M</t>
  </si>
  <si>
    <t>S1</t>
  </si>
  <si>
    <t>OAM</t>
  </si>
  <si>
    <t>SYNC</t>
  </si>
  <si>
    <t>u/c plane 3g</t>
  </si>
  <si>
    <t>standalone 3g oam</t>
  </si>
  <si>
    <t>lte + 2g oam</t>
  </si>
  <si>
    <t>172.21.7.16</t>
  </si>
  <si>
    <t>172.21.7.0</t>
  </si>
  <si>
    <t>sbts oam</t>
  </si>
  <si>
    <t>lte sync</t>
  </si>
  <si>
    <t>lte s1</t>
  </si>
  <si>
    <t>lte oam</t>
  </si>
  <si>
    <t>2g ran</t>
  </si>
  <si>
    <t>Name</t>
  </si>
  <si>
    <t>172.21.6.16</t>
  </si>
  <si>
    <t>OMUSIG (bcxu subnet vlan 44) -&gt; lte oam 10.244.</t>
  </si>
  <si>
    <t>172.21.6.0</t>
  </si>
  <si>
    <t>TRXSIG (bcxu subnet vlan 45) -&gt; 2gRAN</t>
  </si>
  <si>
    <t>OMUSIG bcxu vlan44 subnet</t>
  </si>
  <si>
    <t>TRXSIG bcxu vlan45 subnet</t>
  </si>
  <si>
    <t>IPIF-5</t>
  </si>
  <si>
    <t>&lt;p name="interfacePtr"&gt;ETHIF-1/VLANIF-5&lt;/p&gt;</t>
  </si>
  <si>
    <t>VLANIF-5</t>
  </si>
  <si>
    <t>BTSSCL</t>
  </si>
  <si>
    <t>&lt;p name="ipV4Address1"&gt;10.245.92.58&lt;/p&gt;</t>
  </si>
  <si>
    <t>LCELL</t>
  </si>
  <si>
    <t>sbts name</t>
  </si>
  <si>
    <t>enbName (ne moze underscore)</t>
  </si>
  <si>
    <t>oam za 2g ide iz lte</t>
  </si>
  <si>
    <t>u/c plane 2g</t>
  </si>
  <si>
    <t>tac</t>
  </si>
  <si>
    <t>default -&gt; lte oam</t>
  </si>
  <si>
    <t>default uvek isto</t>
  </si>
  <si>
    <t>BCF IP</t>
  </si>
  <si>
    <t>_none_</t>
  </si>
  <si>
    <t>LNHOIF</t>
  </si>
  <si>
    <t>&lt;p name="eutraCarrierInfo"&gt;1500&lt;/p&gt;</t>
  </si>
  <si>
    <t>&lt;p name="measurementBandwidth"&gt;mbw100&lt;/p&gt;</t>
  </si>
  <si>
    <t>LNHOIF i za druge celije</t>
  </si>
  <si>
    <t>eutraCarrierInfo</t>
  </si>
  <si>
    <t>measurementBandwidth</t>
  </si>
  <si>
    <t>eutraCellId = lnbts id * 256 + cell ord</t>
  </si>
  <si>
    <t>netact -&gt; lte oam</t>
  </si>
  <si>
    <t>&lt;p name="ipMtu"&gt;1500&lt;/p&gt;</t>
  </si>
  <si>
    <t>&lt;p name="ipAddrIdentifier"&gt;1&lt;/p&gt;</t>
  </si>
  <si>
    <t>&lt;p name="ipAddrIdentifier"&gt;3&lt;/p&gt;</t>
  </si>
  <si>
    <t>&lt;p name="ipAddrIdentifier"&gt;4&lt;/p&gt;</t>
  </si>
  <si>
    <t>&lt;p name="ipAddrIdentifier"&gt;5&lt;/p&gt;</t>
  </si>
  <si>
    <t>trece slovo naziva = O -&gt; sajt je lte800</t>
  </si>
  <si>
    <t>&lt;managedObject class="IPIF" distName="SBTS-xx/TNL-1/IPNO-1/IPIF-1" operation="create" version="SBTS16.10"&gt;</t>
  </si>
  <si>
    <t>&lt;p name="userLabel"&gt;SBTS Abis VLAN xx&lt;/p&gt;</t>
  </si>
  <si>
    <t>&lt;p name="localIpAddr"&gt;xx&lt;/p&gt;</t>
  </si>
  <si>
    <t>&lt;p name="localIpPrefixLength"&gt;xx&lt;/p&gt;</t>
  </si>
  <si>
    <t>ip adresa</t>
  </si>
  <si>
    <t>netmask</t>
  </si>
  <si>
    <t>top</t>
  </si>
  <si>
    <t>&lt;managedObject class="IPIF" distName="SBTS-xx/TNL-1/IPNO-1/IPIF-3" operation="create" version="SBTS16.10"&gt;</t>
  </si>
  <si>
    <t>&lt;p name="userLabel"&gt;SBTS S1 VLAN xx&lt;/p&gt;</t>
  </si>
  <si>
    <t>&lt;managedObject class="IPIF" distName="SBTS-xx/TNL-1/IPNO-1/IPIF-4" operation="create" version="SBTS16.10"&gt;</t>
  </si>
  <si>
    <t>&lt;p name="userLabel"&gt;SBTS OSS VLAN xx&lt;/p&gt;</t>
  </si>
  <si>
    <t>&lt;managedObject class="IPIF" distName="SBTS-xx/TNL-1/IPNO-1/IPIF-5" operation="create" version="SBTS16.10"&gt;</t>
  </si>
  <si>
    <t>&lt;p name="userLabel"&gt;SBTS SYNC VLAN xx&lt;/p&gt;</t>
  </si>
  <si>
    <t>&lt;managedObject class="VLANIF" distName="SBTS-xx/TNL-1/ETHSVC-1/ETHIF-1/VLANIF-1" operation="create" version="SBTS16.10"&gt;</t>
  </si>
  <si>
    <t>&lt;p name="vlanId"&gt;xx&lt;/p&gt;</t>
  </si>
  <si>
    <t>&lt;managedObject class="VLANIF" distName="SBTS-xx/TNL-1/ETHSVC-1/ETHIF-1/VLANIF-3" operation="create" version="SBTS16.10"&gt;</t>
  </si>
  <si>
    <t>&lt;managedObject class="VLANIF" distName="SBTS-xx/TNL-1/ETHSVC-1/ETHIF-1/VLANIF-4" operation="create" version="SBTS16.10"&gt;</t>
  </si>
  <si>
    <t>&lt;managedObject class="VLANIF" distName="SBTS-xx/TNL-1/ETHSVC-1/ETHIF-1/VLANIF-5" operation="create" version="SBTS16.10"&gt;</t>
  </si>
  <si>
    <t>WCDMA</t>
  </si>
  <si>
    <t>GSM</t>
  </si>
  <si>
    <t>LTE</t>
  </si>
  <si>
    <t>VLANIF</t>
  </si>
  <si>
    <t>IPIF</t>
  </si>
  <si>
    <t>(class=.lncel)|(cellname)|(phycellid)|(name=.tac)|(rootseqIndex)|(eutracelid)</t>
  </si>
  <si>
    <t>find regexp</t>
  </si>
  <si>
    <t>! Tab IPRT</t>
  </si>
  <si>
    <t>! Tab IPIF-VLANIF</t>
  </si>
  <si>
    <t>Zajednicko</t>
  </si>
  <si>
    <t>3G</t>
  </si>
  <si>
    <t>2G</t>
  </si>
  <si>
    <t>10.254.22.4</t>
  </si>
  <si>
    <t>10.254.2.4</t>
  </si>
  <si>
    <t>AZIMUTCELL4</t>
  </si>
  <si>
    <t>NE Integration wizard</t>
  </si>
  <si>
    <t>SRAN16.10</t>
  </si>
  <si>
    <t>MR-SRAN</t>
  </si>
  <si>
    <t>noTLS</t>
  </si>
  <si>
    <t>CM Editor</t>
  </si>
  <si>
    <t>GL</t>
  </si>
  <si>
    <t>-&gt;send to network</t>
  </si>
  <si>
    <t>dodeliti ret i mha</t>
  </si>
  <si>
    <t>parametar sbts name</t>
  </si>
  <si>
    <t>BCXU IP (zoyv omusig)</t>
  </si>
  <si>
    <t>SAO100</t>
  </si>
  <si>
    <t>SAO100A</t>
  </si>
  <si>
    <t>SAO100B</t>
  </si>
  <si>
    <t>SAO100C</t>
  </si>
  <si>
    <t>10.253.0.42</t>
  </si>
  <si>
    <t>172.21.6.20</t>
  </si>
  <si>
    <t>SAO100_S1_SRAN</t>
  </si>
  <si>
    <t>SAO100_OAM_SRAN</t>
  </si>
  <si>
    <t>SAO100_Sync_SRAN</t>
  </si>
  <si>
    <t>10.243.15.42/30</t>
  </si>
  <si>
    <t>SA100_Abis_2G_SRAN</t>
  </si>
  <si>
    <t>10.206.84.54/30</t>
  </si>
  <si>
    <t>Debrc</t>
  </si>
  <si>
    <t>Lokacija (opisno)</t>
  </si>
  <si>
    <t>10.206.84.53/30</t>
  </si>
  <si>
    <t>10.243.15.41/30</t>
  </si>
  <si>
    <t>Kljucne reci PROFILI</t>
  </si>
  <si>
    <t>Kljucne reci IP transport</t>
  </si>
  <si>
    <t>LG4_2</t>
  </si>
  <si>
    <t>regexp find all</t>
  </si>
  <si>
    <t>&lt;p name="vswrMinorThreshold"&gt;19&lt;/p&gt;</t>
  </si>
  <si>
    <t>&lt;p name="vswrMajorThreshold"&gt;26&lt;/p&gt;</t>
  </si>
  <si>
    <t>&lt;p name="ulDelay"&gt;0&lt;/p&gt;</t>
  </si>
  <si>
    <t>&lt;p name="hdlcCommunicationAllowed"&gt;true&lt;/p&gt;</t>
  </si>
  <si>
    <t>&lt;p name="frRef"&gt;xx&lt;/p&gt;</t>
  </si>
  <si>
    <t>&lt;p name="feederLoss"&gt;4&lt;/p&gt;</t>
  </si>
  <si>
    <t>&lt;p name="dcVoltage"&gt;AUTO&lt;/p&gt;</t>
  </si>
  <si>
    <t>&lt;p name="cwaThreshold"&gt;165&lt;/p&gt;</t>
  </si>
  <si>
    <t>&lt;p name="antennaRoundTripDelay"&gt;163&lt;/p&gt;</t>
  </si>
  <si>
    <t>&lt;p name="antennaConnector"&gt;xx&lt;/p&gt;</t>
  </si>
  <si>
    <t>&lt;p name="additionalRxGain"&gt;0&lt;/p&gt;</t>
  </si>
  <si>
    <t>&lt;managedObject class="ANTL" distName="xx" operation="create" version="SBTS16.10"&gt;</t>
  </si>
  <si>
    <t>&lt;!-- ANTL xx --&gt;</t>
  </si>
  <si>
    <t>sbts</t>
  </si>
  <si>
    <t>(class=.antl)|(frRef)|(antennaConnector)</t>
  </si>
  <si>
    <t>&lt;!-- VLANIF xx --&gt;</t>
  </si>
  <si>
    <t>&lt;!-- IPIF xx --&gt;</t>
  </si>
  <si>
    <t>rf port</t>
  </si>
  <si>
    <t>RF module</t>
  </si>
  <si>
    <t>RF mod</t>
  </si>
  <si>
    <t>ant port</t>
  </si>
  <si>
    <t>AKO SI NESTO MENJAO U FORMULAMA, SACUVAJ KAO TEMPLATE</t>
  </si>
  <si>
    <t>10.245.30.70/30</t>
  </si>
  <si>
    <t>10.244.30.70/30</t>
  </si>
  <si>
    <t>10.245.30.69/30</t>
  </si>
  <si>
    <t>10.244.30.69/30</t>
  </si>
  <si>
    <t>ANTL-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</si>
</sst>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  <charset val="238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  <scheme val="minor"/>
    </font>
    <font>
      <sz val="10"/>
      <name val="Arial"/>
      <family val="2"/>
      <charset val="238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 Narrow"/>
      <family val="2"/>
    </font>
    <font>
      <sz val="11"/>
      <color rgb="FF1F497D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45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/>
    <xf numFmtId="0" fontId="3" fillId="5" borderId="1" xfId="0" applyFont="1" applyFill="1" applyBorder="1"/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2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4" xfId="0" applyFont="1" applyBorder="1"/>
    <xf numFmtId="0" fontId="0" fillId="0" borderId="0" xfId="0" applyFont="1" applyFill="1" applyBorder="1"/>
    <xf numFmtId="0" fontId="6" fillId="0" borderId="4" xfId="0" applyFont="1" applyFill="1" applyBorder="1"/>
    <xf numFmtId="0" fontId="0" fillId="0" borderId="5" xfId="0" applyFill="1" applyBorder="1"/>
    <xf numFmtId="0" fontId="8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0" fillId="4" borderId="0" xfId="0" applyFill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10" fillId="3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8" borderId="1" xfId="0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1" xfId="0" applyFill="1" applyBorder="1" applyAlignment="1">
      <alignment horizontal="center" vertical="center"/>
    </xf>
    <xf numFmtId="0" fontId="0" fillId="0" borderId="10" xfId="0" applyBorder="1"/>
    <xf numFmtId="0" fontId="0" fillId="0" borderId="8" xfId="0" applyFill="1" applyBorder="1"/>
    <xf numFmtId="0" fontId="0" fillId="0" borderId="3" xfId="0" applyFill="1" applyBorder="1" applyAlignment="1">
      <alignment horizontal="left" vertical="center"/>
    </xf>
    <xf numFmtId="0" fontId="0" fillId="3" borderId="0" xfId="0" applyFill="1" applyBorder="1"/>
    <xf numFmtId="0" fontId="0" fillId="3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3" borderId="9" xfId="0" applyFill="1" applyBorder="1"/>
    <xf numFmtId="0" fontId="0" fillId="3" borderId="7" xfId="0" applyFill="1" applyBorder="1" applyAlignment="1">
      <alignment horizontal="left" vertical="center"/>
    </xf>
    <xf numFmtId="0" fontId="0" fillId="3" borderId="8" xfId="0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16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3">
    <cellStyle name="Normal" xfId="0" builtinId="0"/>
    <cellStyle name="Normal 2 3 2" xfId="1" xr:uid="{C39B9322-80AE-4FD6-9135-241783A91DBD}"/>
    <cellStyle name="Normal 7" xfId="2" xr:uid="{46985297-487F-4007-9E35-1854B43A5234}"/>
  </cellStyles>
  <dxfs count="2"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K99"/>
  <sheetViews>
    <sheetView topLeftCell="A13" zoomScale="90" zoomScaleNormal="90" workbookViewId="0">
      <selection activeCell="E28" sqref="E28"/>
    </sheetView>
  </sheetViews>
  <sheetFormatPr defaultColWidth="60.5703125" defaultRowHeight="12.75" x14ac:dyDescent="0.2"/>
  <cols>
    <col min="1" max="1" width="29.140625" style="53" customWidth="1"/>
    <col min="2" max="2" width="19.7109375" customWidth="1"/>
    <col min="3" max="3" width="22.42578125" bestFit="1" customWidth="1"/>
    <col min="4" max="4" width="10.7109375" customWidth="1"/>
    <col min="5" max="5" width="26.28515625" bestFit="1" customWidth="1"/>
    <col min="6" max="6" width="29.5703125" bestFit="1" customWidth="1"/>
    <col min="7" max="7" width="16.140625" bestFit="1" customWidth="1"/>
    <col min="8" max="8" width="27.5703125" bestFit="1" customWidth="1"/>
    <col min="9" max="9" width="24" customWidth="1"/>
    <col min="10" max="10" width="15.5703125" customWidth="1"/>
    <col min="11" max="11" width="6.28515625" bestFit="1" customWidth="1"/>
    <col min="12" max="12" width="10.42578125" bestFit="1" customWidth="1"/>
    <col min="13" max="13" width="12.28515625" customWidth="1"/>
    <col min="14" max="14" width="11.28515625" bestFit="1" customWidth="1"/>
    <col min="15" max="15" width="13.7109375" customWidth="1"/>
    <col min="16" max="16" width="14.5703125" customWidth="1"/>
    <col min="17" max="17" width="24.42578125" bestFit="1" customWidth="1"/>
    <col min="18" max="18" width="7.85546875" bestFit="1" customWidth="1"/>
    <col min="19" max="20" width="4.42578125" bestFit="1" customWidth="1"/>
    <col min="21" max="21" width="31" bestFit="1" customWidth="1"/>
    <col min="22" max="22" width="4.42578125" bestFit="1" customWidth="1"/>
    <col min="23" max="23" width="15" customWidth="1"/>
    <col min="24" max="24" width="14.5703125" customWidth="1"/>
    <col min="25" max="25" width="17.85546875" bestFit="1" customWidth="1"/>
    <col min="26" max="26" width="13" customWidth="1"/>
    <col min="27" max="27" width="11.28515625" customWidth="1"/>
    <col min="28" max="28" width="10.42578125" bestFit="1" customWidth="1"/>
    <col min="29" max="29" width="19.28515625" bestFit="1" customWidth="1"/>
    <col min="30" max="33" width="16.7109375" bestFit="1" customWidth="1"/>
    <col min="34" max="36" width="11.5703125" bestFit="1" customWidth="1"/>
    <col min="37" max="37" width="18.85546875" customWidth="1"/>
  </cols>
  <sheetData>
    <row r="1" spans="1:17" ht="22.5" customHeight="1" thickBot="1" x14ac:dyDescent="0.25">
      <c r="A1" s="72" t="s">
        <v>203</v>
      </c>
      <c r="B1" s="67"/>
      <c r="C1" s="80"/>
      <c r="D1" s="141" t="s">
        <v>215</v>
      </c>
      <c r="E1" s="141"/>
      <c r="F1" s="141"/>
      <c r="G1" s="69" t="s">
        <v>220</v>
      </c>
      <c r="H1" s="69"/>
      <c r="I1" s="67"/>
      <c r="J1" s="67"/>
      <c r="K1" s="49"/>
      <c r="L1" s="1" t="s">
        <v>0</v>
      </c>
      <c r="M1" s="30"/>
      <c r="N1" s="27" t="e">
        <f>IF(FIND("/", C1), LEFT(C1,LEN(C1)-3), C1)</f>
        <v>#VALUE!</v>
      </c>
      <c r="O1" s="27"/>
      <c r="P1" s="27" t="e">
        <f t="shared" ref="P1:P4" si="0">IF(FIND("/", J1), LEFT(J1,LEN(J1)-3), J1)</f>
        <v>#VALUE!</v>
      </c>
      <c r="Q1" s="32" t="str">
        <f>RIGHT(J1, 2)</f>
        <v/>
      </c>
    </row>
    <row r="2" spans="1:17" ht="13.5" thickBot="1" x14ac:dyDescent="0.25">
      <c r="A2" s="73" t="s">
        <v>204</v>
      </c>
      <c r="B2" s="48"/>
      <c r="C2" s="100" t="s">
        <v>323</v>
      </c>
      <c r="D2" s="141"/>
      <c r="E2" s="141"/>
      <c r="F2" s="141"/>
      <c r="G2" s="69" t="s">
        <v>246</v>
      </c>
      <c r="H2" s="69"/>
      <c r="I2" s="101" t="s">
        <v>319</v>
      </c>
      <c r="J2" s="100" t="s">
        <v>320</v>
      </c>
      <c r="K2" s="102">
        <v>1030</v>
      </c>
      <c r="L2" s="1" t="s">
        <v>0</v>
      </c>
      <c r="M2" s="27"/>
      <c r="N2" s="27" t="str">
        <f t="shared" ref="N2:N7" si="1">IF(FIND("/", C2), LEFT(C2,LEN(C2)-3), C2)</f>
        <v>10.206.84.53</v>
      </c>
      <c r="O2" s="76"/>
      <c r="P2" s="27" t="str">
        <f t="shared" si="0"/>
        <v>10.206.84.54</v>
      </c>
      <c r="Q2" s="33" t="str">
        <f t="shared" ref="Q2:Q9" si="2">RIGHT(J2, 2)</f>
        <v>30</v>
      </c>
    </row>
    <row r="3" spans="1:17" ht="12.75" customHeight="1" x14ac:dyDescent="0.2">
      <c r="A3" s="73"/>
      <c r="B3" s="68"/>
      <c r="C3" s="80"/>
      <c r="D3" s="141" t="s">
        <v>216</v>
      </c>
      <c r="E3" s="141"/>
      <c r="F3" s="141"/>
      <c r="G3" s="69" t="s">
        <v>245</v>
      </c>
      <c r="H3" s="69"/>
      <c r="I3" s="49"/>
      <c r="J3" s="67"/>
      <c r="K3" s="67"/>
      <c r="L3" s="1" t="s">
        <v>0</v>
      </c>
      <c r="M3" s="27"/>
      <c r="N3" s="27" t="e">
        <f t="shared" si="1"/>
        <v>#VALUE!</v>
      </c>
      <c r="O3" s="27"/>
      <c r="P3" s="27" t="e">
        <f t="shared" si="0"/>
        <v>#VALUE!</v>
      </c>
      <c r="Q3" s="33" t="str">
        <f t="shared" si="2"/>
        <v/>
      </c>
    </row>
    <row r="4" spans="1:17" ht="13.5" thickBot="1" x14ac:dyDescent="0.25">
      <c r="A4" s="73" t="s">
        <v>121</v>
      </c>
      <c r="B4" s="49"/>
      <c r="C4" s="49"/>
      <c r="D4" s="141"/>
      <c r="E4" s="141"/>
      <c r="F4" s="141"/>
      <c r="G4" s="69" t="s">
        <v>221</v>
      </c>
      <c r="H4" s="69"/>
      <c r="I4" s="49"/>
      <c r="J4" s="49"/>
      <c r="K4" s="49"/>
      <c r="L4" s="1" t="s">
        <v>0</v>
      </c>
      <c r="M4" s="27"/>
      <c r="N4" s="27" t="e">
        <f t="shared" si="1"/>
        <v>#VALUE!</v>
      </c>
      <c r="O4" s="27"/>
      <c r="P4" s="27" t="e">
        <f t="shared" si="0"/>
        <v>#VALUE!</v>
      </c>
      <c r="Q4" s="33" t="str">
        <f t="shared" si="2"/>
        <v/>
      </c>
    </row>
    <row r="5" spans="1:17" ht="17.25" thickBot="1" x14ac:dyDescent="0.25">
      <c r="A5" s="73" t="s">
        <v>205</v>
      </c>
      <c r="B5" s="50"/>
      <c r="C5" s="102" t="s">
        <v>353</v>
      </c>
      <c r="D5" s="50" t="s">
        <v>217</v>
      </c>
      <c r="E5" s="51" t="s">
        <v>123</v>
      </c>
      <c r="F5" s="94" t="s">
        <v>313</v>
      </c>
      <c r="G5" s="70"/>
      <c r="H5" s="70"/>
      <c r="I5" s="101" t="s">
        <v>315</v>
      </c>
      <c r="J5" s="102" t="s">
        <v>351</v>
      </c>
      <c r="K5" s="102">
        <v>1031</v>
      </c>
      <c r="L5" s="2"/>
      <c r="M5" s="27"/>
      <c r="N5" s="27" t="str">
        <f t="shared" si="1"/>
        <v>10.245.30.69</v>
      </c>
      <c r="O5" s="27" t="str">
        <f>F5</f>
        <v>10.253.0.42</v>
      </c>
      <c r="P5" s="27" t="str">
        <f>IF(FIND("/", J5), LEFT(J5,LEN(J5)-3), J5)</f>
        <v>10.245.30.70</v>
      </c>
      <c r="Q5" s="33" t="str">
        <f t="shared" si="2"/>
        <v>30</v>
      </c>
    </row>
    <row r="6" spans="1:17" ht="13.5" thickBot="1" x14ac:dyDescent="0.25">
      <c r="A6" s="73" t="s">
        <v>206</v>
      </c>
      <c r="B6" s="50"/>
      <c r="C6" s="99" t="s">
        <v>354</v>
      </c>
      <c r="D6" s="50" t="s">
        <v>218</v>
      </c>
      <c r="E6" s="51" t="s">
        <v>124</v>
      </c>
      <c r="F6" s="52"/>
      <c r="G6" s="70" t="s">
        <v>222</v>
      </c>
      <c r="H6" s="70"/>
      <c r="I6" s="103" t="s">
        <v>316</v>
      </c>
      <c r="J6" s="99" t="s">
        <v>352</v>
      </c>
      <c r="K6" s="99">
        <v>1032</v>
      </c>
      <c r="L6" s="2"/>
      <c r="M6" s="27"/>
      <c r="N6" s="27" t="str">
        <f t="shared" si="1"/>
        <v>10.244.30.69</v>
      </c>
      <c r="O6" s="27">
        <f>F6</f>
        <v>0</v>
      </c>
      <c r="P6" s="27" t="str">
        <f t="shared" ref="P6:P7" si="3">IF(FIND("/", J6), LEFT(J6,LEN(J6)-3), J6)</f>
        <v>10.244.30.70</v>
      </c>
      <c r="Q6" s="33" t="str">
        <f t="shared" si="2"/>
        <v>30</v>
      </c>
    </row>
    <row r="7" spans="1:17" ht="13.5" thickBot="1" x14ac:dyDescent="0.25">
      <c r="A7" s="73" t="s">
        <v>207</v>
      </c>
      <c r="B7" s="50"/>
      <c r="C7" s="99" t="s">
        <v>324</v>
      </c>
      <c r="D7" s="50" t="s">
        <v>219</v>
      </c>
      <c r="E7" s="51" t="s">
        <v>0</v>
      </c>
      <c r="F7" s="52" t="s">
        <v>0</v>
      </c>
      <c r="G7" s="70"/>
      <c r="H7" s="70"/>
      <c r="I7" s="103" t="s">
        <v>317</v>
      </c>
      <c r="J7" s="99" t="s">
        <v>318</v>
      </c>
      <c r="K7" s="99">
        <v>1033</v>
      </c>
      <c r="L7" s="2"/>
      <c r="M7" s="27"/>
      <c r="N7" s="27" t="str">
        <f t="shared" si="1"/>
        <v>10.243.15.41</v>
      </c>
      <c r="O7" s="27"/>
      <c r="P7" s="27" t="str">
        <f t="shared" si="3"/>
        <v>10.243.15.42</v>
      </c>
      <c r="Q7" s="33" t="str">
        <f t="shared" si="2"/>
        <v>30</v>
      </c>
    </row>
    <row r="8" spans="1:17" x14ac:dyDescent="0.2">
      <c r="A8" s="73"/>
      <c r="B8" s="64"/>
      <c r="C8" s="64"/>
      <c r="D8" s="64"/>
      <c r="E8" s="64"/>
      <c r="F8" s="64"/>
      <c r="G8" s="64"/>
      <c r="H8" s="64"/>
      <c r="I8" s="78"/>
      <c r="J8" s="76"/>
      <c r="K8" s="76"/>
      <c r="L8" s="77"/>
      <c r="M8" s="27"/>
      <c r="N8" s="27"/>
      <c r="O8" s="27"/>
      <c r="P8" s="27"/>
      <c r="Q8" s="33" t="str">
        <f t="shared" si="2"/>
        <v/>
      </c>
    </row>
    <row r="9" spans="1:17" ht="13.5" thickBot="1" x14ac:dyDescent="0.25">
      <c r="A9" s="74"/>
      <c r="B9" s="71"/>
      <c r="C9" s="34"/>
      <c r="D9" s="71"/>
      <c r="E9" s="71"/>
      <c r="F9" s="34"/>
      <c r="G9" s="71"/>
      <c r="H9" s="71"/>
      <c r="I9" s="79"/>
      <c r="J9" s="34"/>
      <c r="K9" s="34"/>
      <c r="L9" s="34"/>
      <c r="M9" s="36"/>
      <c r="N9" s="36"/>
      <c r="O9" s="36"/>
      <c r="P9" s="36"/>
      <c r="Q9" s="37" t="str">
        <f t="shared" si="2"/>
        <v/>
      </c>
    </row>
    <row r="10" spans="1:17" x14ac:dyDescent="0.2">
      <c r="A10" s="18">
        <v>1</v>
      </c>
      <c r="B10" s="18">
        <v>2</v>
      </c>
      <c r="C10" s="18">
        <v>3</v>
      </c>
      <c r="D10" s="18">
        <v>4</v>
      </c>
      <c r="E10" s="18">
        <v>5</v>
      </c>
      <c r="F10" s="18">
        <v>6</v>
      </c>
      <c r="G10" s="18">
        <v>7</v>
      </c>
      <c r="H10" s="18">
        <v>8</v>
      </c>
      <c r="I10" s="18">
        <v>9</v>
      </c>
      <c r="J10" s="18">
        <v>10</v>
      </c>
      <c r="K10" s="18">
        <v>11</v>
      </c>
      <c r="L10" s="18">
        <v>12</v>
      </c>
      <c r="M10" s="18">
        <v>13</v>
      </c>
      <c r="N10" s="18">
        <v>14</v>
      </c>
      <c r="O10" s="18">
        <v>15</v>
      </c>
      <c r="P10" s="18">
        <v>16</v>
      </c>
      <c r="Q10" s="18">
        <v>17</v>
      </c>
    </row>
    <row r="11" spans="1:17" ht="13.5" thickBo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 t="s">
        <v>98</v>
      </c>
      <c r="O11" s="18" t="s">
        <v>272</v>
      </c>
      <c r="P11" s="18" t="s">
        <v>270</v>
      </c>
      <c r="Q11" s="18" t="s">
        <v>271</v>
      </c>
    </row>
    <row r="12" spans="1:17" ht="13.5" thickBot="1" x14ac:dyDescent="0.25">
      <c r="A12" s="59" t="s">
        <v>326</v>
      </c>
      <c r="B12" s="109" t="s">
        <v>325</v>
      </c>
    </row>
    <row r="13" spans="1:17" x14ac:dyDescent="0.2">
      <c r="A13" s="59" t="s">
        <v>203</v>
      </c>
      <c r="B13" s="92" t="s">
        <v>111</v>
      </c>
    </row>
    <row r="14" spans="1:17" x14ac:dyDescent="0.2">
      <c r="A14" s="60" t="s">
        <v>204</v>
      </c>
      <c r="B14" s="92" t="s">
        <v>327</v>
      </c>
    </row>
    <row r="15" spans="1:17" x14ac:dyDescent="0.2">
      <c r="A15" s="60" t="s">
        <v>205</v>
      </c>
      <c r="B15" s="92"/>
    </row>
    <row r="16" spans="1:17" x14ac:dyDescent="0.2">
      <c r="A16" s="60" t="s">
        <v>206</v>
      </c>
      <c r="B16" s="92"/>
    </row>
    <row r="17" spans="1:37" ht="13.5" thickBot="1" x14ac:dyDescent="0.25">
      <c r="A17" s="61" t="s">
        <v>207</v>
      </c>
      <c r="B17" s="93"/>
    </row>
    <row r="18" spans="1:37" ht="13.5" thickBot="1" x14ac:dyDescent="0.25"/>
    <row r="19" spans="1:37" ht="26.25" thickBot="1" x14ac:dyDescent="0.25">
      <c r="A19" s="95" t="s">
        <v>169</v>
      </c>
      <c r="B19" s="54" t="s">
        <v>126</v>
      </c>
      <c r="C19" s="55" t="s">
        <v>127</v>
      </c>
      <c r="D19" s="55" t="s">
        <v>128</v>
      </c>
      <c r="E19" s="55" t="s">
        <v>129</v>
      </c>
      <c r="F19" s="55" t="s">
        <v>130</v>
      </c>
      <c r="G19" s="56" t="s">
        <v>131</v>
      </c>
      <c r="H19" s="57" t="s">
        <v>132</v>
      </c>
      <c r="I19" s="57" t="s">
        <v>133</v>
      </c>
      <c r="J19" s="57" t="s">
        <v>134</v>
      </c>
      <c r="K19" s="58" t="s">
        <v>135</v>
      </c>
      <c r="L19" s="55" t="s">
        <v>136</v>
      </c>
      <c r="M19" s="55" t="s">
        <v>137</v>
      </c>
      <c r="N19" s="55" t="s">
        <v>138</v>
      </c>
      <c r="O19" s="56" t="s">
        <v>139</v>
      </c>
      <c r="P19" s="55" t="s">
        <v>140</v>
      </c>
      <c r="Q19" s="55" t="s">
        <v>141</v>
      </c>
      <c r="R19" s="57" t="s">
        <v>142</v>
      </c>
      <c r="S19" s="57" t="s">
        <v>143</v>
      </c>
      <c r="T19" s="57" t="s">
        <v>144</v>
      </c>
      <c r="U19" s="56" t="s">
        <v>145</v>
      </c>
      <c r="V19" s="58" t="s">
        <v>146</v>
      </c>
      <c r="W19" s="55" t="s">
        <v>147</v>
      </c>
      <c r="X19" s="55" t="s">
        <v>148</v>
      </c>
      <c r="Y19" s="55" t="s">
        <v>149</v>
      </c>
      <c r="Z19" s="55" t="s">
        <v>150</v>
      </c>
      <c r="AA19" s="55" t="s">
        <v>151</v>
      </c>
      <c r="AB19" s="55" t="s">
        <v>152</v>
      </c>
      <c r="AC19" s="55" t="s">
        <v>153</v>
      </c>
      <c r="AD19" s="55" t="s">
        <v>154</v>
      </c>
      <c r="AE19" s="55" t="s">
        <v>155</v>
      </c>
      <c r="AF19" s="55" t="s">
        <v>156</v>
      </c>
      <c r="AG19" s="56" t="s">
        <v>157</v>
      </c>
      <c r="AH19" s="55" t="s">
        <v>158</v>
      </c>
      <c r="AI19" s="55" t="s">
        <v>159</v>
      </c>
      <c r="AJ19" s="55" t="s">
        <v>160</v>
      </c>
      <c r="AK19" s="97" t="s">
        <v>298</v>
      </c>
    </row>
    <row r="20" spans="1:37" ht="15.75" thickBot="1" x14ac:dyDescent="0.25">
      <c r="A20" s="62"/>
      <c r="B20" s="104" t="s">
        <v>309</v>
      </c>
      <c r="C20" s="105">
        <v>1917</v>
      </c>
      <c r="D20" s="105">
        <v>19175</v>
      </c>
      <c r="E20" s="105">
        <v>19176</v>
      </c>
      <c r="F20" s="105">
        <v>19177</v>
      </c>
      <c r="G20" s="106"/>
      <c r="H20" s="105">
        <v>490757</v>
      </c>
      <c r="I20" s="105">
        <v>490758</v>
      </c>
      <c r="J20" s="105">
        <v>490759</v>
      </c>
      <c r="K20" s="106"/>
      <c r="L20" s="105" t="s">
        <v>310</v>
      </c>
      <c r="M20" s="105" t="s">
        <v>311</v>
      </c>
      <c r="N20" s="105" t="s">
        <v>312</v>
      </c>
      <c r="O20" s="106"/>
      <c r="P20" s="105">
        <v>12003</v>
      </c>
      <c r="Q20" s="105">
        <v>80</v>
      </c>
      <c r="R20" s="105">
        <v>240</v>
      </c>
      <c r="S20" s="105">
        <v>241</v>
      </c>
      <c r="T20" s="105">
        <v>242</v>
      </c>
      <c r="U20" s="106"/>
      <c r="V20" s="106"/>
      <c r="W20" s="105">
        <v>44622996</v>
      </c>
      <c r="X20" s="105">
        <v>19952445</v>
      </c>
      <c r="Y20" s="105">
        <v>80</v>
      </c>
      <c r="Z20" s="105" t="s">
        <v>296</v>
      </c>
      <c r="AA20" s="105" t="s">
        <v>297</v>
      </c>
      <c r="AB20" s="105">
        <v>-120</v>
      </c>
      <c r="AC20" s="105">
        <v>-97</v>
      </c>
      <c r="AD20" s="105">
        <v>720</v>
      </c>
      <c r="AE20" s="105">
        <v>730</v>
      </c>
      <c r="AF20" s="105">
        <v>740</v>
      </c>
      <c r="AG20" s="106"/>
      <c r="AH20" s="105">
        <v>800</v>
      </c>
      <c r="AI20" s="105">
        <v>2000</v>
      </c>
      <c r="AJ20" s="105">
        <v>3000</v>
      </c>
      <c r="AK20" s="96"/>
    </row>
    <row r="24" spans="1:37" ht="13.5" thickBot="1" x14ac:dyDescent="0.25">
      <c r="E24" s="3" t="s">
        <v>243</v>
      </c>
      <c r="F24" t="s">
        <v>244</v>
      </c>
    </row>
    <row r="25" spans="1:37" x14ac:dyDescent="0.2">
      <c r="A25" s="142" t="s">
        <v>293</v>
      </c>
      <c r="B25" s="110" t="s">
        <v>119</v>
      </c>
      <c r="C25" s="111" t="str">
        <f>B20</f>
        <v>SAO100</v>
      </c>
      <c r="E25" s="7" t="str">
        <f>_xlfn.CONCAT(C25, "_", C26)</f>
        <v>SAO100_Debrc</v>
      </c>
      <c r="F25" t="str">
        <f>SUBSTITUTE(E25, "_", "-")</f>
        <v>SAO100-Debrc</v>
      </c>
    </row>
    <row r="26" spans="1:37" x14ac:dyDescent="0.2">
      <c r="A26" s="143"/>
      <c r="B26" s="112" t="s">
        <v>322</v>
      </c>
      <c r="C26" s="113" t="s">
        <v>321</v>
      </c>
      <c r="E26" s="3"/>
    </row>
    <row r="27" spans="1:37" x14ac:dyDescent="0.2">
      <c r="A27" s="143"/>
      <c r="B27" s="81" t="s">
        <v>92</v>
      </c>
      <c r="C27" s="114">
        <f>C20</f>
        <v>1917</v>
      </c>
      <c r="E27" s="15"/>
      <c r="F27" s="16"/>
      <c r="G27" s="16"/>
    </row>
    <row r="28" spans="1:37" ht="13.5" thickBot="1" x14ac:dyDescent="0.25">
      <c r="A28" s="144"/>
      <c r="B28" s="115" t="s">
        <v>89</v>
      </c>
      <c r="C28" s="116" t="s">
        <v>327</v>
      </c>
      <c r="E28" s="15"/>
      <c r="F28" s="16"/>
      <c r="G28" s="16"/>
    </row>
    <row r="29" spans="1:37" ht="13.5" thickBot="1" x14ac:dyDescent="0.25">
      <c r="B29" s="7"/>
      <c r="C29" s="38"/>
      <c r="E29" s="15"/>
      <c r="F29" s="16"/>
      <c r="G29" s="16"/>
    </row>
    <row r="30" spans="1:37" x14ac:dyDescent="0.2">
      <c r="A30" s="142" t="s">
        <v>294</v>
      </c>
      <c r="B30" s="117" t="s">
        <v>103</v>
      </c>
      <c r="C30" s="118"/>
      <c r="E30" s="17" t="e">
        <f>VLOOKUP(C30,B86:E91,2, FALSE)</f>
        <v>#N/A</v>
      </c>
      <c r="F30" t="s">
        <v>106</v>
      </c>
      <c r="G30" s="16" t="e">
        <f>VLOOKUP(C30,B86:E91,4, FALSE)</f>
        <v>#N/A</v>
      </c>
      <c r="H30" t="s">
        <v>105</v>
      </c>
      <c r="I30" t="e">
        <f>VLOOKUP(C30,B86:E91,3, FALSE)</f>
        <v>#N/A</v>
      </c>
    </row>
    <row r="31" spans="1:37" x14ac:dyDescent="0.2">
      <c r="A31" s="143"/>
      <c r="B31" s="112" t="s">
        <v>91</v>
      </c>
      <c r="C31" s="119"/>
      <c r="E31" s="17"/>
      <c r="F31" s="18" t="s">
        <v>93</v>
      </c>
      <c r="G31" s="18" t="s">
        <v>93</v>
      </c>
    </row>
    <row r="32" spans="1:37" x14ac:dyDescent="0.2">
      <c r="A32" s="143"/>
      <c r="B32" s="112" t="s">
        <v>102</v>
      </c>
      <c r="C32" s="119"/>
      <c r="E32" s="17"/>
      <c r="F32" s="18"/>
      <c r="G32" s="18"/>
    </row>
    <row r="33" spans="1:8" ht="13.5" thickBot="1" x14ac:dyDescent="0.25">
      <c r="A33" s="143"/>
      <c r="B33" s="28"/>
      <c r="C33" s="120"/>
      <c r="E33" s="17"/>
      <c r="F33" s="18"/>
      <c r="G33" s="18"/>
    </row>
    <row r="34" spans="1:8" x14ac:dyDescent="0.2">
      <c r="A34" s="143"/>
      <c r="B34" s="123" t="s">
        <v>47</v>
      </c>
      <c r="C34" s="121"/>
      <c r="D34" s="31"/>
      <c r="E34" s="42">
        <v>10638</v>
      </c>
      <c r="F34" s="30">
        <v>7</v>
      </c>
      <c r="G34" s="32">
        <v>8</v>
      </c>
    </row>
    <row r="35" spans="1:8" x14ac:dyDescent="0.2">
      <c r="A35" s="143"/>
      <c r="B35" s="28"/>
      <c r="C35" s="121"/>
      <c r="D35" s="28"/>
      <c r="E35" s="43">
        <v>10638</v>
      </c>
      <c r="F35" s="27">
        <v>9</v>
      </c>
      <c r="G35" s="33">
        <v>10</v>
      </c>
    </row>
    <row r="36" spans="1:8" ht="13.5" thickBot="1" x14ac:dyDescent="0.25">
      <c r="A36" s="143"/>
      <c r="B36" s="28"/>
      <c r="C36" s="121"/>
      <c r="D36" s="28"/>
      <c r="E36" s="43">
        <v>10638</v>
      </c>
      <c r="F36" s="27">
        <v>11</v>
      </c>
      <c r="G36" s="33">
        <v>12</v>
      </c>
    </row>
    <row r="37" spans="1:8" x14ac:dyDescent="0.2">
      <c r="A37" s="143"/>
      <c r="B37" s="28"/>
      <c r="C37" s="121"/>
      <c r="D37" s="28"/>
      <c r="E37" s="43">
        <v>10663</v>
      </c>
      <c r="F37" s="39">
        <v>7</v>
      </c>
      <c r="G37" s="44">
        <v>8</v>
      </c>
      <c r="H37" s="10" t="s">
        <v>107</v>
      </c>
    </row>
    <row r="38" spans="1:8" x14ac:dyDescent="0.2">
      <c r="A38" s="143"/>
      <c r="B38" s="28"/>
      <c r="C38" s="121"/>
      <c r="D38" s="28"/>
      <c r="E38" s="43">
        <v>10663</v>
      </c>
      <c r="F38" s="40">
        <v>9</v>
      </c>
      <c r="G38" s="45">
        <v>10</v>
      </c>
      <c r="H38" s="12" t="s">
        <v>107</v>
      </c>
    </row>
    <row r="39" spans="1:8" ht="13.5" thickBot="1" x14ac:dyDescent="0.25">
      <c r="A39" s="144"/>
      <c r="B39" s="34"/>
      <c r="C39" s="122"/>
      <c r="D39" s="34"/>
      <c r="E39" s="46">
        <v>10663</v>
      </c>
      <c r="F39" s="41">
        <v>11</v>
      </c>
      <c r="G39" s="47">
        <v>12</v>
      </c>
      <c r="H39" s="14" t="s">
        <v>107</v>
      </c>
    </row>
    <row r="40" spans="1:8" ht="13.5" thickBot="1" x14ac:dyDescent="0.25">
      <c r="E40" s="18"/>
      <c r="F40" s="18"/>
      <c r="G40" s="18"/>
    </row>
    <row r="41" spans="1:8" x14ac:dyDescent="0.2">
      <c r="A41" s="142" t="s">
        <v>295</v>
      </c>
      <c r="B41" s="117" t="s">
        <v>87</v>
      </c>
      <c r="C41" s="124" t="s">
        <v>112</v>
      </c>
      <c r="E41" s="18">
        <f>VLOOKUP(C41,B94:C99, 2, FALSE)</f>
        <v>406097</v>
      </c>
      <c r="F41" s="18"/>
      <c r="G41" s="18"/>
    </row>
    <row r="42" spans="1:8" x14ac:dyDescent="0.2">
      <c r="A42" s="143"/>
      <c r="B42" s="112" t="s">
        <v>83</v>
      </c>
      <c r="C42" s="119">
        <v>3810</v>
      </c>
      <c r="E42" s="18"/>
      <c r="F42" s="18"/>
      <c r="G42" s="18"/>
    </row>
    <row r="43" spans="1:8" x14ac:dyDescent="0.2">
      <c r="A43" s="143"/>
      <c r="B43" s="81" t="s">
        <v>250</v>
      </c>
      <c r="C43" s="120" t="str">
        <f>VLOOKUP("SBTSoam", A1:Q9, 16, FALSE)</f>
        <v>10.244.30.70</v>
      </c>
      <c r="D43" s="7" t="s">
        <v>109</v>
      </c>
      <c r="E43" s="18"/>
      <c r="F43" s="18"/>
      <c r="G43" s="18"/>
    </row>
    <row r="44" spans="1:8" ht="15" x14ac:dyDescent="0.2">
      <c r="A44" s="143"/>
      <c r="B44" s="112" t="s">
        <v>308</v>
      </c>
      <c r="C44" s="125" t="s">
        <v>314</v>
      </c>
      <c r="E44" s="18"/>
      <c r="F44" s="18"/>
      <c r="G44" s="18"/>
    </row>
    <row r="45" spans="1:8" x14ac:dyDescent="0.2">
      <c r="A45" s="143"/>
      <c r="B45" s="112" t="s">
        <v>57</v>
      </c>
      <c r="C45" s="33"/>
      <c r="E45" s="18">
        <v>1</v>
      </c>
      <c r="F45" s="18">
        <v>7</v>
      </c>
      <c r="G45" s="18">
        <v>8</v>
      </c>
    </row>
    <row r="46" spans="1:8" ht="13.5" thickBot="1" x14ac:dyDescent="0.25">
      <c r="A46" s="144"/>
      <c r="B46" s="115" t="s">
        <v>125</v>
      </c>
      <c r="C46" s="126">
        <v>430</v>
      </c>
      <c r="E46" s="18">
        <v>2</v>
      </c>
      <c r="F46" s="18">
        <v>9</v>
      </c>
      <c r="G46" s="18">
        <v>10</v>
      </c>
    </row>
    <row r="47" spans="1:8" x14ac:dyDescent="0.2">
      <c r="E47" s="18">
        <v>3</v>
      </c>
      <c r="F47" s="18">
        <v>11</v>
      </c>
      <c r="G47" s="18">
        <v>12</v>
      </c>
    </row>
    <row r="48" spans="1:8" x14ac:dyDescent="0.2">
      <c r="E48" s="18"/>
      <c r="F48" s="18"/>
      <c r="G48" s="18"/>
    </row>
    <row r="49" spans="1:9" x14ac:dyDescent="0.2">
      <c r="E49" s="18"/>
      <c r="F49" s="18"/>
      <c r="G49" s="18"/>
    </row>
    <row r="50" spans="1:9" ht="13.5" thickBot="1" x14ac:dyDescent="0.25">
      <c r="E50" s="18"/>
      <c r="F50" s="18"/>
      <c r="G50" s="18"/>
    </row>
    <row r="51" spans="1:9" x14ac:dyDescent="0.2">
      <c r="A51" s="59" t="s">
        <v>170</v>
      </c>
      <c r="B51" s="9" t="s">
        <v>163</v>
      </c>
      <c r="C51" s="32" t="str">
        <f>Z20</f>
        <v>10.254.22.4</v>
      </c>
      <c r="D51" s="28"/>
      <c r="E51" s="27"/>
      <c r="F51" s="27"/>
      <c r="G51" s="27"/>
      <c r="H51" s="28"/>
    </row>
    <row r="52" spans="1:9" ht="13.5" thickBot="1" x14ac:dyDescent="0.25">
      <c r="A52" s="60"/>
      <c r="B52" s="13" t="s">
        <v>164</v>
      </c>
      <c r="C52" s="37" t="str">
        <f>AA20</f>
        <v>10.254.2.4</v>
      </c>
      <c r="D52" s="28"/>
      <c r="E52" s="27"/>
      <c r="F52" s="27"/>
      <c r="G52" s="27"/>
      <c r="H52" s="28"/>
    </row>
    <row r="53" spans="1:9" x14ac:dyDescent="0.2">
      <c r="A53" s="60"/>
      <c r="B53" s="28"/>
      <c r="C53" s="27"/>
      <c r="D53" s="28"/>
      <c r="E53" s="27"/>
      <c r="F53" s="27"/>
      <c r="G53" s="27"/>
      <c r="H53" s="28"/>
    </row>
    <row r="54" spans="1:9" ht="13.5" thickBot="1" x14ac:dyDescent="0.25">
      <c r="A54" s="60"/>
      <c r="B54" s="28" t="s">
        <v>120</v>
      </c>
      <c r="C54" s="27" t="str">
        <f>E25</f>
        <v>SAO100_Debrc</v>
      </c>
      <c r="D54" s="28"/>
      <c r="E54" s="28"/>
      <c r="F54" s="27"/>
      <c r="G54" s="28"/>
      <c r="H54" s="28"/>
    </row>
    <row r="55" spans="1:9" x14ac:dyDescent="0.2">
      <c r="A55" s="60"/>
      <c r="B55" s="65" t="s">
        <v>115</v>
      </c>
      <c r="C55" s="19" t="s">
        <v>168</v>
      </c>
      <c r="D55" s="31"/>
      <c r="E55" s="30">
        <f>D20</f>
        <v>19175</v>
      </c>
      <c r="F55" s="30">
        <f>E20</f>
        <v>19176</v>
      </c>
      <c r="G55" s="30">
        <f>F20</f>
        <v>19177</v>
      </c>
      <c r="H55" s="32">
        <f>G20</f>
        <v>0</v>
      </c>
    </row>
    <row r="56" spans="1:9" s="18" customFormat="1" x14ac:dyDescent="0.2">
      <c r="A56" s="60"/>
      <c r="B56" s="27"/>
      <c r="C56" s="20" t="s">
        <v>161</v>
      </c>
      <c r="D56" s="27"/>
      <c r="E56" s="27" t="str">
        <f>L20</f>
        <v>SAO100A</v>
      </c>
      <c r="F56" s="27" t="str">
        <f>M20</f>
        <v>SAO100B</v>
      </c>
      <c r="G56" s="27" t="str">
        <f>N20</f>
        <v>SAO100C</v>
      </c>
      <c r="H56" s="33">
        <f>O20</f>
        <v>0</v>
      </c>
    </row>
    <row r="57" spans="1:9" s="18" customFormat="1" x14ac:dyDescent="0.2">
      <c r="A57" s="60"/>
      <c r="B57" s="27"/>
      <c r="C57" s="20" t="s">
        <v>162</v>
      </c>
      <c r="D57" s="27"/>
      <c r="E57" s="27">
        <f>R20</f>
        <v>240</v>
      </c>
      <c r="F57" s="27">
        <f>S20</f>
        <v>241</v>
      </c>
      <c r="G57" s="27">
        <f>T20</f>
        <v>242</v>
      </c>
      <c r="H57" s="33">
        <f>U20</f>
        <v>0</v>
      </c>
    </row>
    <row r="58" spans="1:9" s="18" customFormat="1" x14ac:dyDescent="0.2">
      <c r="A58" s="60"/>
      <c r="B58" s="27"/>
      <c r="C58" s="20" t="s">
        <v>247</v>
      </c>
      <c r="D58" s="27"/>
      <c r="E58" s="27">
        <f>P20</f>
        <v>12003</v>
      </c>
      <c r="F58" s="27">
        <f>P20</f>
        <v>12003</v>
      </c>
      <c r="G58" s="27">
        <f>P20</f>
        <v>12003</v>
      </c>
      <c r="H58" s="33">
        <f>P20</f>
        <v>12003</v>
      </c>
    </row>
    <row r="59" spans="1:9" s="18" customFormat="1" x14ac:dyDescent="0.2">
      <c r="A59" s="60"/>
      <c r="B59" s="27"/>
      <c r="C59" s="20"/>
      <c r="D59" s="27"/>
      <c r="E59" s="27"/>
      <c r="F59" s="27"/>
      <c r="G59" s="27"/>
      <c r="H59" s="33"/>
    </row>
    <row r="60" spans="1:9" s="18" customFormat="1" x14ac:dyDescent="0.2">
      <c r="A60" s="60"/>
      <c r="B60" s="27"/>
      <c r="C60" s="20" t="s">
        <v>166</v>
      </c>
      <c r="D60" s="27"/>
      <c r="E60" s="27">
        <f>AD20</f>
        <v>720</v>
      </c>
      <c r="F60" s="27">
        <f>AE20</f>
        <v>730</v>
      </c>
      <c r="G60" s="27">
        <f>AF20</f>
        <v>740</v>
      </c>
      <c r="H60" s="33">
        <f>AG20</f>
        <v>0</v>
      </c>
    </row>
    <row r="61" spans="1:9" s="18" customFormat="1" ht="13.5" thickBot="1" x14ac:dyDescent="0.25">
      <c r="A61" s="61"/>
      <c r="B61" s="27"/>
      <c r="C61" s="63" t="s">
        <v>167</v>
      </c>
      <c r="D61" s="36"/>
      <c r="E61" s="36">
        <f>H20</f>
        <v>490757</v>
      </c>
      <c r="F61" s="36">
        <f>I20</f>
        <v>490758</v>
      </c>
      <c r="G61" s="36">
        <f>J20</f>
        <v>490759</v>
      </c>
      <c r="H61" s="37">
        <f>K20</f>
        <v>0</v>
      </c>
      <c r="I61" s="16" t="s">
        <v>258</v>
      </c>
    </row>
    <row r="62" spans="1:9" s="18" customFormat="1" x14ac:dyDescent="0.2"/>
    <row r="63" spans="1:9" s="18" customFormat="1" ht="25.5" x14ac:dyDescent="0.2">
      <c r="B63" s="18" t="s">
        <v>252</v>
      </c>
      <c r="C63" s="17" t="s">
        <v>265</v>
      </c>
      <c r="D63" s="18" t="str">
        <f>MID(C25, 3, 1)</f>
        <v>O</v>
      </c>
      <c r="E63" s="18" t="s">
        <v>256</v>
      </c>
      <c r="F63" s="18">
        <f>IF(D63="O", 1500, 6200)</f>
        <v>1500</v>
      </c>
    </row>
    <row r="64" spans="1:9" s="18" customFormat="1" x14ac:dyDescent="0.2">
      <c r="E64" s="18" t="s">
        <v>257</v>
      </c>
      <c r="F64" s="18" t="str">
        <f>IF(D63="O", "mbw100", "mbw50")</f>
        <v>mbw100</v>
      </c>
    </row>
    <row r="65" spans="2:8" s="18" customFormat="1" ht="13.5" thickBot="1" x14ac:dyDescent="0.25"/>
    <row r="66" spans="2:8" ht="13.5" thickBot="1" x14ac:dyDescent="0.25">
      <c r="B66" s="75" t="s">
        <v>242</v>
      </c>
      <c r="C66" s="31"/>
      <c r="D66" s="31"/>
      <c r="E66" s="30">
        <v>1</v>
      </c>
      <c r="F66" s="30">
        <v>1</v>
      </c>
      <c r="G66" s="30">
        <v>2</v>
      </c>
      <c r="H66" s="14" t="s">
        <v>107</v>
      </c>
    </row>
    <row r="67" spans="2:8" ht="13.5" thickBot="1" x14ac:dyDescent="0.25">
      <c r="B67" s="11"/>
      <c r="C67" s="28"/>
      <c r="D67" s="28"/>
      <c r="E67" s="27">
        <v>2</v>
      </c>
      <c r="F67" s="27">
        <v>3</v>
      </c>
      <c r="G67" s="27">
        <v>4</v>
      </c>
      <c r="H67" s="14" t="s">
        <v>107</v>
      </c>
    </row>
    <row r="68" spans="2:8" ht="13.5" thickBot="1" x14ac:dyDescent="0.25">
      <c r="B68" s="11"/>
      <c r="C68" s="28"/>
      <c r="D68" s="28"/>
      <c r="E68" s="27">
        <v>3</v>
      </c>
      <c r="F68" s="27">
        <v>5</v>
      </c>
      <c r="G68" s="27">
        <v>6</v>
      </c>
      <c r="H68" s="14" t="s">
        <v>107</v>
      </c>
    </row>
    <row r="69" spans="2:8" x14ac:dyDescent="0.2">
      <c r="B69" s="11"/>
      <c r="C69" s="28"/>
      <c r="D69" s="28"/>
      <c r="E69" s="27"/>
      <c r="F69" s="27"/>
      <c r="G69" s="27"/>
      <c r="H69" s="12"/>
    </row>
    <row r="70" spans="2:8" ht="13.5" thickBot="1" x14ac:dyDescent="0.25">
      <c r="B70" s="13"/>
      <c r="C70" s="34"/>
      <c r="D70" s="34"/>
      <c r="E70" s="36"/>
      <c r="F70" s="36"/>
      <c r="G70" s="36"/>
      <c r="H70" s="14"/>
    </row>
    <row r="71" spans="2:8" x14ac:dyDescent="0.2">
      <c r="E71" s="18"/>
      <c r="F71" s="18"/>
      <c r="G71" s="18"/>
    </row>
    <row r="72" spans="2:8" ht="13.5" thickBot="1" x14ac:dyDescent="0.25">
      <c r="E72" s="18"/>
      <c r="F72" s="18"/>
      <c r="G72" s="18"/>
    </row>
    <row r="73" spans="2:8" ht="13.5" thickBot="1" x14ac:dyDescent="0.25">
      <c r="B73" s="107" t="s">
        <v>110</v>
      </c>
      <c r="C73" s="108">
        <v>1</v>
      </c>
      <c r="E73" s="18" t="str">
        <f>VLOOKUP(C73, B81:C83, 2, FALSE)</f>
        <v>10.15.205.107</v>
      </c>
      <c r="F73" s="18"/>
      <c r="G73" s="18"/>
    </row>
    <row r="74" spans="2:8" x14ac:dyDescent="0.2">
      <c r="E74" s="18"/>
      <c r="F74" s="18"/>
      <c r="G74" s="18"/>
    </row>
    <row r="75" spans="2:8" x14ac:dyDescent="0.2">
      <c r="E75" s="18"/>
      <c r="F75" s="18"/>
      <c r="G75" s="18"/>
    </row>
    <row r="76" spans="2:8" x14ac:dyDescent="0.2">
      <c r="E76" s="18"/>
      <c r="F76" s="18"/>
      <c r="G76" s="18"/>
    </row>
    <row r="79" spans="2:8" x14ac:dyDescent="0.2">
      <c r="B79" s="4" t="s">
        <v>101</v>
      </c>
    </row>
    <row r="80" spans="2:8" ht="13.5" thickBot="1" x14ac:dyDescent="0.25">
      <c r="B80" t="s">
        <v>110</v>
      </c>
    </row>
    <row r="81" spans="1:7" x14ac:dyDescent="0.2">
      <c r="B81" s="21">
        <v>1</v>
      </c>
      <c r="C81" s="22" t="s">
        <v>100</v>
      </c>
    </row>
    <row r="82" spans="1:7" x14ac:dyDescent="0.2">
      <c r="B82" s="23">
        <v>2</v>
      </c>
      <c r="C82" s="24" t="s">
        <v>122</v>
      </c>
    </row>
    <row r="83" spans="1:7" ht="13.5" thickBot="1" x14ac:dyDescent="0.25">
      <c r="B83" s="25">
        <v>3</v>
      </c>
      <c r="C83" s="26"/>
    </row>
    <row r="84" spans="1:7" x14ac:dyDescent="0.2">
      <c r="B84" s="4"/>
    </row>
    <row r="85" spans="1:7" ht="13.5" thickBot="1" x14ac:dyDescent="0.25">
      <c r="B85" t="s">
        <v>103</v>
      </c>
      <c r="C85" t="s">
        <v>90</v>
      </c>
      <c r="D85" t="s">
        <v>98</v>
      </c>
      <c r="E85" t="s">
        <v>3</v>
      </c>
    </row>
    <row r="86" spans="1:7" x14ac:dyDescent="0.2">
      <c r="A86" s="18"/>
      <c r="B86" s="19" t="s">
        <v>94</v>
      </c>
      <c r="C86" s="30">
        <v>3</v>
      </c>
      <c r="D86" s="30">
        <v>26</v>
      </c>
      <c r="E86" s="32" t="s">
        <v>80</v>
      </c>
      <c r="F86" s="27"/>
      <c r="G86" s="27"/>
    </row>
    <row r="87" spans="1:7" x14ac:dyDescent="0.2">
      <c r="A87" s="18"/>
      <c r="B87" s="20" t="s">
        <v>95</v>
      </c>
      <c r="C87" s="27">
        <v>4</v>
      </c>
      <c r="D87" s="27">
        <v>26</v>
      </c>
      <c r="E87" s="33" t="s">
        <v>81</v>
      </c>
      <c r="F87" s="27"/>
      <c r="G87" s="27"/>
    </row>
    <row r="88" spans="1:7" x14ac:dyDescent="0.2">
      <c r="A88" s="18"/>
      <c r="B88" s="20" t="s">
        <v>96</v>
      </c>
      <c r="C88" s="27">
        <v>6</v>
      </c>
      <c r="D88" s="27">
        <v>26</v>
      </c>
      <c r="E88" s="33" t="s">
        <v>82</v>
      </c>
      <c r="F88" s="27"/>
      <c r="G88" s="27"/>
    </row>
    <row r="89" spans="1:7" x14ac:dyDescent="0.2">
      <c r="A89" s="18"/>
      <c r="B89" s="20" t="s">
        <v>97</v>
      </c>
      <c r="C89" s="35">
        <v>13</v>
      </c>
      <c r="D89" s="35"/>
      <c r="E89" s="33"/>
      <c r="F89" s="29"/>
      <c r="G89" s="29"/>
    </row>
    <row r="90" spans="1:7" x14ac:dyDescent="0.2">
      <c r="A90" s="18"/>
      <c r="B90" s="20"/>
      <c r="C90" s="35"/>
      <c r="D90" s="35"/>
      <c r="E90" s="33"/>
      <c r="F90" s="29"/>
      <c r="G90" s="29"/>
    </row>
    <row r="91" spans="1:7" ht="13.5" thickBot="1" x14ac:dyDescent="0.25">
      <c r="B91" s="13" t="s">
        <v>251</v>
      </c>
      <c r="C91" s="36"/>
      <c r="D91" s="36"/>
      <c r="E91" s="37"/>
      <c r="F91" s="6"/>
    </row>
    <row r="93" spans="1:7" ht="13.5" thickBot="1" x14ac:dyDescent="0.25">
      <c r="B93" t="s">
        <v>88</v>
      </c>
      <c r="E93" t="s">
        <v>235</v>
      </c>
      <c r="F93" t="s">
        <v>236</v>
      </c>
    </row>
    <row r="94" spans="1:7" x14ac:dyDescent="0.2">
      <c r="B94" s="9" t="s">
        <v>84</v>
      </c>
      <c r="C94" s="30">
        <v>397588</v>
      </c>
      <c r="D94" s="30"/>
      <c r="E94" s="30"/>
      <c r="F94" s="32"/>
    </row>
    <row r="95" spans="1:7" x14ac:dyDescent="0.2">
      <c r="B95" s="11" t="s">
        <v>85</v>
      </c>
      <c r="C95" s="27">
        <v>397591</v>
      </c>
      <c r="D95" s="27"/>
      <c r="E95" s="27"/>
      <c r="F95" s="33"/>
    </row>
    <row r="96" spans="1:7" x14ac:dyDescent="0.2">
      <c r="B96" s="11" t="s">
        <v>86</v>
      </c>
      <c r="C96" s="27">
        <v>403759</v>
      </c>
      <c r="D96" s="27"/>
      <c r="E96" s="27" t="s">
        <v>223</v>
      </c>
      <c r="F96" s="33" t="s">
        <v>224</v>
      </c>
    </row>
    <row r="97" spans="2:6" x14ac:dyDescent="0.2">
      <c r="B97" s="11" t="s">
        <v>112</v>
      </c>
      <c r="C97" s="27">
        <v>406097</v>
      </c>
      <c r="D97" s="27"/>
      <c r="E97" s="27" t="s">
        <v>231</v>
      </c>
      <c r="F97" s="33" t="s">
        <v>233</v>
      </c>
    </row>
    <row r="98" spans="2:6" x14ac:dyDescent="0.2">
      <c r="B98" s="11"/>
      <c r="C98" s="27"/>
      <c r="D98" s="27"/>
      <c r="E98" s="27"/>
      <c r="F98" s="33"/>
    </row>
    <row r="99" spans="2:6" ht="13.5" thickBot="1" x14ac:dyDescent="0.25">
      <c r="B99" s="13" t="s">
        <v>251</v>
      </c>
      <c r="C99" s="36"/>
      <c r="D99" s="36"/>
      <c r="E99" s="36"/>
      <c r="F99" s="14"/>
    </row>
  </sheetData>
  <mergeCells count="7">
    <mergeCell ref="F1:F4"/>
    <mergeCell ref="A25:A28"/>
    <mergeCell ref="A30:A39"/>
    <mergeCell ref="A41:A46"/>
    <mergeCell ref="D1:D2"/>
    <mergeCell ref="D3:D4"/>
    <mergeCell ref="E1:E4"/>
  </mergeCells>
  <conditionalFormatting sqref="F5">
    <cfRule type="cellIs" dxfId="1" priority="4" operator="equal">
      <formula>""""""</formula>
    </cfRule>
  </conditionalFormatting>
  <conditionalFormatting sqref="F5 C26 C28 C30:C32 C34:C39 C41:C42 C73">
    <cfRule type="containsBlanks" dxfId="0" priority="1">
      <formula>LEN(TRIM(C5))=0</formula>
    </cfRule>
  </conditionalFormatting>
  <dataValidations count="4">
    <dataValidation type="list" allowBlank="1" showInputMessage="1" showErrorMessage="1" sqref="A1:A2 A5:A7" xr:uid="{00000000-0002-0000-0000-000000000000}">
      <formula1>$A$13:$A$17</formula1>
    </dataValidation>
    <dataValidation type="list" allowBlank="1" showInputMessage="1" showErrorMessage="1" sqref="C41" xr:uid="{5229B819-C867-4666-AA16-E202B892FB71}">
      <formula1>$B$94:$B$99</formula1>
    </dataValidation>
    <dataValidation type="list" allowBlank="1" showInputMessage="1" showErrorMessage="1" sqref="C30" xr:uid="{5DF2479B-BE12-4A5A-95A4-8EE6DBA71055}">
      <formula1>$B$86:$B$91</formula1>
    </dataValidation>
    <dataValidation type="list" allowBlank="1" showInputMessage="1" showErrorMessage="1" sqref="C28" xr:uid="{3291A643-D27D-4A2F-AE92-A408A9CAE48A}">
      <formula1>$B$13:$B$17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C367-B5FC-4D83-AF65-46E8D2251F6F}">
  <sheetPr>
    <tabColor theme="9" tint="0.79998168889431442"/>
  </sheetPr>
  <dimension ref="A2:H163"/>
  <sheetViews>
    <sheetView workbookViewId="0">
      <selection activeCell="D11" sqref="D11"/>
    </sheetView>
  </sheetViews>
  <sheetFormatPr defaultRowHeight="12.75" x14ac:dyDescent="0.2"/>
  <cols>
    <col min="1" max="1" width="14.42578125" style="18" bestFit="1" customWidth="1"/>
    <col min="2" max="3" width="10.140625" style="18" customWidth="1"/>
    <col min="4" max="4" width="7.7109375" style="18" customWidth="1"/>
    <col min="5" max="5" width="17.140625" style="18" customWidth="1"/>
    <col min="6" max="6" width="84.28515625" bestFit="1" customWidth="1"/>
    <col min="8" max="8" width="84.28515625" bestFit="1" customWidth="1"/>
  </cols>
  <sheetData>
    <row r="2" spans="1:8" x14ac:dyDescent="0.2">
      <c r="F2" s="90" t="s">
        <v>290</v>
      </c>
    </row>
    <row r="3" spans="1:8" x14ac:dyDescent="0.2">
      <c r="F3" s="90" t="s">
        <v>343</v>
      </c>
    </row>
    <row r="4" spans="1:8" ht="15.75" thickBot="1" x14ac:dyDescent="0.25">
      <c r="A4" s="18" t="s">
        <v>342</v>
      </c>
      <c r="B4" s="139" t="s">
        <v>348</v>
      </c>
      <c r="C4" s="139" t="s">
        <v>349</v>
      </c>
      <c r="D4" s="127" t="s">
        <v>93</v>
      </c>
      <c r="F4" s="16"/>
    </row>
    <row r="5" spans="1:8" ht="13.5" thickBot="1" x14ac:dyDescent="0.25">
      <c r="A5" s="131" t="str">
        <f>Ulazni!$C$28</f>
        <v>LG4_2</v>
      </c>
      <c r="B5" s="131"/>
      <c r="C5" s="131"/>
      <c r="D5" s="133" t="str">
        <f>Ulazni!$E$25</f>
        <v>SAO100_Debrc</v>
      </c>
      <c r="E5" s="132" t="str">
        <f>_xlfn.CONCAT(A5, " - ", D5)</f>
        <v>LG4_2 - SAO100_Debrc</v>
      </c>
      <c r="F5" s="91" t="str">
        <f t="shared" ref="F5:F36" si="0">SUBSTITUTE(H5, "xx", E5)</f>
        <v>&lt;!-- ANTL LG4_2 - SAO100_Debrc --&gt;</v>
      </c>
      <c r="H5" t="s">
        <v>341</v>
      </c>
    </row>
    <row r="6" spans="1:8" ht="13.5" thickTop="1" x14ac:dyDescent="0.2">
      <c r="A6" s="134">
        <f>Ulazni!$C$27</f>
        <v>1917</v>
      </c>
      <c r="B6" s="134"/>
      <c r="C6" s="134"/>
      <c r="D6" s="135">
        <v>1</v>
      </c>
      <c r="E6" s="136" t="str">
        <f>_xlfn.CONCAT("SBTS-", A6, "/ANTL-", D6)</f>
        <v>SBTS-1917/ANTL-1</v>
      </c>
      <c r="F6" s="92" t="str">
        <f t="shared" si="0"/>
        <v>&lt;managedObject class="ANTL" distName="SBTS-1917/ANTL-1" operation="create" version="SBTS16.10"&gt;</v>
      </c>
      <c r="H6" t="s">
        <v>340</v>
      </c>
    </row>
    <row r="7" spans="1:8" x14ac:dyDescent="0.2">
      <c r="A7" s="27"/>
      <c r="B7" s="27"/>
      <c r="C7" s="27"/>
      <c r="D7" s="27"/>
      <c r="E7" s="33"/>
      <c r="F7" s="92" t="str">
        <f t="shared" si="0"/>
        <v>&lt;p name="additionalRxGain"&gt;0&lt;/p&gt;</v>
      </c>
      <c r="H7" t="s">
        <v>339</v>
      </c>
    </row>
    <row r="8" spans="1:8" x14ac:dyDescent="0.2">
      <c r="A8" s="98" t="s">
        <v>346</v>
      </c>
      <c r="C8" s="98">
        <v>1</v>
      </c>
      <c r="D8" s="27"/>
      <c r="E8" s="33">
        <f>C8</f>
        <v>1</v>
      </c>
      <c r="F8" s="92" t="str">
        <f t="shared" si="0"/>
        <v>&lt;p name="antennaConnector"&gt;1&lt;/p&gt;</v>
      </c>
      <c r="H8" t="s">
        <v>338</v>
      </c>
    </row>
    <row r="9" spans="1:8" x14ac:dyDescent="0.2">
      <c r="A9" s="27"/>
      <c r="B9" s="27"/>
      <c r="C9" s="27"/>
      <c r="D9" s="27"/>
      <c r="E9" s="33"/>
      <c r="F9" s="92" t="str">
        <f t="shared" si="0"/>
        <v>&lt;p name="antennaRoundTripDelay"&gt;163&lt;/p&gt;</v>
      </c>
      <c r="H9" t="s">
        <v>337</v>
      </c>
    </row>
    <row r="10" spans="1:8" x14ac:dyDescent="0.2">
      <c r="A10" s="27"/>
      <c r="B10" s="27"/>
      <c r="C10" s="27"/>
      <c r="D10" s="27"/>
      <c r="E10" s="33"/>
      <c r="F10" s="92" t="str">
        <f t="shared" si="0"/>
        <v>&lt;p name="cwaThreshold"&gt;165&lt;/p&gt;</v>
      </c>
      <c r="H10" t="s">
        <v>336</v>
      </c>
    </row>
    <row r="11" spans="1:8" x14ac:dyDescent="0.2">
      <c r="A11" s="27"/>
      <c r="B11" s="27"/>
      <c r="C11" s="27"/>
      <c r="D11" s="27"/>
      <c r="E11" s="33"/>
      <c r="F11" s="92" t="str">
        <f t="shared" si="0"/>
        <v>&lt;p name="dcVoltage"&gt;AUTO&lt;/p&gt;</v>
      </c>
      <c r="H11" t="s">
        <v>335</v>
      </c>
    </row>
    <row r="12" spans="1:8" x14ac:dyDescent="0.2">
      <c r="A12" s="27"/>
      <c r="B12" s="27"/>
      <c r="C12" s="27"/>
      <c r="D12" s="27"/>
      <c r="E12" s="33"/>
      <c r="F12" s="92" t="str">
        <f t="shared" si="0"/>
        <v>&lt;p name="feederLoss"&gt;4&lt;/p&gt;</v>
      </c>
      <c r="H12" t="s">
        <v>334</v>
      </c>
    </row>
    <row r="13" spans="1:8" x14ac:dyDescent="0.2">
      <c r="A13" s="98" t="s">
        <v>347</v>
      </c>
      <c r="B13" s="98">
        <v>1</v>
      </c>
      <c r="C13" s="35"/>
      <c r="D13" s="27"/>
      <c r="E13" s="33" t="str">
        <f>_xlfn.CONCAT("FR-", B13)</f>
        <v>FR-1</v>
      </c>
      <c r="F13" s="92" t="str">
        <f t="shared" si="0"/>
        <v>&lt;p name="frRef"&gt;FR-1&lt;/p&gt;</v>
      </c>
      <c r="H13" t="s">
        <v>333</v>
      </c>
    </row>
    <row r="14" spans="1:8" x14ac:dyDescent="0.2">
      <c r="A14" s="27"/>
      <c r="B14" s="27"/>
      <c r="C14" s="27"/>
      <c r="D14" s="27"/>
      <c r="E14" s="33"/>
      <c r="F14" s="92" t="str">
        <f t="shared" si="0"/>
        <v>&lt;p name="hdlcCommunicationAllowed"&gt;true&lt;/p&gt;</v>
      </c>
      <c r="H14" t="s">
        <v>332</v>
      </c>
    </row>
    <row r="15" spans="1:8" x14ac:dyDescent="0.2">
      <c r="A15" s="27"/>
      <c r="B15" s="27"/>
      <c r="C15" s="27"/>
      <c r="D15" s="27"/>
      <c r="E15" s="33"/>
      <c r="F15" s="92" t="str">
        <f t="shared" si="0"/>
        <v>&lt;p name="ulDelay"&gt;0&lt;/p&gt;</v>
      </c>
      <c r="H15" t="s">
        <v>331</v>
      </c>
    </row>
    <row r="16" spans="1:8" x14ac:dyDescent="0.2">
      <c r="A16" s="27"/>
      <c r="B16" s="27"/>
      <c r="C16" s="27"/>
      <c r="D16" s="27"/>
      <c r="E16" s="33"/>
      <c r="F16" s="92" t="str">
        <f t="shared" si="0"/>
        <v>&lt;p name="vswrMajorThreshold"&gt;26&lt;/p&gt;</v>
      </c>
      <c r="H16" t="s">
        <v>330</v>
      </c>
    </row>
    <row r="17" spans="1:8" x14ac:dyDescent="0.2">
      <c r="A17" s="27"/>
      <c r="B17" s="27"/>
      <c r="C17" s="27"/>
      <c r="D17" s="27"/>
      <c r="E17" s="33"/>
      <c r="F17" s="92" t="str">
        <f t="shared" si="0"/>
        <v>&lt;p name="vswrMinorThreshold"&gt;19&lt;/p&gt;</v>
      </c>
      <c r="H17" t="s">
        <v>329</v>
      </c>
    </row>
    <row r="18" spans="1:8" x14ac:dyDescent="0.2">
      <c r="A18" s="130"/>
      <c r="B18" s="130"/>
      <c r="C18" s="130"/>
      <c r="D18" s="130"/>
      <c r="E18" s="137"/>
      <c r="F18" s="92" t="str">
        <f t="shared" si="0"/>
        <v>&lt;/managedObject&gt;</v>
      </c>
      <c r="H18" t="s">
        <v>6</v>
      </c>
    </row>
    <row r="19" spans="1:8" x14ac:dyDescent="0.2">
      <c r="A19" s="129">
        <f>Ulazni!$C$27</f>
        <v>1917</v>
      </c>
      <c r="B19" s="129"/>
      <c r="C19" s="129"/>
      <c r="D19" s="128">
        <v>2</v>
      </c>
      <c r="E19" s="138" t="str">
        <f>_xlfn.CONCAT("SBTS-", A19, "/ANTL-", D19)</f>
        <v>SBTS-1917/ANTL-2</v>
      </c>
      <c r="F19" s="92" t="str">
        <f t="shared" si="0"/>
        <v>&lt;managedObject class="ANTL" distName="SBTS-1917/ANTL-2" operation="create" version="SBTS16.10"&gt;</v>
      </c>
      <c r="H19" t="s">
        <v>340</v>
      </c>
    </row>
    <row r="20" spans="1:8" x14ac:dyDescent="0.2">
      <c r="A20" s="27"/>
      <c r="B20" s="27"/>
      <c r="C20" s="27"/>
      <c r="D20" s="27"/>
      <c r="E20" s="33"/>
      <c r="F20" s="92" t="str">
        <f t="shared" si="0"/>
        <v>&lt;p name="additionalRxGain"&gt;0&lt;/p&gt;</v>
      </c>
      <c r="H20" t="s">
        <v>339</v>
      </c>
    </row>
    <row r="21" spans="1:8" x14ac:dyDescent="0.2">
      <c r="A21" s="98" t="s">
        <v>346</v>
      </c>
      <c r="C21" s="98">
        <v>2</v>
      </c>
      <c r="D21" s="27"/>
      <c r="E21" s="33">
        <f>C21</f>
        <v>2</v>
      </c>
      <c r="F21" s="92" t="str">
        <f t="shared" si="0"/>
        <v>&lt;p name="antennaConnector"&gt;2&lt;/p&gt;</v>
      </c>
      <c r="H21" t="s">
        <v>338</v>
      </c>
    </row>
    <row r="22" spans="1:8" x14ac:dyDescent="0.2">
      <c r="A22" s="27"/>
      <c r="B22" s="27"/>
      <c r="C22" s="27"/>
      <c r="D22" s="27"/>
      <c r="E22" s="33"/>
      <c r="F22" s="92" t="str">
        <f t="shared" si="0"/>
        <v>&lt;p name="antennaRoundTripDelay"&gt;163&lt;/p&gt;</v>
      </c>
      <c r="H22" t="s">
        <v>337</v>
      </c>
    </row>
    <row r="23" spans="1:8" x14ac:dyDescent="0.2">
      <c r="A23" s="27"/>
      <c r="B23" s="27"/>
      <c r="C23" s="27"/>
      <c r="D23" s="27"/>
      <c r="E23" s="33"/>
      <c r="F23" s="92" t="str">
        <f t="shared" si="0"/>
        <v>&lt;p name="cwaThreshold"&gt;165&lt;/p&gt;</v>
      </c>
      <c r="H23" t="s">
        <v>336</v>
      </c>
    </row>
    <row r="24" spans="1:8" x14ac:dyDescent="0.2">
      <c r="A24" s="27"/>
      <c r="B24" s="27"/>
      <c r="C24" s="27"/>
      <c r="D24" s="27"/>
      <c r="E24" s="33"/>
      <c r="F24" s="92" t="str">
        <f t="shared" si="0"/>
        <v>&lt;p name="dcVoltage"&gt;AUTO&lt;/p&gt;</v>
      </c>
      <c r="H24" t="s">
        <v>335</v>
      </c>
    </row>
    <row r="25" spans="1:8" x14ac:dyDescent="0.2">
      <c r="A25" s="27"/>
      <c r="B25" s="27"/>
      <c r="C25" s="27"/>
      <c r="D25" s="27"/>
      <c r="E25" s="33"/>
      <c r="F25" s="92" t="str">
        <f t="shared" si="0"/>
        <v>&lt;p name="feederLoss"&gt;4&lt;/p&gt;</v>
      </c>
      <c r="H25" t="s">
        <v>334</v>
      </c>
    </row>
    <row r="26" spans="1:8" x14ac:dyDescent="0.2">
      <c r="A26" s="98" t="s">
        <v>347</v>
      </c>
      <c r="B26" s="98">
        <v>1</v>
      </c>
      <c r="C26" s="35"/>
      <c r="D26" s="27"/>
      <c r="E26" s="33" t="str">
        <f>_xlfn.CONCAT("FR-", B26)</f>
        <v>FR-1</v>
      </c>
      <c r="F26" s="92" t="str">
        <f t="shared" si="0"/>
        <v>&lt;p name="frRef"&gt;FR-1&lt;/p&gt;</v>
      </c>
      <c r="H26" t="s">
        <v>333</v>
      </c>
    </row>
    <row r="27" spans="1:8" x14ac:dyDescent="0.2">
      <c r="A27" s="27"/>
      <c r="B27" s="27"/>
      <c r="C27" s="27"/>
      <c r="D27" s="27"/>
      <c r="E27" s="33"/>
      <c r="F27" s="92" t="str">
        <f t="shared" si="0"/>
        <v>&lt;p name="hdlcCommunicationAllowed"&gt;true&lt;/p&gt;</v>
      </c>
      <c r="H27" t="s">
        <v>332</v>
      </c>
    </row>
    <row r="28" spans="1:8" x14ac:dyDescent="0.2">
      <c r="A28" s="27"/>
      <c r="B28" s="27"/>
      <c r="C28" s="27"/>
      <c r="D28" s="27"/>
      <c r="E28" s="33"/>
      <c r="F28" s="92" t="str">
        <f t="shared" si="0"/>
        <v>&lt;p name="ulDelay"&gt;0&lt;/p&gt;</v>
      </c>
      <c r="H28" t="s">
        <v>331</v>
      </c>
    </row>
    <row r="29" spans="1:8" x14ac:dyDescent="0.2">
      <c r="A29" s="27"/>
      <c r="B29" s="27"/>
      <c r="C29" s="27"/>
      <c r="D29" s="27"/>
      <c r="E29" s="33"/>
      <c r="F29" s="92" t="str">
        <f t="shared" si="0"/>
        <v>&lt;p name="vswrMajorThreshold"&gt;26&lt;/p&gt;</v>
      </c>
      <c r="H29" t="s">
        <v>330</v>
      </c>
    </row>
    <row r="30" spans="1:8" x14ac:dyDescent="0.2">
      <c r="A30" s="27"/>
      <c r="B30" s="27"/>
      <c r="C30" s="27"/>
      <c r="D30" s="27"/>
      <c r="E30" s="33"/>
      <c r="F30" s="92" t="str">
        <f t="shared" si="0"/>
        <v>&lt;p name="vswrMinorThreshold"&gt;19&lt;/p&gt;</v>
      </c>
      <c r="H30" t="s">
        <v>329</v>
      </c>
    </row>
    <row r="31" spans="1:8" ht="13.5" thickBot="1" x14ac:dyDescent="0.25">
      <c r="A31" s="131"/>
      <c r="B31" s="131"/>
      <c r="C31" s="131"/>
      <c r="D31" s="131"/>
      <c r="E31" s="132"/>
      <c r="F31" s="92" t="str">
        <f t="shared" si="0"/>
        <v>&lt;/managedObject&gt;</v>
      </c>
      <c r="H31" t="s">
        <v>6</v>
      </c>
    </row>
    <row r="32" spans="1:8" ht="13.5" thickTop="1" x14ac:dyDescent="0.2">
      <c r="A32" s="134">
        <f>Ulazni!$C$27</f>
        <v>1917</v>
      </c>
      <c r="B32" s="134"/>
      <c r="C32" s="134"/>
      <c r="D32" s="135">
        <v>3</v>
      </c>
      <c r="E32" s="136" t="str">
        <f>_xlfn.CONCAT("SBTS-", A32, "/ANTL-", D32)</f>
        <v>SBTS-1917/ANTL-3</v>
      </c>
      <c r="F32" s="92" t="str">
        <f t="shared" si="0"/>
        <v>&lt;managedObject class="ANTL" distName="SBTS-1917/ANTL-3" operation="create" version="SBTS16.10"&gt;</v>
      </c>
      <c r="H32" t="s">
        <v>340</v>
      </c>
    </row>
    <row r="33" spans="1:8" x14ac:dyDescent="0.2">
      <c r="A33" s="27"/>
      <c r="B33" s="27"/>
      <c r="C33" s="27"/>
      <c r="D33" s="27"/>
      <c r="E33" s="33"/>
      <c r="F33" s="92" t="str">
        <f t="shared" si="0"/>
        <v>&lt;p name="additionalRxGain"&gt;0&lt;/p&gt;</v>
      </c>
      <c r="H33" t="s">
        <v>339</v>
      </c>
    </row>
    <row r="34" spans="1:8" x14ac:dyDescent="0.2">
      <c r="A34" s="98" t="s">
        <v>346</v>
      </c>
      <c r="C34" s="98">
        <v>1</v>
      </c>
      <c r="D34" s="27"/>
      <c r="E34" s="33">
        <f>C34</f>
        <v>1</v>
      </c>
      <c r="F34" s="92" t="str">
        <f t="shared" si="0"/>
        <v>&lt;p name="antennaConnector"&gt;1&lt;/p&gt;</v>
      </c>
      <c r="H34" t="s">
        <v>338</v>
      </c>
    </row>
    <row r="35" spans="1:8" x14ac:dyDescent="0.2">
      <c r="A35" s="27"/>
      <c r="B35" s="27"/>
      <c r="C35" s="27"/>
      <c r="D35" s="27"/>
      <c r="E35" s="33"/>
      <c r="F35" s="92" t="str">
        <f t="shared" si="0"/>
        <v>&lt;p name="antennaRoundTripDelay"&gt;163&lt;/p&gt;</v>
      </c>
      <c r="H35" t="s">
        <v>337</v>
      </c>
    </row>
    <row r="36" spans="1:8" x14ac:dyDescent="0.2">
      <c r="A36" s="27"/>
      <c r="B36" s="27"/>
      <c r="C36" s="27"/>
      <c r="D36" s="27"/>
      <c r="E36" s="33"/>
      <c r="F36" s="92" t="str">
        <f t="shared" si="0"/>
        <v>&lt;p name="cwaThreshold"&gt;165&lt;/p&gt;</v>
      </c>
      <c r="H36" t="s">
        <v>336</v>
      </c>
    </row>
    <row r="37" spans="1:8" x14ac:dyDescent="0.2">
      <c r="A37" s="27"/>
      <c r="B37" s="27"/>
      <c r="C37" s="27"/>
      <c r="D37" s="27"/>
      <c r="E37" s="33"/>
      <c r="F37" s="92" t="str">
        <f t="shared" ref="F37:F68" si="1">SUBSTITUTE(H37, "xx", E37)</f>
        <v>&lt;p name="dcVoltage"&gt;AUTO&lt;/p&gt;</v>
      </c>
      <c r="H37" t="s">
        <v>335</v>
      </c>
    </row>
    <row r="38" spans="1:8" x14ac:dyDescent="0.2">
      <c r="A38" s="27"/>
      <c r="B38" s="27"/>
      <c r="C38" s="27"/>
      <c r="D38" s="27"/>
      <c r="E38" s="33"/>
      <c r="F38" s="92" t="str">
        <f t="shared" si="1"/>
        <v>&lt;p name="feederLoss"&gt;4&lt;/p&gt;</v>
      </c>
      <c r="H38" t="s">
        <v>334</v>
      </c>
    </row>
    <row r="39" spans="1:8" x14ac:dyDescent="0.2">
      <c r="A39" s="98" t="s">
        <v>347</v>
      </c>
      <c r="B39" s="98">
        <v>2</v>
      </c>
      <c r="C39" s="35"/>
      <c r="D39" s="27"/>
      <c r="E39" s="33" t="str">
        <f>_xlfn.CONCAT("FR-", B39)</f>
        <v>FR-2</v>
      </c>
      <c r="F39" s="92" t="str">
        <f t="shared" si="1"/>
        <v>&lt;p name="frRef"&gt;FR-2&lt;/p&gt;</v>
      </c>
      <c r="H39" t="s">
        <v>333</v>
      </c>
    </row>
    <row r="40" spans="1:8" x14ac:dyDescent="0.2">
      <c r="A40" s="27"/>
      <c r="B40" s="27"/>
      <c r="C40" s="27"/>
      <c r="D40" s="27"/>
      <c r="E40" s="33"/>
      <c r="F40" s="92" t="str">
        <f t="shared" si="1"/>
        <v>&lt;p name="hdlcCommunicationAllowed"&gt;true&lt;/p&gt;</v>
      </c>
      <c r="H40" t="s">
        <v>332</v>
      </c>
    </row>
    <row r="41" spans="1:8" x14ac:dyDescent="0.2">
      <c r="A41" s="27"/>
      <c r="B41" s="27"/>
      <c r="C41" s="27"/>
      <c r="D41" s="27"/>
      <c r="E41" s="33"/>
      <c r="F41" s="92" t="str">
        <f t="shared" si="1"/>
        <v>&lt;p name="ulDelay"&gt;0&lt;/p&gt;</v>
      </c>
      <c r="H41" t="s">
        <v>331</v>
      </c>
    </row>
    <row r="42" spans="1:8" x14ac:dyDescent="0.2">
      <c r="A42" s="27"/>
      <c r="B42" s="27"/>
      <c r="C42" s="27"/>
      <c r="D42" s="27"/>
      <c r="E42" s="33"/>
      <c r="F42" s="92" t="str">
        <f t="shared" si="1"/>
        <v>&lt;p name="vswrMajorThreshold"&gt;26&lt;/p&gt;</v>
      </c>
      <c r="H42" t="s">
        <v>330</v>
      </c>
    </row>
    <row r="43" spans="1:8" x14ac:dyDescent="0.2">
      <c r="A43" s="27"/>
      <c r="B43" s="27"/>
      <c r="C43" s="27"/>
      <c r="D43" s="27"/>
      <c r="E43" s="33"/>
      <c r="F43" s="92" t="str">
        <f t="shared" si="1"/>
        <v>&lt;p name="vswrMinorThreshold"&gt;19&lt;/p&gt;</v>
      </c>
      <c r="H43" t="s">
        <v>329</v>
      </c>
    </row>
    <row r="44" spans="1:8" x14ac:dyDescent="0.2">
      <c r="A44" s="130"/>
      <c r="B44" s="130"/>
      <c r="C44" s="130"/>
      <c r="D44" s="130"/>
      <c r="E44" s="137"/>
      <c r="F44" s="92" t="str">
        <f t="shared" si="1"/>
        <v>&lt;/managedObject&gt;</v>
      </c>
      <c r="H44" t="s">
        <v>6</v>
      </c>
    </row>
    <row r="45" spans="1:8" x14ac:dyDescent="0.2">
      <c r="A45" s="129">
        <f>Ulazni!$C$27</f>
        <v>1917</v>
      </c>
      <c r="B45" s="129"/>
      <c r="C45" s="129"/>
      <c r="D45" s="128">
        <v>4</v>
      </c>
      <c r="E45" s="138" t="str">
        <f>_xlfn.CONCAT("SBTS-", A45, "/ANTL-", D45)</f>
        <v>SBTS-1917/ANTL-4</v>
      </c>
      <c r="F45" s="92" t="str">
        <f t="shared" si="1"/>
        <v>&lt;managedObject class="ANTL" distName="SBTS-1917/ANTL-4" operation="create" version="SBTS16.10"&gt;</v>
      </c>
      <c r="H45" t="s">
        <v>340</v>
      </c>
    </row>
    <row r="46" spans="1:8" x14ac:dyDescent="0.2">
      <c r="A46" s="27"/>
      <c r="B46" s="27"/>
      <c r="C46" s="27"/>
      <c r="D46" s="27"/>
      <c r="E46" s="33"/>
      <c r="F46" s="92" t="str">
        <f t="shared" si="1"/>
        <v>&lt;p name="additionalRxGain"&gt;0&lt;/p&gt;</v>
      </c>
      <c r="H46" t="s">
        <v>339</v>
      </c>
    </row>
    <row r="47" spans="1:8" x14ac:dyDescent="0.2">
      <c r="A47" s="98" t="s">
        <v>346</v>
      </c>
      <c r="C47" s="98">
        <v>2</v>
      </c>
      <c r="D47" s="27"/>
      <c r="E47" s="33">
        <f>C47</f>
        <v>2</v>
      </c>
      <c r="F47" s="92" t="str">
        <f t="shared" si="1"/>
        <v>&lt;p name="antennaConnector"&gt;2&lt;/p&gt;</v>
      </c>
      <c r="H47" t="s">
        <v>338</v>
      </c>
    </row>
    <row r="48" spans="1:8" x14ac:dyDescent="0.2">
      <c r="A48" s="27"/>
      <c r="B48" s="27"/>
      <c r="C48" s="27"/>
      <c r="D48" s="27"/>
      <c r="E48" s="33"/>
      <c r="F48" s="92" t="str">
        <f t="shared" si="1"/>
        <v>&lt;p name="antennaRoundTripDelay"&gt;163&lt;/p&gt;</v>
      </c>
      <c r="H48" t="s">
        <v>337</v>
      </c>
    </row>
    <row r="49" spans="1:8" x14ac:dyDescent="0.2">
      <c r="A49" s="27"/>
      <c r="B49" s="27"/>
      <c r="C49" s="27"/>
      <c r="D49" s="27"/>
      <c r="E49" s="33"/>
      <c r="F49" s="92" t="str">
        <f t="shared" si="1"/>
        <v>&lt;p name="cwaThreshold"&gt;165&lt;/p&gt;</v>
      </c>
      <c r="H49" t="s">
        <v>336</v>
      </c>
    </row>
    <row r="50" spans="1:8" x14ac:dyDescent="0.2">
      <c r="A50" s="27"/>
      <c r="B50" s="27"/>
      <c r="C50" s="27"/>
      <c r="D50" s="27"/>
      <c r="E50" s="33"/>
      <c r="F50" s="92" t="str">
        <f t="shared" si="1"/>
        <v>&lt;p name="dcVoltage"&gt;AUTO&lt;/p&gt;</v>
      </c>
      <c r="H50" t="s">
        <v>335</v>
      </c>
    </row>
    <row r="51" spans="1:8" x14ac:dyDescent="0.2">
      <c r="A51" s="27"/>
      <c r="B51" s="27"/>
      <c r="C51" s="27"/>
      <c r="D51" s="27"/>
      <c r="E51" s="33"/>
      <c r="F51" s="92" t="str">
        <f t="shared" si="1"/>
        <v>&lt;p name="feederLoss"&gt;4&lt;/p&gt;</v>
      </c>
      <c r="H51" t="s">
        <v>334</v>
      </c>
    </row>
    <row r="52" spans="1:8" x14ac:dyDescent="0.2">
      <c r="A52" s="98" t="s">
        <v>347</v>
      </c>
      <c r="B52" s="98">
        <v>2</v>
      </c>
      <c r="C52" s="35"/>
      <c r="D52" s="27"/>
      <c r="E52" s="33" t="str">
        <f>_xlfn.CONCAT("FR-", B52)</f>
        <v>FR-2</v>
      </c>
      <c r="F52" s="92" t="str">
        <f t="shared" si="1"/>
        <v>&lt;p name="frRef"&gt;FR-2&lt;/p&gt;</v>
      </c>
      <c r="H52" t="s">
        <v>333</v>
      </c>
    </row>
    <row r="53" spans="1:8" x14ac:dyDescent="0.2">
      <c r="A53" s="27"/>
      <c r="B53" s="27"/>
      <c r="C53" s="27"/>
      <c r="D53" s="27"/>
      <c r="E53" s="33"/>
      <c r="F53" s="92" t="str">
        <f t="shared" si="1"/>
        <v>&lt;p name="hdlcCommunicationAllowed"&gt;true&lt;/p&gt;</v>
      </c>
      <c r="H53" t="s">
        <v>332</v>
      </c>
    </row>
    <row r="54" spans="1:8" x14ac:dyDescent="0.2">
      <c r="A54" s="27"/>
      <c r="B54" s="27"/>
      <c r="C54" s="27"/>
      <c r="D54" s="27"/>
      <c r="E54" s="33"/>
      <c r="F54" s="92" t="str">
        <f t="shared" si="1"/>
        <v>&lt;p name="ulDelay"&gt;0&lt;/p&gt;</v>
      </c>
      <c r="H54" t="s">
        <v>331</v>
      </c>
    </row>
    <row r="55" spans="1:8" x14ac:dyDescent="0.2">
      <c r="A55" s="27"/>
      <c r="B55" s="27"/>
      <c r="C55" s="27"/>
      <c r="D55" s="27"/>
      <c r="E55" s="33"/>
      <c r="F55" s="92" t="str">
        <f t="shared" si="1"/>
        <v>&lt;p name="vswrMajorThreshold"&gt;26&lt;/p&gt;</v>
      </c>
      <c r="H55" t="s">
        <v>330</v>
      </c>
    </row>
    <row r="56" spans="1:8" x14ac:dyDescent="0.2">
      <c r="A56" s="27"/>
      <c r="B56" s="27"/>
      <c r="C56" s="27"/>
      <c r="D56" s="27"/>
      <c r="E56" s="33"/>
      <c r="F56" s="92" t="str">
        <f t="shared" si="1"/>
        <v>&lt;p name="vswrMinorThreshold"&gt;19&lt;/p&gt;</v>
      </c>
      <c r="H56" t="s">
        <v>329</v>
      </c>
    </row>
    <row r="57" spans="1:8" ht="13.5" thickBot="1" x14ac:dyDescent="0.25">
      <c r="A57" s="131"/>
      <c r="B57" s="131"/>
      <c r="C57" s="131"/>
      <c r="D57" s="131"/>
      <c r="E57" s="132"/>
      <c r="F57" s="92" t="str">
        <f t="shared" si="1"/>
        <v>&lt;/managedObject&gt;</v>
      </c>
      <c r="H57" t="s">
        <v>6</v>
      </c>
    </row>
    <row r="58" spans="1:8" ht="13.5" thickTop="1" x14ac:dyDescent="0.2">
      <c r="A58" s="134">
        <f>Ulazni!$C$27</f>
        <v>1917</v>
      </c>
      <c r="B58" s="134"/>
      <c r="C58" s="134"/>
      <c r="D58" s="135">
        <v>5</v>
      </c>
      <c r="E58" s="136" t="str">
        <f>_xlfn.CONCAT("SBTS-", A58, "/ANTL-", D58)</f>
        <v>SBTS-1917/ANTL-5</v>
      </c>
      <c r="F58" s="92" t="str">
        <f t="shared" si="1"/>
        <v>&lt;managedObject class="ANTL" distName="SBTS-1917/ANTL-5" operation="create" version="SBTS16.10"&gt;</v>
      </c>
      <c r="H58" t="s">
        <v>340</v>
      </c>
    </row>
    <row r="59" spans="1:8" x14ac:dyDescent="0.2">
      <c r="A59" s="27"/>
      <c r="B59" s="27"/>
      <c r="C59" s="27"/>
      <c r="D59" s="27"/>
      <c r="E59" s="33"/>
      <c r="F59" s="92" t="str">
        <f t="shared" si="1"/>
        <v>&lt;p name="additionalRxGain"&gt;0&lt;/p&gt;</v>
      </c>
      <c r="H59" t="s">
        <v>339</v>
      </c>
    </row>
    <row r="60" spans="1:8" x14ac:dyDescent="0.2">
      <c r="A60" s="98" t="s">
        <v>346</v>
      </c>
      <c r="C60" s="98">
        <v>1</v>
      </c>
      <c r="D60" s="27"/>
      <c r="E60" s="33">
        <f>C60</f>
        <v>1</v>
      </c>
      <c r="F60" s="92" t="str">
        <f t="shared" si="1"/>
        <v>&lt;p name="antennaConnector"&gt;1&lt;/p&gt;</v>
      </c>
      <c r="H60" t="s">
        <v>338</v>
      </c>
    </row>
    <row r="61" spans="1:8" x14ac:dyDescent="0.2">
      <c r="A61" s="27"/>
      <c r="B61" s="27"/>
      <c r="C61" s="27"/>
      <c r="D61" s="27"/>
      <c r="E61" s="33"/>
      <c r="F61" s="92" t="str">
        <f t="shared" si="1"/>
        <v>&lt;p name="antennaRoundTripDelay"&gt;163&lt;/p&gt;</v>
      </c>
      <c r="H61" t="s">
        <v>337</v>
      </c>
    </row>
    <row r="62" spans="1:8" x14ac:dyDescent="0.2">
      <c r="A62" s="27"/>
      <c r="B62" s="27"/>
      <c r="C62" s="27"/>
      <c r="D62" s="27"/>
      <c r="E62" s="33"/>
      <c r="F62" s="92" t="str">
        <f t="shared" si="1"/>
        <v>&lt;p name="cwaThreshold"&gt;165&lt;/p&gt;</v>
      </c>
      <c r="H62" t="s">
        <v>336</v>
      </c>
    </row>
    <row r="63" spans="1:8" x14ac:dyDescent="0.2">
      <c r="A63" s="27"/>
      <c r="B63" s="27"/>
      <c r="C63" s="27"/>
      <c r="D63" s="27"/>
      <c r="E63" s="33"/>
      <c r="F63" s="92" t="str">
        <f t="shared" si="1"/>
        <v>&lt;p name="dcVoltage"&gt;AUTO&lt;/p&gt;</v>
      </c>
      <c r="H63" t="s">
        <v>335</v>
      </c>
    </row>
    <row r="64" spans="1:8" x14ac:dyDescent="0.2">
      <c r="A64" s="27"/>
      <c r="B64" s="27"/>
      <c r="C64" s="27"/>
      <c r="D64" s="27"/>
      <c r="E64" s="33"/>
      <c r="F64" s="92" t="str">
        <f t="shared" si="1"/>
        <v>&lt;p name="feederLoss"&gt;4&lt;/p&gt;</v>
      </c>
      <c r="H64" t="s">
        <v>334</v>
      </c>
    </row>
    <row r="65" spans="1:8" x14ac:dyDescent="0.2">
      <c r="A65" s="98" t="s">
        <v>347</v>
      </c>
      <c r="B65" s="98">
        <v>3</v>
      </c>
      <c r="C65" s="35"/>
      <c r="D65" s="27"/>
      <c r="E65" s="33" t="str">
        <f>_xlfn.CONCAT("FR-", B65)</f>
        <v>FR-3</v>
      </c>
      <c r="F65" s="92" t="str">
        <f t="shared" si="1"/>
        <v>&lt;p name="frRef"&gt;FR-3&lt;/p&gt;</v>
      </c>
      <c r="H65" t="s">
        <v>333</v>
      </c>
    </row>
    <row r="66" spans="1:8" x14ac:dyDescent="0.2">
      <c r="A66" s="27"/>
      <c r="B66" s="27"/>
      <c r="C66" s="27"/>
      <c r="D66" s="27"/>
      <c r="E66" s="33"/>
      <c r="F66" s="92" t="str">
        <f t="shared" si="1"/>
        <v>&lt;p name="hdlcCommunicationAllowed"&gt;true&lt;/p&gt;</v>
      </c>
      <c r="H66" t="s">
        <v>332</v>
      </c>
    </row>
    <row r="67" spans="1:8" x14ac:dyDescent="0.2">
      <c r="A67" s="27"/>
      <c r="B67" s="27"/>
      <c r="C67" s="27"/>
      <c r="D67" s="27"/>
      <c r="E67" s="33"/>
      <c r="F67" s="92" t="str">
        <f t="shared" si="1"/>
        <v>&lt;p name="ulDelay"&gt;0&lt;/p&gt;</v>
      </c>
      <c r="H67" t="s">
        <v>331</v>
      </c>
    </row>
    <row r="68" spans="1:8" x14ac:dyDescent="0.2">
      <c r="A68" s="27"/>
      <c r="B68" s="27"/>
      <c r="C68" s="27"/>
      <c r="D68" s="27"/>
      <c r="E68" s="33"/>
      <c r="F68" s="92" t="str">
        <f t="shared" si="1"/>
        <v>&lt;p name="vswrMajorThreshold"&gt;26&lt;/p&gt;</v>
      </c>
      <c r="H68" t="s">
        <v>330</v>
      </c>
    </row>
    <row r="69" spans="1:8" x14ac:dyDescent="0.2">
      <c r="A69" s="27"/>
      <c r="B69" s="27"/>
      <c r="C69" s="27"/>
      <c r="D69" s="27"/>
      <c r="E69" s="33"/>
      <c r="F69" s="92" t="str">
        <f t="shared" ref="F69:F100" si="2">SUBSTITUTE(H69, "xx", E69)</f>
        <v>&lt;p name="vswrMinorThreshold"&gt;19&lt;/p&gt;</v>
      </c>
      <c r="H69" t="s">
        <v>329</v>
      </c>
    </row>
    <row r="70" spans="1:8" x14ac:dyDescent="0.2">
      <c r="A70" s="130"/>
      <c r="B70" s="130"/>
      <c r="C70" s="130"/>
      <c r="D70" s="130"/>
      <c r="E70" s="137"/>
      <c r="F70" s="92" t="str">
        <f t="shared" si="2"/>
        <v>&lt;/managedObject&gt;</v>
      </c>
      <c r="H70" t="s">
        <v>6</v>
      </c>
    </row>
    <row r="71" spans="1:8" x14ac:dyDescent="0.2">
      <c r="A71" s="129">
        <f>Ulazni!$C$27</f>
        <v>1917</v>
      </c>
      <c r="B71" s="129"/>
      <c r="C71" s="129"/>
      <c r="D71" s="128">
        <v>6</v>
      </c>
      <c r="E71" s="138" t="str">
        <f>_xlfn.CONCAT("SBTS-", A71, "/ANTL-", D71)</f>
        <v>SBTS-1917/ANTL-6</v>
      </c>
      <c r="F71" s="92" t="str">
        <f t="shared" si="2"/>
        <v>&lt;managedObject class="ANTL" distName="SBTS-1917/ANTL-6" operation="create" version="SBTS16.10"&gt;</v>
      </c>
      <c r="H71" t="s">
        <v>340</v>
      </c>
    </row>
    <row r="72" spans="1:8" x14ac:dyDescent="0.2">
      <c r="A72" s="27"/>
      <c r="B72" s="27"/>
      <c r="C72" s="27"/>
      <c r="D72" s="27"/>
      <c r="E72" s="33"/>
      <c r="F72" s="92" t="str">
        <f t="shared" si="2"/>
        <v>&lt;p name="additionalRxGain"&gt;0&lt;/p&gt;</v>
      </c>
      <c r="H72" t="s">
        <v>339</v>
      </c>
    </row>
    <row r="73" spans="1:8" x14ac:dyDescent="0.2">
      <c r="A73" s="98" t="s">
        <v>346</v>
      </c>
      <c r="C73" s="98">
        <v>2</v>
      </c>
      <c r="D73" s="27"/>
      <c r="E73" s="33">
        <f>C73</f>
        <v>2</v>
      </c>
      <c r="F73" s="92" t="str">
        <f t="shared" si="2"/>
        <v>&lt;p name="antennaConnector"&gt;2&lt;/p&gt;</v>
      </c>
      <c r="H73" t="s">
        <v>338</v>
      </c>
    </row>
    <row r="74" spans="1:8" x14ac:dyDescent="0.2">
      <c r="A74" s="27"/>
      <c r="B74" s="27"/>
      <c r="C74" s="27"/>
      <c r="D74" s="27"/>
      <c r="E74" s="33"/>
      <c r="F74" s="92" t="str">
        <f t="shared" si="2"/>
        <v>&lt;p name="antennaRoundTripDelay"&gt;163&lt;/p&gt;</v>
      </c>
      <c r="H74" t="s">
        <v>337</v>
      </c>
    </row>
    <row r="75" spans="1:8" x14ac:dyDescent="0.2">
      <c r="A75" s="27"/>
      <c r="B75" s="27"/>
      <c r="C75" s="27"/>
      <c r="D75" s="27"/>
      <c r="E75" s="33"/>
      <c r="F75" s="92" t="str">
        <f t="shared" si="2"/>
        <v>&lt;p name="cwaThreshold"&gt;165&lt;/p&gt;</v>
      </c>
      <c r="H75" t="s">
        <v>336</v>
      </c>
    </row>
    <row r="76" spans="1:8" x14ac:dyDescent="0.2">
      <c r="A76" s="27"/>
      <c r="B76" s="27"/>
      <c r="C76" s="27"/>
      <c r="D76" s="27"/>
      <c r="E76" s="33"/>
      <c r="F76" s="92" t="str">
        <f t="shared" si="2"/>
        <v>&lt;p name="dcVoltage"&gt;AUTO&lt;/p&gt;</v>
      </c>
      <c r="H76" t="s">
        <v>335</v>
      </c>
    </row>
    <row r="77" spans="1:8" x14ac:dyDescent="0.2">
      <c r="A77" s="27"/>
      <c r="B77" s="27"/>
      <c r="C77" s="27"/>
      <c r="D77" s="27"/>
      <c r="E77" s="33"/>
      <c r="F77" s="92" t="str">
        <f t="shared" si="2"/>
        <v>&lt;p name="feederLoss"&gt;4&lt;/p&gt;</v>
      </c>
      <c r="H77" t="s">
        <v>334</v>
      </c>
    </row>
    <row r="78" spans="1:8" x14ac:dyDescent="0.2">
      <c r="A78" s="98" t="s">
        <v>347</v>
      </c>
      <c r="B78" s="98">
        <v>3</v>
      </c>
      <c r="C78" s="35"/>
      <c r="D78" s="27"/>
      <c r="E78" s="33" t="str">
        <f>_xlfn.CONCAT("FR-", B78)</f>
        <v>FR-3</v>
      </c>
      <c r="F78" s="92" t="str">
        <f t="shared" si="2"/>
        <v>&lt;p name="frRef"&gt;FR-3&lt;/p&gt;</v>
      </c>
      <c r="H78" t="s">
        <v>333</v>
      </c>
    </row>
    <row r="79" spans="1:8" x14ac:dyDescent="0.2">
      <c r="A79" s="27"/>
      <c r="B79" s="27"/>
      <c r="C79" s="27"/>
      <c r="D79" s="27"/>
      <c r="E79" s="33"/>
      <c r="F79" s="92" t="str">
        <f t="shared" si="2"/>
        <v>&lt;p name="hdlcCommunicationAllowed"&gt;true&lt;/p&gt;</v>
      </c>
      <c r="H79" t="s">
        <v>332</v>
      </c>
    </row>
    <row r="80" spans="1:8" x14ac:dyDescent="0.2">
      <c r="A80" s="27"/>
      <c r="B80" s="27"/>
      <c r="C80" s="27"/>
      <c r="D80" s="27"/>
      <c r="E80" s="33"/>
      <c r="F80" s="92" t="str">
        <f t="shared" si="2"/>
        <v>&lt;p name="ulDelay"&gt;0&lt;/p&gt;</v>
      </c>
      <c r="H80" t="s">
        <v>331</v>
      </c>
    </row>
    <row r="81" spans="1:8" x14ac:dyDescent="0.2">
      <c r="A81" s="27"/>
      <c r="B81" s="27"/>
      <c r="C81" s="27"/>
      <c r="D81" s="27"/>
      <c r="E81" s="33"/>
      <c r="F81" s="92" t="str">
        <f t="shared" si="2"/>
        <v>&lt;p name="vswrMajorThreshold"&gt;26&lt;/p&gt;</v>
      </c>
      <c r="H81" t="s">
        <v>330</v>
      </c>
    </row>
    <row r="82" spans="1:8" x14ac:dyDescent="0.2">
      <c r="A82" s="27"/>
      <c r="B82" s="27"/>
      <c r="C82" s="27"/>
      <c r="D82" s="27"/>
      <c r="E82" s="33"/>
      <c r="F82" s="92" t="str">
        <f t="shared" si="2"/>
        <v>&lt;p name="vswrMinorThreshold"&gt;19&lt;/p&gt;</v>
      </c>
      <c r="H82" t="s">
        <v>329</v>
      </c>
    </row>
    <row r="83" spans="1:8" ht="13.5" thickBot="1" x14ac:dyDescent="0.25">
      <c r="A83" s="131"/>
      <c r="B83" s="131"/>
      <c r="C83" s="131"/>
      <c r="D83" s="131"/>
      <c r="E83" s="132"/>
      <c r="F83" s="92" t="str">
        <f t="shared" si="2"/>
        <v>&lt;/managedObject&gt;</v>
      </c>
      <c r="H83" t="s">
        <v>6</v>
      </c>
    </row>
    <row r="84" spans="1:8" ht="13.5" thickTop="1" x14ac:dyDescent="0.2">
      <c r="A84" s="134">
        <f>Ulazni!$C$27</f>
        <v>1917</v>
      </c>
      <c r="B84" s="134"/>
      <c r="C84" s="134"/>
      <c r="D84" s="135">
        <v>13</v>
      </c>
      <c r="E84" s="136" t="str">
        <f>_xlfn.CONCAT("SBTS-", A84, "/ANTL-", D84)</f>
        <v>SBTS-1917/ANTL-13</v>
      </c>
      <c r="F84" s="92" t="str">
        <f t="shared" si="2"/>
        <v>&lt;managedObject class="ANTL" distName="SBTS-1917/ANTL-13" operation="create" version="SBTS16.10"&gt;</v>
      </c>
      <c r="H84" t="s">
        <v>340</v>
      </c>
    </row>
    <row r="85" spans="1:8" x14ac:dyDescent="0.2">
      <c r="A85" s="27"/>
      <c r="B85" s="27"/>
      <c r="C85" s="27"/>
      <c r="D85" s="27"/>
      <c r="E85" s="33"/>
      <c r="F85" s="92" t="str">
        <f t="shared" si="2"/>
        <v>&lt;p name="additionalRxGain"&gt;0&lt;/p&gt;</v>
      </c>
      <c r="H85" t="s">
        <v>339</v>
      </c>
    </row>
    <row r="86" spans="1:8" x14ac:dyDescent="0.2">
      <c r="A86" s="98" t="s">
        <v>346</v>
      </c>
      <c r="C86" s="98">
        <v>1</v>
      </c>
      <c r="D86" s="27"/>
      <c r="E86" s="33">
        <f>C86</f>
        <v>1</v>
      </c>
      <c r="F86" s="92" t="str">
        <f t="shared" si="2"/>
        <v>&lt;p name="antennaConnector"&gt;1&lt;/p&gt;</v>
      </c>
      <c r="H86" t="s">
        <v>338</v>
      </c>
    </row>
    <row r="87" spans="1:8" x14ac:dyDescent="0.2">
      <c r="A87" s="27"/>
      <c r="B87" s="27"/>
      <c r="C87" s="27"/>
      <c r="D87" s="27"/>
      <c r="E87" s="33"/>
      <c r="F87" s="92" t="str">
        <f t="shared" si="2"/>
        <v>&lt;p name="antennaRoundTripDelay"&gt;163&lt;/p&gt;</v>
      </c>
      <c r="H87" t="s">
        <v>337</v>
      </c>
    </row>
    <row r="88" spans="1:8" x14ac:dyDescent="0.2">
      <c r="A88" s="27"/>
      <c r="B88" s="27"/>
      <c r="C88" s="27"/>
      <c r="D88" s="27"/>
      <c r="E88" s="33"/>
      <c r="F88" s="92" t="str">
        <f t="shared" si="2"/>
        <v>&lt;p name="cwaThreshold"&gt;165&lt;/p&gt;</v>
      </c>
      <c r="H88" t="s">
        <v>336</v>
      </c>
    </row>
    <row r="89" spans="1:8" x14ac:dyDescent="0.2">
      <c r="A89" s="27"/>
      <c r="B89" s="27"/>
      <c r="C89" s="27"/>
      <c r="D89" s="27"/>
      <c r="E89" s="33"/>
      <c r="F89" s="92" t="str">
        <f t="shared" si="2"/>
        <v>&lt;p name="dcVoltage"&gt;AUTO&lt;/p&gt;</v>
      </c>
      <c r="H89" t="s">
        <v>335</v>
      </c>
    </row>
    <row r="90" spans="1:8" x14ac:dyDescent="0.2">
      <c r="A90" s="27"/>
      <c r="B90" s="27"/>
      <c r="C90" s="27"/>
      <c r="D90" s="27"/>
      <c r="E90" s="33"/>
      <c r="F90" s="92" t="str">
        <f t="shared" si="2"/>
        <v>&lt;p name="feederLoss"&gt;4&lt;/p&gt;</v>
      </c>
      <c r="H90" t="s">
        <v>334</v>
      </c>
    </row>
    <row r="91" spans="1:8" x14ac:dyDescent="0.2">
      <c r="A91" s="98" t="s">
        <v>347</v>
      </c>
      <c r="B91" s="98">
        <v>7</v>
      </c>
      <c r="C91" s="35"/>
      <c r="D91" s="27"/>
      <c r="E91" s="33" t="str">
        <f>_xlfn.CONCAT("FR-", B91)</f>
        <v>FR-7</v>
      </c>
      <c r="F91" s="92" t="str">
        <f t="shared" si="2"/>
        <v>&lt;p name="frRef"&gt;FR-7&lt;/p&gt;</v>
      </c>
      <c r="H91" t="s">
        <v>333</v>
      </c>
    </row>
    <row r="92" spans="1:8" x14ac:dyDescent="0.2">
      <c r="A92" s="27"/>
      <c r="B92" s="27"/>
      <c r="C92" s="27"/>
      <c r="D92" s="27"/>
      <c r="E92" s="33"/>
      <c r="F92" s="92" t="str">
        <f t="shared" si="2"/>
        <v>&lt;p name="hdlcCommunicationAllowed"&gt;true&lt;/p&gt;</v>
      </c>
      <c r="H92" t="s">
        <v>332</v>
      </c>
    </row>
    <row r="93" spans="1:8" x14ac:dyDescent="0.2">
      <c r="A93" s="27"/>
      <c r="B93" s="27"/>
      <c r="C93" s="27"/>
      <c r="D93" s="27"/>
      <c r="E93" s="33"/>
      <c r="F93" s="92" t="str">
        <f t="shared" si="2"/>
        <v>&lt;p name="ulDelay"&gt;0&lt;/p&gt;</v>
      </c>
      <c r="H93" t="s">
        <v>331</v>
      </c>
    </row>
    <row r="94" spans="1:8" x14ac:dyDescent="0.2">
      <c r="A94" s="27"/>
      <c r="B94" s="27"/>
      <c r="C94" s="27"/>
      <c r="D94" s="27"/>
      <c r="E94" s="33"/>
      <c r="F94" s="92" t="str">
        <f t="shared" si="2"/>
        <v>&lt;p name="vswrMajorThreshold"&gt;26&lt;/p&gt;</v>
      </c>
      <c r="H94" t="s">
        <v>330</v>
      </c>
    </row>
    <row r="95" spans="1:8" x14ac:dyDescent="0.2">
      <c r="A95" s="27"/>
      <c r="B95" s="27"/>
      <c r="C95" s="27"/>
      <c r="D95" s="27"/>
      <c r="E95" s="33"/>
      <c r="F95" s="92" t="str">
        <f t="shared" si="2"/>
        <v>&lt;p name="vswrMinorThreshold"&gt;19&lt;/p&gt;</v>
      </c>
      <c r="H95" t="s">
        <v>329</v>
      </c>
    </row>
    <row r="96" spans="1:8" x14ac:dyDescent="0.2">
      <c r="A96" s="130"/>
      <c r="B96" s="130"/>
      <c r="C96" s="130"/>
      <c r="D96" s="130"/>
      <c r="E96" s="137"/>
      <c r="F96" s="92" t="str">
        <f t="shared" si="2"/>
        <v>&lt;/managedObject&gt;</v>
      </c>
      <c r="H96" t="s">
        <v>6</v>
      </c>
    </row>
    <row r="97" spans="1:8" x14ac:dyDescent="0.2">
      <c r="A97" s="129">
        <f>Ulazni!$C$27</f>
        <v>1917</v>
      </c>
      <c r="B97" s="129"/>
      <c r="C97" s="129"/>
      <c r="D97" s="128">
        <v>14</v>
      </c>
      <c r="E97" s="138" t="str">
        <f>_xlfn.CONCAT("SBTS-", A97, "/ANTL-", D97)</f>
        <v>SBTS-1917/ANTL-14</v>
      </c>
      <c r="F97" s="92" t="str">
        <f t="shared" si="2"/>
        <v>&lt;managedObject class="ANTL" distName="SBTS-1917/ANTL-14" operation="create" version="SBTS16.10"&gt;</v>
      </c>
      <c r="H97" t="s">
        <v>340</v>
      </c>
    </row>
    <row r="98" spans="1:8" x14ac:dyDescent="0.2">
      <c r="A98" s="27"/>
      <c r="B98" s="27"/>
      <c r="C98" s="27"/>
      <c r="D98" s="27"/>
      <c r="E98" s="33"/>
      <c r="F98" s="92" t="str">
        <f t="shared" si="2"/>
        <v>&lt;p name="additionalRxGain"&gt;0&lt;/p&gt;</v>
      </c>
      <c r="H98" t="s">
        <v>339</v>
      </c>
    </row>
    <row r="99" spans="1:8" x14ac:dyDescent="0.2">
      <c r="A99" s="98" t="s">
        <v>346</v>
      </c>
      <c r="C99" s="98">
        <v>2</v>
      </c>
      <c r="D99" s="27"/>
      <c r="E99" s="33">
        <f>C99</f>
        <v>2</v>
      </c>
      <c r="F99" s="92" t="str">
        <f t="shared" si="2"/>
        <v>&lt;p name="antennaConnector"&gt;2&lt;/p&gt;</v>
      </c>
      <c r="H99" t="s">
        <v>338</v>
      </c>
    </row>
    <row r="100" spans="1:8" x14ac:dyDescent="0.2">
      <c r="A100" s="27"/>
      <c r="B100" s="27"/>
      <c r="C100" s="27"/>
      <c r="D100" s="27"/>
      <c r="E100" s="33"/>
      <c r="F100" s="92" t="str">
        <f t="shared" si="2"/>
        <v>&lt;p name="antennaRoundTripDelay"&gt;163&lt;/p&gt;</v>
      </c>
      <c r="H100" t="s">
        <v>337</v>
      </c>
    </row>
    <row r="101" spans="1:8" x14ac:dyDescent="0.2">
      <c r="A101" s="27"/>
      <c r="B101" s="27"/>
      <c r="C101" s="27"/>
      <c r="D101" s="27"/>
      <c r="E101" s="33"/>
      <c r="F101" s="92" t="str">
        <f t="shared" ref="F101:F132" si="3">SUBSTITUTE(H101, "xx", E101)</f>
        <v>&lt;p name="cwaThreshold"&gt;165&lt;/p&gt;</v>
      </c>
      <c r="H101" t="s">
        <v>336</v>
      </c>
    </row>
    <row r="102" spans="1:8" x14ac:dyDescent="0.2">
      <c r="A102" s="27"/>
      <c r="B102" s="27"/>
      <c r="C102" s="27"/>
      <c r="D102" s="27"/>
      <c r="E102" s="33"/>
      <c r="F102" s="92" t="str">
        <f t="shared" si="3"/>
        <v>&lt;p name="dcVoltage"&gt;AUTO&lt;/p&gt;</v>
      </c>
      <c r="H102" t="s">
        <v>335</v>
      </c>
    </row>
    <row r="103" spans="1:8" x14ac:dyDescent="0.2">
      <c r="A103" s="27"/>
      <c r="B103" s="27"/>
      <c r="C103" s="27"/>
      <c r="D103" s="27"/>
      <c r="E103" s="33"/>
      <c r="F103" s="92" t="str">
        <f t="shared" si="3"/>
        <v>&lt;p name="feederLoss"&gt;4&lt;/p&gt;</v>
      </c>
      <c r="H103" t="s">
        <v>334</v>
      </c>
    </row>
    <row r="104" spans="1:8" x14ac:dyDescent="0.2">
      <c r="A104" s="98" t="s">
        <v>347</v>
      </c>
      <c r="B104" s="98">
        <v>7</v>
      </c>
      <c r="C104" s="35"/>
      <c r="D104" s="27"/>
      <c r="E104" s="33" t="str">
        <f>_xlfn.CONCAT("FR-", B104)</f>
        <v>FR-7</v>
      </c>
      <c r="F104" s="92" t="str">
        <f t="shared" si="3"/>
        <v>&lt;p name="frRef"&gt;FR-7&lt;/p&gt;</v>
      </c>
      <c r="H104" t="s">
        <v>333</v>
      </c>
    </row>
    <row r="105" spans="1:8" x14ac:dyDescent="0.2">
      <c r="A105" s="27"/>
      <c r="B105" s="27"/>
      <c r="C105" s="27"/>
      <c r="D105" s="27"/>
      <c r="E105" s="33"/>
      <c r="F105" s="92" t="str">
        <f t="shared" si="3"/>
        <v>&lt;p name="hdlcCommunicationAllowed"&gt;true&lt;/p&gt;</v>
      </c>
      <c r="H105" t="s">
        <v>332</v>
      </c>
    </row>
    <row r="106" spans="1:8" x14ac:dyDescent="0.2">
      <c r="A106" s="27"/>
      <c r="B106" s="27"/>
      <c r="C106" s="27"/>
      <c r="D106" s="27"/>
      <c r="E106" s="33"/>
      <c r="F106" s="92" t="str">
        <f t="shared" si="3"/>
        <v>&lt;p name="ulDelay"&gt;0&lt;/p&gt;</v>
      </c>
      <c r="H106" t="s">
        <v>331</v>
      </c>
    </row>
    <row r="107" spans="1:8" x14ac:dyDescent="0.2">
      <c r="A107" s="27"/>
      <c r="B107" s="27"/>
      <c r="C107" s="27"/>
      <c r="D107" s="27"/>
      <c r="E107" s="33"/>
      <c r="F107" s="92" t="str">
        <f t="shared" si="3"/>
        <v>&lt;p name="vswrMajorThreshold"&gt;26&lt;/p&gt;</v>
      </c>
      <c r="H107" t="s">
        <v>330</v>
      </c>
    </row>
    <row r="108" spans="1:8" x14ac:dyDescent="0.2">
      <c r="A108" s="27"/>
      <c r="B108" s="27"/>
      <c r="C108" s="27"/>
      <c r="D108" s="27"/>
      <c r="E108" s="33"/>
      <c r="F108" s="92" t="str">
        <f t="shared" si="3"/>
        <v>&lt;p name="vswrMinorThreshold"&gt;19&lt;/p&gt;</v>
      </c>
      <c r="H108" t="s">
        <v>329</v>
      </c>
    </row>
    <row r="109" spans="1:8" ht="13.5" thickBot="1" x14ac:dyDescent="0.25">
      <c r="A109" s="131"/>
      <c r="B109" s="131"/>
      <c r="C109" s="131"/>
      <c r="D109" s="131"/>
      <c r="E109" s="132"/>
      <c r="F109" s="92" t="str">
        <f t="shared" si="3"/>
        <v>&lt;/managedObject&gt;</v>
      </c>
      <c r="H109" t="s">
        <v>6</v>
      </c>
    </row>
    <row r="110" spans="1:8" ht="13.5" thickTop="1" x14ac:dyDescent="0.2">
      <c r="A110" s="134">
        <f>Ulazni!$C$27</f>
        <v>1917</v>
      </c>
      <c r="B110" s="134"/>
      <c r="C110" s="134"/>
      <c r="D110" s="135">
        <v>15</v>
      </c>
      <c r="E110" s="136" t="str">
        <f>_xlfn.CONCAT("SBTS-", A110, "/ANTL-", D110)</f>
        <v>SBTS-1917/ANTL-15</v>
      </c>
      <c r="F110" s="92" t="str">
        <f t="shared" si="3"/>
        <v>&lt;managedObject class="ANTL" distName="SBTS-1917/ANTL-15" operation="create" version="SBTS16.10"&gt;</v>
      </c>
      <c r="H110" t="s">
        <v>340</v>
      </c>
    </row>
    <row r="111" spans="1:8" x14ac:dyDescent="0.2">
      <c r="A111" s="27"/>
      <c r="B111" s="27"/>
      <c r="C111" s="27"/>
      <c r="D111" s="27"/>
      <c r="E111" s="33"/>
      <c r="F111" s="92" t="str">
        <f t="shared" si="3"/>
        <v>&lt;p name="additionalRxGain"&gt;0&lt;/p&gt;</v>
      </c>
      <c r="H111" t="s">
        <v>339</v>
      </c>
    </row>
    <row r="112" spans="1:8" x14ac:dyDescent="0.2">
      <c r="A112" s="98" t="s">
        <v>346</v>
      </c>
      <c r="C112" s="98">
        <v>1</v>
      </c>
      <c r="D112" s="27"/>
      <c r="E112" s="33">
        <f>C112</f>
        <v>1</v>
      </c>
      <c r="F112" s="92" t="str">
        <f t="shared" si="3"/>
        <v>&lt;p name="antennaConnector"&gt;1&lt;/p&gt;</v>
      </c>
      <c r="H112" t="s">
        <v>338</v>
      </c>
    </row>
    <row r="113" spans="1:8" x14ac:dyDescent="0.2">
      <c r="A113" s="27"/>
      <c r="B113" s="27"/>
      <c r="C113" s="27"/>
      <c r="D113" s="27"/>
      <c r="E113" s="33"/>
      <c r="F113" s="92" t="str">
        <f t="shared" si="3"/>
        <v>&lt;p name="antennaRoundTripDelay"&gt;163&lt;/p&gt;</v>
      </c>
      <c r="H113" t="s">
        <v>337</v>
      </c>
    </row>
    <row r="114" spans="1:8" x14ac:dyDescent="0.2">
      <c r="A114" s="27"/>
      <c r="B114" s="27"/>
      <c r="C114" s="27"/>
      <c r="D114" s="27"/>
      <c r="E114" s="33"/>
      <c r="F114" s="92" t="str">
        <f t="shared" si="3"/>
        <v>&lt;p name="cwaThreshold"&gt;165&lt;/p&gt;</v>
      </c>
      <c r="H114" t="s">
        <v>336</v>
      </c>
    </row>
    <row r="115" spans="1:8" x14ac:dyDescent="0.2">
      <c r="A115" s="27"/>
      <c r="B115" s="27"/>
      <c r="C115" s="27"/>
      <c r="D115" s="27"/>
      <c r="E115" s="33"/>
      <c r="F115" s="92" t="str">
        <f t="shared" si="3"/>
        <v>&lt;p name="dcVoltage"&gt;AUTO&lt;/p&gt;</v>
      </c>
      <c r="H115" t="s">
        <v>335</v>
      </c>
    </row>
    <row r="116" spans="1:8" x14ac:dyDescent="0.2">
      <c r="A116" s="27"/>
      <c r="B116" s="27"/>
      <c r="C116" s="27"/>
      <c r="D116" s="27"/>
      <c r="E116" s="33"/>
      <c r="F116" s="92" t="str">
        <f t="shared" si="3"/>
        <v>&lt;p name="feederLoss"&gt;4&lt;/p&gt;</v>
      </c>
      <c r="H116" t="s">
        <v>334</v>
      </c>
    </row>
    <row r="117" spans="1:8" x14ac:dyDescent="0.2">
      <c r="A117" s="98" t="s">
        <v>347</v>
      </c>
      <c r="B117" s="98">
        <v>8</v>
      </c>
      <c r="C117" s="35"/>
      <c r="D117" s="27"/>
      <c r="E117" s="33" t="str">
        <f>_xlfn.CONCAT("FR-", B117)</f>
        <v>FR-8</v>
      </c>
      <c r="F117" s="92" t="str">
        <f t="shared" si="3"/>
        <v>&lt;p name="frRef"&gt;FR-8&lt;/p&gt;</v>
      </c>
      <c r="H117" t="s">
        <v>333</v>
      </c>
    </row>
    <row r="118" spans="1:8" x14ac:dyDescent="0.2">
      <c r="A118" s="27"/>
      <c r="B118" s="27"/>
      <c r="C118" s="27"/>
      <c r="D118" s="27"/>
      <c r="E118" s="33"/>
      <c r="F118" s="92" t="str">
        <f t="shared" si="3"/>
        <v>&lt;p name="hdlcCommunicationAllowed"&gt;true&lt;/p&gt;</v>
      </c>
      <c r="H118" t="s">
        <v>332</v>
      </c>
    </row>
    <row r="119" spans="1:8" x14ac:dyDescent="0.2">
      <c r="A119" s="27"/>
      <c r="B119" s="27"/>
      <c r="C119" s="27"/>
      <c r="D119" s="27"/>
      <c r="E119" s="33"/>
      <c r="F119" s="92" t="str">
        <f t="shared" si="3"/>
        <v>&lt;p name="ulDelay"&gt;0&lt;/p&gt;</v>
      </c>
      <c r="H119" t="s">
        <v>331</v>
      </c>
    </row>
    <row r="120" spans="1:8" x14ac:dyDescent="0.2">
      <c r="A120" s="27"/>
      <c r="B120" s="27"/>
      <c r="C120" s="27"/>
      <c r="D120" s="27"/>
      <c r="E120" s="33"/>
      <c r="F120" s="92" t="str">
        <f t="shared" si="3"/>
        <v>&lt;p name="vswrMajorThreshold"&gt;26&lt;/p&gt;</v>
      </c>
      <c r="H120" t="s">
        <v>330</v>
      </c>
    </row>
    <row r="121" spans="1:8" x14ac:dyDescent="0.2">
      <c r="A121" s="27"/>
      <c r="B121" s="27"/>
      <c r="C121" s="27"/>
      <c r="D121" s="27"/>
      <c r="E121" s="33"/>
      <c r="F121" s="92" t="str">
        <f t="shared" si="3"/>
        <v>&lt;p name="vswrMinorThreshold"&gt;19&lt;/p&gt;</v>
      </c>
      <c r="H121" t="s">
        <v>329</v>
      </c>
    </row>
    <row r="122" spans="1:8" x14ac:dyDescent="0.2">
      <c r="A122" s="130"/>
      <c r="B122" s="130"/>
      <c r="C122" s="130"/>
      <c r="D122" s="130"/>
      <c r="E122" s="137"/>
      <c r="F122" s="92" t="str">
        <f t="shared" si="3"/>
        <v>&lt;/managedObject&gt;</v>
      </c>
      <c r="H122" t="s">
        <v>6</v>
      </c>
    </row>
    <row r="123" spans="1:8" x14ac:dyDescent="0.2">
      <c r="A123" s="129">
        <f>Ulazni!$C$27</f>
        <v>1917</v>
      </c>
      <c r="B123" s="129"/>
      <c r="C123" s="129"/>
      <c r="D123" s="128">
        <v>16</v>
      </c>
      <c r="E123" s="138" t="str">
        <f>_xlfn.CONCAT("SBTS-", A123, "/ANTL-", D123)</f>
        <v>SBTS-1917/ANTL-16</v>
      </c>
      <c r="F123" s="92" t="str">
        <f t="shared" si="3"/>
        <v>&lt;managedObject class="ANTL" distName="SBTS-1917/ANTL-16" operation="create" version="SBTS16.10"&gt;</v>
      </c>
      <c r="H123" t="s">
        <v>340</v>
      </c>
    </row>
    <row r="124" spans="1:8" x14ac:dyDescent="0.2">
      <c r="A124" s="27"/>
      <c r="B124" s="27"/>
      <c r="C124" s="27"/>
      <c r="D124" s="27"/>
      <c r="E124" s="33"/>
      <c r="F124" s="92" t="str">
        <f t="shared" si="3"/>
        <v>&lt;p name="additionalRxGain"&gt;0&lt;/p&gt;</v>
      </c>
      <c r="H124" t="s">
        <v>339</v>
      </c>
    </row>
    <row r="125" spans="1:8" x14ac:dyDescent="0.2">
      <c r="A125" s="98" t="s">
        <v>346</v>
      </c>
      <c r="C125" s="98">
        <v>2</v>
      </c>
      <c r="D125" s="27"/>
      <c r="E125" s="33">
        <f>C125</f>
        <v>2</v>
      </c>
      <c r="F125" s="92" t="str">
        <f t="shared" si="3"/>
        <v>&lt;p name="antennaConnector"&gt;2&lt;/p&gt;</v>
      </c>
      <c r="H125" t="s">
        <v>338</v>
      </c>
    </row>
    <row r="126" spans="1:8" x14ac:dyDescent="0.2">
      <c r="A126" s="27"/>
      <c r="B126" s="27"/>
      <c r="C126" s="27"/>
      <c r="D126" s="27"/>
      <c r="E126" s="33"/>
      <c r="F126" s="92" t="str">
        <f t="shared" si="3"/>
        <v>&lt;p name="antennaRoundTripDelay"&gt;163&lt;/p&gt;</v>
      </c>
      <c r="H126" t="s">
        <v>337</v>
      </c>
    </row>
    <row r="127" spans="1:8" x14ac:dyDescent="0.2">
      <c r="A127" s="27"/>
      <c r="B127" s="27"/>
      <c r="C127" s="27"/>
      <c r="D127" s="27"/>
      <c r="E127" s="33"/>
      <c r="F127" s="92" t="str">
        <f t="shared" si="3"/>
        <v>&lt;p name="cwaThreshold"&gt;165&lt;/p&gt;</v>
      </c>
      <c r="H127" t="s">
        <v>336</v>
      </c>
    </row>
    <row r="128" spans="1:8" x14ac:dyDescent="0.2">
      <c r="A128" s="27"/>
      <c r="B128" s="27"/>
      <c r="C128" s="27"/>
      <c r="D128" s="27"/>
      <c r="E128" s="33"/>
      <c r="F128" s="92" t="str">
        <f t="shared" si="3"/>
        <v>&lt;p name="dcVoltage"&gt;AUTO&lt;/p&gt;</v>
      </c>
      <c r="H128" t="s">
        <v>335</v>
      </c>
    </row>
    <row r="129" spans="1:8" x14ac:dyDescent="0.2">
      <c r="A129" s="27"/>
      <c r="B129" s="27"/>
      <c r="C129" s="27"/>
      <c r="D129" s="27"/>
      <c r="E129" s="33"/>
      <c r="F129" s="92" t="str">
        <f t="shared" si="3"/>
        <v>&lt;p name="feederLoss"&gt;4&lt;/p&gt;</v>
      </c>
      <c r="H129" t="s">
        <v>334</v>
      </c>
    </row>
    <row r="130" spans="1:8" x14ac:dyDescent="0.2">
      <c r="A130" s="98" t="s">
        <v>347</v>
      </c>
      <c r="B130" s="98">
        <v>8</v>
      </c>
      <c r="C130" s="35"/>
      <c r="D130" s="27"/>
      <c r="E130" s="33" t="str">
        <f>_xlfn.CONCAT("FR-", B130)</f>
        <v>FR-8</v>
      </c>
      <c r="F130" s="92" t="str">
        <f t="shared" si="3"/>
        <v>&lt;p name="frRef"&gt;FR-8&lt;/p&gt;</v>
      </c>
      <c r="H130" t="s">
        <v>333</v>
      </c>
    </row>
    <row r="131" spans="1:8" x14ac:dyDescent="0.2">
      <c r="A131" s="27"/>
      <c r="B131" s="27"/>
      <c r="C131" s="27"/>
      <c r="D131" s="27"/>
      <c r="E131" s="33"/>
      <c r="F131" s="92" t="str">
        <f t="shared" si="3"/>
        <v>&lt;p name="hdlcCommunicationAllowed"&gt;true&lt;/p&gt;</v>
      </c>
      <c r="H131" t="s">
        <v>332</v>
      </c>
    </row>
    <row r="132" spans="1:8" x14ac:dyDescent="0.2">
      <c r="A132" s="27"/>
      <c r="B132" s="27"/>
      <c r="C132" s="27"/>
      <c r="D132" s="27"/>
      <c r="E132" s="33"/>
      <c r="F132" s="92" t="str">
        <f t="shared" si="3"/>
        <v>&lt;p name="ulDelay"&gt;0&lt;/p&gt;</v>
      </c>
      <c r="H132" t="s">
        <v>331</v>
      </c>
    </row>
    <row r="133" spans="1:8" x14ac:dyDescent="0.2">
      <c r="A133" s="27"/>
      <c r="B133" s="27"/>
      <c r="C133" s="27"/>
      <c r="D133" s="27"/>
      <c r="E133" s="33"/>
      <c r="F133" s="92" t="str">
        <f t="shared" ref="F133:F161" si="4">SUBSTITUTE(H133, "xx", E133)</f>
        <v>&lt;p name="vswrMajorThreshold"&gt;26&lt;/p&gt;</v>
      </c>
      <c r="H133" t="s">
        <v>330</v>
      </c>
    </row>
    <row r="134" spans="1:8" x14ac:dyDescent="0.2">
      <c r="A134" s="27"/>
      <c r="B134" s="27"/>
      <c r="C134" s="27"/>
      <c r="D134" s="27"/>
      <c r="E134" s="33"/>
      <c r="F134" s="92" t="str">
        <f t="shared" si="4"/>
        <v>&lt;p name="vswrMinorThreshold"&gt;19&lt;/p&gt;</v>
      </c>
      <c r="H134" t="s">
        <v>329</v>
      </c>
    </row>
    <row r="135" spans="1:8" ht="13.5" thickBot="1" x14ac:dyDescent="0.25">
      <c r="A135" s="131"/>
      <c r="B135" s="131"/>
      <c r="C135" s="131"/>
      <c r="D135" s="131"/>
      <c r="E135" s="132"/>
      <c r="F135" s="92" t="str">
        <f t="shared" si="4"/>
        <v>&lt;/managedObject&gt;</v>
      </c>
      <c r="H135" t="s">
        <v>6</v>
      </c>
    </row>
    <row r="136" spans="1:8" ht="13.5" thickTop="1" x14ac:dyDescent="0.2">
      <c r="A136" s="134">
        <f>Ulazni!$C$27</f>
        <v>1917</v>
      </c>
      <c r="B136" s="134"/>
      <c r="C136" s="134"/>
      <c r="D136" s="135">
        <v>17</v>
      </c>
      <c r="E136" s="136" t="str">
        <f>_xlfn.CONCAT("SBTS-", A136, "/ANTL-", D136)</f>
        <v>SBTS-1917/ANTL-17</v>
      </c>
      <c r="F136" s="92" t="str">
        <f t="shared" si="4"/>
        <v>&lt;managedObject class="ANTL" distName="SBTS-1917/ANTL-17" operation="create" version="SBTS16.10"&gt;</v>
      </c>
      <c r="H136" t="s">
        <v>340</v>
      </c>
    </row>
    <row r="137" spans="1:8" x14ac:dyDescent="0.2">
      <c r="A137" s="27"/>
      <c r="B137" s="27"/>
      <c r="C137" s="27"/>
      <c r="D137" s="27"/>
      <c r="E137" s="33"/>
      <c r="F137" s="92" t="str">
        <f t="shared" si="4"/>
        <v>&lt;p name="additionalRxGain"&gt;0&lt;/p&gt;</v>
      </c>
      <c r="H137" t="s">
        <v>339</v>
      </c>
    </row>
    <row r="138" spans="1:8" x14ac:dyDescent="0.2">
      <c r="A138" s="98" t="s">
        <v>346</v>
      </c>
      <c r="C138" s="98">
        <v>1</v>
      </c>
      <c r="D138" s="27"/>
      <c r="E138" s="33">
        <f>C138</f>
        <v>1</v>
      </c>
      <c r="F138" s="92" t="str">
        <f t="shared" si="4"/>
        <v>&lt;p name="antennaConnector"&gt;1&lt;/p&gt;</v>
      </c>
      <c r="H138" t="s">
        <v>338</v>
      </c>
    </row>
    <row r="139" spans="1:8" x14ac:dyDescent="0.2">
      <c r="A139" s="27"/>
      <c r="B139" s="27"/>
      <c r="C139" s="27"/>
      <c r="D139" s="27"/>
      <c r="E139" s="33"/>
      <c r="F139" s="92" t="str">
        <f t="shared" si="4"/>
        <v>&lt;p name="antennaRoundTripDelay"&gt;163&lt;/p&gt;</v>
      </c>
      <c r="H139" t="s">
        <v>337</v>
      </c>
    </row>
    <row r="140" spans="1:8" x14ac:dyDescent="0.2">
      <c r="A140" s="27"/>
      <c r="B140" s="27"/>
      <c r="C140" s="27"/>
      <c r="D140" s="27"/>
      <c r="E140" s="33"/>
      <c r="F140" s="92" t="str">
        <f t="shared" si="4"/>
        <v>&lt;p name="cwaThreshold"&gt;165&lt;/p&gt;</v>
      </c>
      <c r="H140" t="s">
        <v>336</v>
      </c>
    </row>
    <row r="141" spans="1:8" x14ac:dyDescent="0.2">
      <c r="A141" s="27"/>
      <c r="B141" s="27"/>
      <c r="C141" s="27"/>
      <c r="D141" s="27"/>
      <c r="E141" s="33"/>
      <c r="F141" s="92" t="str">
        <f t="shared" si="4"/>
        <v>&lt;p name="dcVoltage"&gt;AUTO&lt;/p&gt;</v>
      </c>
      <c r="H141" t="s">
        <v>335</v>
      </c>
    </row>
    <row r="142" spans="1:8" x14ac:dyDescent="0.2">
      <c r="A142" s="27"/>
      <c r="B142" s="27"/>
      <c r="C142" s="27"/>
      <c r="D142" s="27"/>
      <c r="E142" s="33"/>
      <c r="F142" s="92" t="str">
        <f t="shared" si="4"/>
        <v>&lt;p name="feederLoss"&gt;4&lt;/p&gt;</v>
      </c>
      <c r="H142" t="s">
        <v>334</v>
      </c>
    </row>
    <row r="143" spans="1:8" x14ac:dyDescent="0.2">
      <c r="A143" s="98" t="s">
        <v>347</v>
      </c>
      <c r="B143" s="98">
        <v>9</v>
      </c>
      <c r="C143" s="35"/>
      <c r="D143" s="27"/>
      <c r="E143" s="33" t="str">
        <f>_xlfn.CONCAT("FR-", B143)</f>
        <v>FR-9</v>
      </c>
      <c r="F143" s="92" t="str">
        <f t="shared" si="4"/>
        <v>&lt;p name="frRef"&gt;FR-9&lt;/p&gt;</v>
      </c>
      <c r="H143" t="s">
        <v>333</v>
      </c>
    </row>
    <row r="144" spans="1:8" x14ac:dyDescent="0.2">
      <c r="A144" s="27"/>
      <c r="B144" s="27"/>
      <c r="C144" s="27"/>
      <c r="D144" s="27"/>
      <c r="E144" s="33"/>
      <c r="F144" s="92" t="str">
        <f t="shared" si="4"/>
        <v>&lt;p name="hdlcCommunicationAllowed"&gt;true&lt;/p&gt;</v>
      </c>
      <c r="H144" t="s">
        <v>332</v>
      </c>
    </row>
    <row r="145" spans="1:8" x14ac:dyDescent="0.2">
      <c r="A145" s="27"/>
      <c r="B145" s="27"/>
      <c r="C145" s="27"/>
      <c r="D145" s="27"/>
      <c r="E145" s="33"/>
      <c r="F145" s="92" t="str">
        <f t="shared" si="4"/>
        <v>&lt;p name="ulDelay"&gt;0&lt;/p&gt;</v>
      </c>
      <c r="H145" t="s">
        <v>331</v>
      </c>
    </row>
    <row r="146" spans="1:8" x14ac:dyDescent="0.2">
      <c r="A146" s="27"/>
      <c r="B146" s="27"/>
      <c r="C146" s="27"/>
      <c r="D146" s="27"/>
      <c r="E146" s="33"/>
      <c r="F146" s="92" t="str">
        <f t="shared" si="4"/>
        <v>&lt;p name="vswrMajorThreshold"&gt;26&lt;/p&gt;</v>
      </c>
      <c r="H146" t="s">
        <v>330</v>
      </c>
    </row>
    <row r="147" spans="1:8" x14ac:dyDescent="0.2">
      <c r="A147" s="27"/>
      <c r="B147" s="27"/>
      <c r="C147" s="27"/>
      <c r="D147" s="27"/>
      <c r="E147" s="33"/>
      <c r="F147" s="92" t="str">
        <f t="shared" si="4"/>
        <v>&lt;p name="vswrMinorThreshold"&gt;19&lt;/p&gt;</v>
      </c>
      <c r="H147" t="s">
        <v>329</v>
      </c>
    </row>
    <row r="148" spans="1:8" x14ac:dyDescent="0.2">
      <c r="A148" s="130"/>
      <c r="B148" s="130"/>
      <c r="C148" s="130"/>
      <c r="D148" s="130"/>
      <c r="E148" s="137"/>
      <c r="F148" s="92" t="str">
        <f t="shared" si="4"/>
        <v>&lt;/managedObject&gt;</v>
      </c>
      <c r="H148" t="s">
        <v>6</v>
      </c>
    </row>
    <row r="149" spans="1:8" x14ac:dyDescent="0.2">
      <c r="A149" s="129">
        <f>Ulazni!$C$27</f>
        <v>1917</v>
      </c>
      <c r="B149" s="129"/>
      <c r="C149" s="129"/>
      <c r="D149" s="128">
        <v>18</v>
      </c>
      <c r="E149" s="138" t="str">
        <f>_xlfn.CONCAT("SBTS-", A149, "/ANTL-", D149)</f>
        <v>SBTS-1917/ANTL-18</v>
      </c>
      <c r="F149" s="92" t="str">
        <f t="shared" si="4"/>
        <v>&lt;managedObject class="ANTL" distName="SBTS-1917/ANTL-18" operation="create" version="SBTS16.10"&gt;</v>
      </c>
      <c r="H149" t="s">
        <v>340</v>
      </c>
    </row>
    <row r="150" spans="1:8" x14ac:dyDescent="0.2">
      <c r="A150" s="27"/>
      <c r="B150" s="27"/>
      <c r="C150" s="27"/>
      <c r="D150" s="27"/>
      <c r="E150" s="33"/>
      <c r="F150" s="92" t="str">
        <f t="shared" si="4"/>
        <v>&lt;p name="additionalRxGain"&gt;0&lt;/p&gt;</v>
      </c>
      <c r="H150" t="s">
        <v>339</v>
      </c>
    </row>
    <row r="151" spans="1:8" x14ac:dyDescent="0.2">
      <c r="A151" s="98" t="s">
        <v>346</v>
      </c>
      <c r="C151" s="98">
        <v>2</v>
      </c>
      <c r="D151" s="27"/>
      <c r="E151" s="33">
        <f>C151</f>
        <v>2</v>
      </c>
      <c r="F151" s="92" t="str">
        <f t="shared" si="4"/>
        <v>&lt;p name="antennaConnector"&gt;2&lt;/p&gt;</v>
      </c>
      <c r="H151" t="s">
        <v>338</v>
      </c>
    </row>
    <row r="152" spans="1:8" x14ac:dyDescent="0.2">
      <c r="A152" s="27"/>
      <c r="B152" s="27"/>
      <c r="C152" s="27"/>
      <c r="D152" s="27"/>
      <c r="E152" s="33"/>
      <c r="F152" s="92" t="str">
        <f t="shared" si="4"/>
        <v>&lt;p name="antennaRoundTripDelay"&gt;163&lt;/p&gt;</v>
      </c>
      <c r="H152" t="s">
        <v>337</v>
      </c>
    </row>
    <row r="153" spans="1:8" x14ac:dyDescent="0.2">
      <c r="A153" s="27"/>
      <c r="B153" s="27"/>
      <c r="C153" s="27"/>
      <c r="D153" s="27"/>
      <c r="E153" s="33"/>
      <c r="F153" s="92" t="str">
        <f t="shared" si="4"/>
        <v>&lt;p name="cwaThreshold"&gt;165&lt;/p&gt;</v>
      </c>
      <c r="H153" t="s">
        <v>336</v>
      </c>
    </row>
    <row r="154" spans="1:8" x14ac:dyDescent="0.2">
      <c r="A154" s="27"/>
      <c r="B154" s="27"/>
      <c r="C154" s="27"/>
      <c r="D154" s="27"/>
      <c r="E154" s="33"/>
      <c r="F154" s="92" t="str">
        <f t="shared" si="4"/>
        <v>&lt;p name="dcVoltage"&gt;AUTO&lt;/p&gt;</v>
      </c>
      <c r="H154" t="s">
        <v>335</v>
      </c>
    </row>
    <row r="155" spans="1:8" x14ac:dyDescent="0.2">
      <c r="A155" s="27"/>
      <c r="B155" s="27"/>
      <c r="C155" s="27"/>
      <c r="D155" s="27"/>
      <c r="E155" s="33"/>
      <c r="F155" s="92" t="str">
        <f t="shared" si="4"/>
        <v>&lt;p name="feederLoss"&gt;4&lt;/p&gt;</v>
      </c>
      <c r="H155" t="s">
        <v>334</v>
      </c>
    </row>
    <row r="156" spans="1:8" x14ac:dyDescent="0.2">
      <c r="A156" s="98" t="s">
        <v>347</v>
      </c>
      <c r="B156" s="98">
        <v>9</v>
      </c>
      <c r="C156" s="35"/>
      <c r="D156" s="27"/>
      <c r="E156" s="33" t="str">
        <f>_xlfn.CONCAT("FR-", B156)</f>
        <v>FR-9</v>
      </c>
      <c r="F156" s="92" t="str">
        <f t="shared" si="4"/>
        <v>&lt;p name="frRef"&gt;FR-9&lt;/p&gt;</v>
      </c>
      <c r="H156" t="s">
        <v>333</v>
      </c>
    </row>
    <row r="157" spans="1:8" x14ac:dyDescent="0.2">
      <c r="A157" s="27"/>
      <c r="B157" s="27"/>
      <c r="C157" s="27"/>
      <c r="D157" s="27"/>
      <c r="E157" s="33"/>
      <c r="F157" s="92" t="str">
        <f t="shared" si="4"/>
        <v>&lt;p name="hdlcCommunicationAllowed"&gt;true&lt;/p&gt;</v>
      </c>
      <c r="H157" t="s">
        <v>332</v>
      </c>
    </row>
    <row r="158" spans="1:8" x14ac:dyDescent="0.2">
      <c r="A158" s="27"/>
      <c r="B158" s="27"/>
      <c r="C158" s="27"/>
      <c r="D158" s="27"/>
      <c r="E158" s="33"/>
      <c r="F158" s="92" t="str">
        <f t="shared" si="4"/>
        <v>&lt;p name="ulDelay"&gt;0&lt;/p&gt;</v>
      </c>
      <c r="H158" t="s">
        <v>331</v>
      </c>
    </row>
    <row r="159" spans="1:8" x14ac:dyDescent="0.2">
      <c r="A159" s="27"/>
      <c r="B159" s="27"/>
      <c r="C159" s="27"/>
      <c r="D159" s="27"/>
      <c r="E159" s="33"/>
      <c r="F159" s="92" t="str">
        <f t="shared" si="4"/>
        <v>&lt;p name="vswrMajorThreshold"&gt;26&lt;/p&gt;</v>
      </c>
      <c r="H159" t="s">
        <v>330</v>
      </c>
    </row>
    <row r="160" spans="1:8" x14ac:dyDescent="0.2">
      <c r="A160" s="27"/>
      <c r="B160" s="27"/>
      <c r="C160" s="27"/>
      <c r="D160" s="27"/>
      <c r="E160" s="33"/>
      <c r="F160" s="92" t="str">
        <f t="shared" si="4"/>
        <v>&lt;p name="vswrMinorThreshold"&gt;19&lt;/p&gt;</v>
      </c>
      <c r="H160" t="s">
        <v>329</v>
      </c>
    </row>
    <row r="161" spans="1:8" ht="13.5" thickBot="1" x14ac:dyDescent="0.25">
      <c r="A161" s="131"/>
      <c r="B161" s="131"/>
      <c r="C161" s="131"/>
      <c r="D161" s="131"/>
      <c r="E161" s="132"/>
      <c r="F161" s="92" t="str">
        <f t="shared" si="4"/>
        <v>&lt;/managedObject&gt;</v>
      </c>
      <c r="H161" t="s">
        <v>6</v>
      </c>
    </row>
    <row r="162" spans="1:8" ht="13.5" thickTop="1" x14ac:dyDescent="0.2">
      <c r="F162" s="92"/>
    </row>
    <row r="163" spans="1:8" ht="13.5" thickBot="1" x14ac:dyDescent="0.25">
      <c r="F163" s="9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0"/>
  <sheetViews>
    <sheetView topLeftCell="A7" zoomScale="80" zoomScaleNormal="80" workbookViewId="0">
      <selection activeCell="A28" sqref="A28"/>
    </sheetView>
  </sheetViews>
  <sheetFormatPr defaultRowHeight="12.75" x14ac:dyDescent="0.2"/>
  <cols>
    <col min="1" max="1" width="32" customWidth="1"/>
    <col min="2" max="2" width="15.28515625" customWidth="1"/>
    <col min="3" max="3" width="12.85546875" customWidth="1"/>
    <col min="4" max="4" width="6.140625" customWidth="1"/>
    <col min="5" max="5" width="46" customWidth="1"/>
    <col min="6" max="6" width="38.85546875" customWidth="1"/>
    <col min="7" max="7" width="40.42578125" bestFit="1" customWidth="1"/>
    <col min="8" max="8" width="36.140625" customWidth="1"/>
    <col min="9" max="9" width="34.7109375" bestFit="1" customWidth="1"/>
    <col min="10" max="10" width="33.85546875" bestFit="1" customWidth="1"/>
    <col min="11" max="11" width="37.140625" bestFit="1" customWidth="1"/>
    <col min="12" max="12" width="32.28515625" bestFit="1" customWidth="1"/>
    <col min="13" max="13" width="30" bestFit="1" customWidth="1"/>
  </cols>
  <sheetData>
    <row r="2" spans="1:10" x14ac:dyDescent="0.2">
      <c r="E2" t="s">
        <v>171</v>
      </c>
    </row>
    <row r="3" spans="1:10" x14ac:dyDescent="0.2">
      <c r="A3" t="s">
        <v>173</v>
      </c>
      <c r="C3" t="s">
        <v>225</v>
      </c>
      <c r="E3" t="s">
        <v>175</v>
      </c>
      <c r="F3" t="s">
        <v>172</v>
      </c>
      <c r="G3" t="s">
        <v>176</v>
      </c>
      <c r="H3" t="s">
        <v>18</v>
      </c>
      <c r="I3" t="s">
        <v>19</v>
      </c>
      <c r="J3" t="s">
        <v>20</v>
      </c>
    </row>
    <row r="4" spans="1:10" x14ac:dyDescent="0.2">
      <c r="A4" t="s">
        <v>174</v>
      </c>
      <c r="C4" t="s">
        <v>226</v>
      </c>
      <c r="E4" s="66" t="s">
        <v>177</v>
      </c>
      <c r="F4" s="66" t="s">
        <v>202</v>
      </c>
      <c r="G4" s="66" t="s">
        <v>178</v>
      </c>
      <c r="H4" t="s">
        <v>22</v>
      </c>
      <c r="I4" t="s">
        <v>19</v>
      </c>
      <c r="J4" t="s">
        <v>20</v>
      </c>
    </row>
    <row r="5" spans="1:10" x14ac:dyDescent="0.2">
      <c r="A5" t="s">
        <v>191</v>
      </c>
      <c r="C5" t="s">
        <v>228</v>
      </c>
      <c r="E5" t="s">
        <v>179</v>
      </c>
      <c r="F5" t="s">
        <v>192</v>
      </c>
      <c r="G5" t="s">
        <v>176</v>
      </c>
      <c r="H5" t="s">
        <v>24</v>
      </c>
      <c r="I5" t="s">
        <v>19</v>
      </c>
      <c r="J5" t="s">
        <v>27</v>
      </c>
    </row>
    <row r="6" spans="1:10" x14ac:dyDescent="0.2">
      <c r="A6" t="s">
        <v>193</v>
      </c>
      <c r="C6" t="s">
        <v>229</v>
      </c>
      <c r="E6" t="s">
        <v>181</v>
      </c>
      <c r="F6" t="s">
        <v>194</v>
      </c>
      <c r="G6" t="s">
        <v>180</v>
      </c>
      <c r="H6" t="s">
        <v>24</v>
      </c>
      <c r="I6" t="s">
        <v>19</v>
      </c>
      <c r="J6" t="s">
        <v>27</v>
      </c>
    </row>
    <row r="7" spans="1:10" x14ac:dyDescent="0.2">
      <c r="A7" t="s">
        <v>195</v>
      </c>
      <c r="C7" t="s">
        <v>227</v>
      </c>
      <c r="E7" t="s">
        <v>182</v>
      </c>
      <c r="F7" t="s">
        <v>196</v>
      </c>
      <c r="G7" t="s">
        <v>183</v>
      </c>
      <c r="H7" t="s">
        <v>184</v>
      </c>
      <c r="I7" t="s">
        <v>19</v>
      </c>
      <c r="J7" t="s">
        <v>27</v>
      </c>
    </row>
    <row r="8" spans="1:10" x14ac:dyDescent="0.2">
      <c r="A8" t="s">
        <v>195</v>
      </c>
      <c r="C8" t="s">
        <v>227</v>
      </c>
      <c r="E8" t="s">
        <v>185</v>
      </c>
      <c r="F8" t="s">
        <v>196</v>
      </c>
      <c r="G8" t="s">
        <v>183</v>
      </c>
      <c r="H8" t="s">
        <v>184</v>
      </c>
      <c r="I8" t="s">
        <v>19</v>
      </c>
      <c r="J8" t="s">
        <v>27</v>
      </c>
    </row>
    <row r="9" spans="1:10" x14ac:dyDescent="0.2">
      <c r="A9" t="s">
        <v>197</v>
      </c>
      <c r="C9" t="s">
        <v>227</v>
      </c>
      <c r="E9" t="s">
        <v>186</v>
      </c>
      <c r="F9" t="s">
        <v>198</v>
      </c>
      <c r="G9" t="s">
        <v>183</v>
      </c>
      <c r="H9" t="s">
        <v>23</v>
      </c>
      <c r="I9" t="s">
        <v>19</v>
      </c>
      <c r="J9" t="s">
        <v>27</v>
      </c>
    </row>
    <row r="10" spans="1:10" x14ac:dyDescent="0.2">
      <c r="A10" t="s">
        <v>197</v>
      </c>
      <c r="C10" t="s">
        <v>227</v>
      </c>
      <c r="E10" t="s">
        <v>187</v>
      </c>
      <c r="F10" t="s">
        <v>198</v>
      </c>
      <c r="G10" t="s">
        <v>183</v>
      </c>
      <c r="H10" t="s">
        <v>23</v>
      </c>
      <c r="I10" t="s">
        <v>19</v>
      </c>
      <c r="J10" t="s">
        <v>27</v>
      </c>
    </row>
    <row r="11" spans="1:10" x14ac:dyDescent="0.2">
      <c r="A11" t="s">
        <v>199</v>
      </c>
      <c r="C11" t="s">
        <v>227</v>
      </c>
      <c r="E11" t="s">
        <v>188</v>
      </c>
      <c r="F11" t="s">
        <v>198</v>
      </c>
      <c r="G11" t="s">
        <v>183</v>
      </c>
      <c r="H11" t="s">
        <v>189</v>
      </c>
      <c r="I11" t="s">
        <v>19</v>
      </c>
      <c r="J11" t="s">
        <v>27</v>
      </c>
    </row>
    <row r="12" spans="1:10" x14ac:dyDescent="0.2">
      <c r="A12" t="s">
        <v>249</v>
      </c>
      <c r="C12" t="s">
        <v>228</v>
      </c>
      <c r="E12" t="s">
        <v>190</v>
      </c>
      <c r="F12" t="s">
        <v>200</v>
      </c>
      <c r="G12" t="s">
        <v>26</v>
      </c>
      <c r="H12" t="s">
        <v>176</v>
      </c>
      <c r="I12" t="s">
        <v>19</v>
      </c>
      <c r="J12" t="s">
        <v>27</v>
      </c>
    </row>
    <row r="14" spans="1:10" ht="13.5" thickBot="1" x14ac:dyDescent="0.25">
      <c r="A14" t="s">
        <v>30</v>
      </c>
      <c r="B14" s="6">
        <f>Ulazni!C27</f>
        <v>1917</v>
      </c>
    </row>
    <row r="15" spans="1:10" x14ac:dyDescent="0.2">
      <c r="A15" t="s">
        <v>230</v>
      </c>
      <c r="B15" s="6" t="str">
        <f>Ulazni!E25</f>
        <v>SAO100_Debrc</v>
      </c>
      <c r="E15" s="9" t="str">
        <f>_xlfn.CONCAT("&lt;!-- IPRT ", $B$15, " staticke rute --&gt;")</f>
        <v>&lt;!-- IPRT SAO100_Debrc staticke rute --&gt;</v>
      </c>
      <c r="F15" s="31"/>
      <c r="G15" s="31"/>
      <c r="H15" s="31"/>
      <c r="I15" s="10"/>
    </row>
    <row r="16" spans="1:10" x14ac:dyDescent="0.2">
      <c r="E16" s="11" t="str">
        <f>_xlfn.CONCAT("&lt;managedObject class=""IPRT"" distName=""SBTS-",B14, "/TNL-1/IPNO-1/IPRT-1"" operation=""create"" version=""SBTS16.10""&gt;")</f>
        <v>&lt;managedObject class="IPRT" distName="SBTS-1917/TNL-1/IPNO-1/IPRT-1" operation="create" version="SBTS16.10"&gt;</v>
      </c>
      <c r="F16" s="28"/>
      <c r="G16" s="28"/>
      <c r="H16" s="28"/>
      <c r="I16" s="12"/>
    </row>
    <row r="17" spans="1:9" x14ac:dyDescent="0.2">
      <c r="E17" s="11" t="str">
        <f>_xlfn.CONCAT("&lt;!-- IPRT ", $B$15, " staticke rute --&gt;")</f>
        <v>&lt;!-- IPRT SAO100_Debrc staticke rute --&gt;</v>
      </c>
      <c r="F17" s="28"/>
      <c r="G17" s="28"/>
      <c r="H17" s="28"/>
      <c r="I17" s="12"/>
    </row>
    <row r="18" spans="1:9" x14ac:dyDescent="0.2">
      <c r="E18" s="11" t="s">
        <v>16</v>
      </c>
      <c r="F18" s="28"/>
      <c r="G18" s="28"/>
      <c r="H18" s="28"/>
      <c r="I18" s="12"/>
    </row>
    <row r="19" spans="1:9" x14ac:dyDescent="0.2">
      <c r="A19" t="s">
        <v>259</v>
      </c>
      <c r="C19" t="str">
        <f>VLOOKUP("SBTSoam", Ulazni!A1:R9, 14, FALSE)</f>
        <v>10.244.30.69</v>
      </c>
      <c r="D19" s="6">
        <v>24</v>
      </c>
      <c r="E19" s="11" t="s">
        <v>17</v>
      </c>
      <c r="F19" s="81" t="str">
        <f>_xlfn.CONCAT("&lt;p name=""gateway""&gt;",C19, "&lt;/p&gt;")</f>
        <v>&lt;p name="gateway"&gt;10.244.30.69&lt;/p&gt;</v>
      </c>
      <c r="G19" s="28" t="str">
        <f>_xlfn.CONCAT("&lt;p name=""destinationIpPrefixLength""&gt;",D19, "&lt;/p&gt;")</f>
        <v>&lt;p name="destinationIpPrefixLength"&gt;24&lt;/p&gt;</v>
      </c>
      <c r="H19" s="28" t="s">
        <v>19</v>
      </c>
      <c r="I19" s="12" t="s">
        <v>20</v>
      </c>
    </row>
    <row r="20" spans="1:9" x14ac:dyDescent="0.2">
      <c r="A20" t="s">
        <v>201</v>
      </c>
      <c r="C20" t="str">
        <f>VLOOKUP("LTEsync", Ulazni!A1:R9, 14, FALSE)</f>
        <v>10.243.15.41</v>
      </c>
      <c r="D20" s="6">
        <v>16</v>
      </c>
      <c r="E20" s="82" t="s">
        <v>21</v>
      </c>
      <c r="F20" s="83" t="str">
        <f>_xlfn.CONCAT("&lt;p name=""gateway""&gt;",C20, "&lt;/p&gt;")</f>
        <v>&lt;p name="gateway"&gt;10.243.15.41&lt;/p&gt;</v>
      </c>
      <c r="G20" s="28" t="str">
        <f t="shared" ref="G20:G26" si="0">_xlfn.CONCAT("&lt;p name=""destinationIpPrefixLength""&gt;",D20, "&lt;/p&gt;")</f>
        <v>&lt;p name="destinationIpPrefixLength"&gt;16&lt;/p&gt;</v>
      </c>
      <c r="H20" s="28" t="s">
        <v>19</v>
      </c>
      <c r="I20" s="12" t="s">
        <v>20</v>
      </c>
    </row>
    <row r="21" spans="1:9" s="7" customFormat="1" x14ac:dyDescent="0.2">
      <c r="A21" s="7" t="s">
        <v>232</v>
      </c>
      <c r="B21" s="7" t="str">
        <f>VLOOKUP(Ulazni!C41, Ulazni!B94:F99, 4, FALSE)</f>
        <v>172.21.6.16</v>
      </c>
      <c r="C21" s="7" t="str">
        <f>VLOOKUP("SBTSoam", Ulazni!A1:R9, 14, FALSE)</f>
        <v>10.244.30.69</v>
      </c>
      <c r="D21" s="8" t="str">
        <f>VLOOKUP("SBTSoam", Ulazni!$A$1:$Q$9, 17, FALSE)</f>
        <v>30</v>
      </c>
      <c r="E21" s="84" t="str">
        <f>_xlfn.CONCAT("&lt;item&gt;&lt;p name=""destIpAddr""&gt;",B21, "&lt;/p&gt;")</f>
        <v>&lt;item&gt;&lt;p name="destIpAddr"&gt;172.21.6.16&lt;/p&gt;</v>
      </c>
      <c r="F21" s="83" t="str">
        <f t="shared" ref="F21:F27" si="1">_xlfn.CONCAT("&lt;p name=""gateway""&gt;",C21, "&lt;/p&gt;")</f>
        <v>&lt;p name="gateway"&gt;10.244.30.69&lt;/p&gt;</v>
      </c>
      <c r="G21" s="28" t="str">
        <f t="shared" si="0"/>
        <v>&lt;p name="destinationIpPrefixLength"&gt;30&lt;/p&gt;</v>
      </c>
      <c r="H21" s="81" t="s">
        <v>19</v>
      </c>
      <c r="I21" s="85" t="s">
        <v>20</v>
      </c>
    </row>
    <row r="22" spans="1:9" x14ac:dyDescent="0.2">
      <c r="A22" t="s">
        <v>234</v>
      </c>
      <c r="B22" s="7" t="str">
        <f>VLOOKUP(Ulazni!C41, Ulazni!B94:F99, 5, FALSE)</f>
        <v>172.21.6.0</v>
      </c>
      <c r="C22" t="str">
        <f>VLOOKUP("2gRAN", Ulazni!A1:R9, 14, FALSE)</f>
        <v>10.206.84.53</v>
      </c>
      <c r="D22" s="8" t="str">
        <f>VLOOKUP("2gRAN", Ulazni!$A$1:$Q$9, 17, FALSE)</f>
        <v>30</v>
      </c>
      <c r="E22" s="84" t="str">
        <f>_xlfn.CONCAT("&lt;item&gt;&lt;p name=""destIpAddr""&gt;",B22, "&lt;/p&gt;")</f>
        <v>&lt;item&gt;&lt;p name="destIpAddr"&gt;172.21.6.0&lt;/p&gt;</v>
      </c>
      <c r="F22" s="83" t="str">
        <f t="shared" si="1"/>
        <v>&lt;p name="gateway"&gt;10.206.84.53&lt;/p&gt;</v>
      </c>
      <c r="G22" s="28" t="str">
        <f t="shared" si="0"/>
        <v>&lt;p name="destinationIpPrefixLength"&gt;30&lt;/p&gt;</v>
      </c>
      <c r="H22" s="28" t="s">
        <v>19</v>
      </c>
      <c r="I22" s="12" t="s">
        <v>20</v>
      </c>
    </row>
    <row r="23" spans="1:9" x14ac:dyDescent="0.2">
      <c r="A23" t="s">
        <v>208</v>
      </c>
      <c r="B23" t="str">
        <f>Ulazni!C51</f>
        <v>10.254.22.4</v>
      </c>
      <c r="C23" t="str">
        <f>VLOOKUP("LTEs1", Ulazni!A1:R9, 14, FALSE)</f>
        <v>10.245.30.69</v>
      </c>
      <c r="D23" s="8">
        <v>32</v>
      </c>
      <c r="E23" s="11" t="str">
        <f>_xlfn.CONCAT("&lt;item&gt;&lt;p name=""destIpAddr""&gt;",B23, "&lt;/p&gt;")</f>
        <v>&lt;item&gt;&lt;p name="destIpAddr"&gt;10.254.22.4&lt;/p&gt;</v>
      </c>
      <c r="F23" s="83" t="str">
        <f t="shared" si="1"/>
        <v>&lt;p name="gateway"&gt;10.245.30.69&lt;/p&gt;</v>
      </c>
      <c r="G23" s="28" t="str">
        <f t="shared" si="0"/>
        <v>&lt;p name="destinationIpPrefixLength"&gt;32&lt;/p&gt;</v>
      </c>
      <c r="H23" s="28" t="s">
        <v>19</v>
      </c>
      <c r="I23" s="12" t="s">
        <v>20</v>
      </c>
    </row>
    <row r="24" spans="1:9" x14ac:dyDescent="0.2">
      <c r="A24" t="s">
        <v>209</v>
      </c>
      <c r="B24" t="str">
        <f>Ulazni!C52</f>
        <v>10.254.2.4</v>
      </c>
      <c r="C24" t="str">
        <f>VLOOKUP("LTEs1", Ulazni!A1:R9, 14, FALSE)</f>
        <v>10.245.30.69</v>
      </c>
      <c r="D24" s="8">
        <v>32</v>
      </c>
      <c r="E24" s="11" t="str">
        <f>_xlfn.CONCAT("&lt;item&gt;&lt;p name=""destIpAddr""&gt;",B24, "&lt;/p&gt;")</f>
        <v>&lt;item&gt;&lt;p name="destIpAddr"&gt;10.254.2.4&lt;/p&gt;</v>
      </c>
      <c r="F24" s="83" t="str">
        <f t="shared" si="1"/>
        <v>&lt;p name="gateway"&gt;10.245.30.69&lt;/p&gt;</v>
      </c>
      <c r="G24" s="28" t="str">
        <f t="shared" si="0"/>
        <v>&lt;p name="destinationIpPrefixLength"&gt;32&lt;/p&gt;</v>
      </c>
      <c r="H24" s="28" t="s">
        <v>19</v>
      </c>
      <c r="I24" s="12" t="s">
        <v>20</v>
      </c>
    </row>
    <row r="25" spans="1:9" x14ac:dyDescent="0.2">
      <c r="A25" t="s">
        <v>210</v>
      </c>
      <c r="C25" t="str">
        <f>VLOOKUP("LTEs1", Ulazni!A1:R9, 14, FALSE)</f>
        <v>10.245.30.69</v>
      </c>
      <c r="D25" s="8">
        <v>29</v>
      </c>
      <c r="E25" s="11" t="s">
        <v>212</v>
      </c>
      <c r="F25" s="83" t="str">
        <f t="shared" si="1"/>
        <v>&lt;p name="gateway"&gt;10.245.30.69&lt;/p&gt;</v>
      </c>
      <c r="G25" s="28" t="str">
        <f t="shared" si="0"/>
        <v>&lt;p name="destinationIpPrefixLength"&gt;29&lt;/p&gt;</v>
      </c>
      <c r="H25" s="28" t="s">
        <v>19</v>
      </c>
      <c r="I25" s="12" t="s">
        <v>20</v>
      </c>
    </row>
    <row r="26" spans="1:9" x14ac:dyDescent="0.2">
      <c r="A26" t="s">
        <v>210</v>
      </c>
      <c r="C26" t="str">
        <f>VLOOKUP("LTEs1", Ulazni!A1:R9, 14, FALSE)</f>
        <v>10.245.30.69</v>
      </c>
      <c r="D26" s="8">
        <v>29</v>
      </c>
      <c r="E26" s="11" t="s">
        <v>213</v>
      </c>
      <c r="F26" s="83" t="str">
        <f t="shared" si="1"/>
        <v>&lt;p name="gateway"&gt;10.245.30.69&lt;/p&gt;</v>
      </c>
      <c r="G26" s="28" t="str">
        <f t="shared" si="0"/>
        <v>&lt;p name="destinationIpPrefixLength"&gt;29&lt;/p&gt;</v>
      </c>
      <c r="H26" s="28" t="s">
        <v>19</v>
      </c>
      <c r="I26" s="12" t="s">
        <v>20</v>
      </c>
    </row>
    <row r="27" spans="1:9" x14ac:dyDescent="0.2">
      <c r="A27" t="s">
        <v>211</v>
      </c>
      <c r="C27" t="str">
        <f>VLOOKUP("LTEs1", Ulazni!A1:R9, 14, FALSE)</f>
        <v>10.245.30.69</v>
      </c>
      <c r="D27" s="8">
        <v>16</v>
      </c>
      <c r="E27" s="11" t="s">
        <v>214</v>
      </c>
      <c r="F27" s="83" t="str">
        <f t="shared" si="1"/>
        <v>&lt;p name="gateway"&gt;10.245.30.69&lt;/p&gt;</v>
      </c>
      <c r="G27" s="28" t="s">
        <v>189</v>
      </c>
      <c r="H27" s="28" t="s">
        <v>19</v>
      </c>
      <c r="I27" s="12" t="s">
        <v>20</v>
      </c>
    </row>
    <row r="28" spans="1:9" x14ac:dyDescent="0.2">
      <c r="A28" t="s">
        <v>248</v>
      </c>
      <c r="C28" t="str">
        <f>VLOOKUP("SBTSoam", Ulazni!A1:R9, 14, FALSE)</f>
        <v>10.244.30.69</v>
      </c>
      <c r="D28" s="8"/>
      <c r="E28" s="11" t="s">
        <v>25</v>
      </c>
      <c r="F28" s="28" t="s">
        <v>26</v>
      </c>
      <c r="G28" s="81" t="str">
        <f>_xlfn.CONCAT("&lt;p name=""gateway""&gt;",C28, "&lt;/p&gt;")</f>
        <v>&lt;p name="gateway"&gt;10.244.30.69&lt;/p&gt;</v>
      </c>
      <c r="H28" s="28" t="s">
        <v>19</v>
      </c>
      <c r="I28" s="12" t="s">
        <v>20</v>
      </c>
    </row>
    <row r="29" spans="1:9" x14ac:dyDescent="0.2">
      <c r="E29" s="11" t="s">
        <v>15</v>
      </c>
      <c r="F29" s="28"/>
      <c r="G29" s="28"/>
      <c r="H29" s="28"/>
      <c r="I29" s="12"/>
    </row>
    <row r="30" spans="1:9" ht="13.5" thickBot="1" x14ac:dyDescent="0.25">
      <c r="E30" s="13" t="s">
        <v>6</v>
      </c>
      <c r="F30" s="34"/>
      <c r="G30" s="34"/>
      <c r="H30" s="34"/>
      <c r="I3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F2E9-2BF7-4BEA-A2FC-77A28A63ACA7}">
  <dimension ref="A1:E421"/>
  <sheetViews>
    <sheetView topLeftCell="A40" zoomScale="85" zoomScaleNormal="85" workbookViewId="0">
      <selection activeCell="C57" sqref="C57:C77"/>
    </sheetView>
  </sheetViews>
  <sheetFormatPr defaultRowHeight="12.75" x14ac:dyDescent="0.2"/>
  <cols>
    <col min="2" max="2" width="13.140625" customWidth="1"/>
    <col min="3" max="3" width="107.7109375" bestFit="1" customWidth="1"/>
    <col min="4" max="4" width="8.140625" customWidth="1"/>
    <col min="5" max="5" width="107.7109375" bestFit="1" customWidth="1"/>
    <col min="6" max="6" width="39.28515625" bestFit="1" customWidth="1"/>
    <col min="7" max="7" width="20.5703125" bestFit="1" customWidth="1"/>
    <col min="8" max="8" width="6.140625" bestFit="1" customWidth="1"/>
    <col min="9" max="9" width="28.28515625" bestFit="1" customWidth="1"/>
    <col min="10" max="10" width="34.5703125" bestFit="1" customWidth="1"/>
    <col min="11" max="11" width="32" bestFit="1" customWidth="1"/>
    <col min="12" max="12" width="6.85546875" bestFit="1" customWidth="1"/>
    <col min="13" max="13" width="6" bestFit="1" customWidth="1"/>
    <col min="14" max="14" width="15.85546875" bestFit="1" customWidth="1"/>
  </cols>
  <sheetData>
    <row r="1" spans="1:5" ht="13.5" thickBot="1" x14ac:dyDescent="0.25"/>
    <row r="2" spans="1:5" x14ac:dyDescent="0.2">
      <c r="B2" t="str">
        <f>Ulazni!$E$25</f>
        <v>SAO100_Debrc</v>
      </c>
      <c r="C2" s="91" t="str">
        <f>SUBSTITUTE(E2, "xx", B2)</f>
        <v>&lt;!-- IPIF SAO100_Debrc --&gt;</v>
      </c>
      <c r="E2" t="s">
        <v>345</v>
      </c>
    </row>
    <row r="3" spans="1:5" x14ac:dyDescent="0.2">
      <c r="A3" t="s">
        <v>92</v>
      </c>
      <c r="B3">
        <f>Ulazni!$C$27</f>
        <v>1917</v>
      </c>
      <c r="C3" s="92" t="str">
        <f>SUBSTITUTE(E3, "xx", B3)</f>
        <v>&lt;managedObject class="IPIF" distName="SBTS-1917/TNL-1/IPNO-1/IPIF-1" operation="create" version="SBTS16.10"&gt;</v>
      </c>
      <c r="E3" t="s">
        <v>266</v>
      </c>
    </row>
    <row r="4" spans="1:5" x14ac:dyDescent="0.2">
      <c r="C4" s="92" t="str">
        <f t="shared" ref="C4:C69" si="0">SUBSTITUTE(E4, "xx", B4)</f>
        <v>&lt;p name="interfacePtr"&gt;ETHIF-1/VLANIF-1&lt;/p&gt;</v>
      </c>
      <c r="E4" t="s">
        <v>67</v>
      </c>
    </row>
    <row r="5" spans="1:5" x14ac:dyDescent="0.2">
      <c r="C5" s="92" t="str">
        <f t="shared" si="0"/>
        <v>&lt;p name="ipMtu"&gt;1500&lt;/p&gt;</v>
      </c>
      <c r="E5" t="s">
        <v>260</v>
      </c>
    </row>
    <row r="6" spans="1:5" x14ac:dyDescent="0.2">
      <c r="A6" s="5" t="s">
        <v>204</v>
      </c>
      <c r="B6">
        <f>VLOOKUP(A6, Ulazni!$A$1:$Q$9, 11, FALSE)</f>
        <v>1030</v>
      </c>
      <c r="C6" s="92" t="str">
        <f t="shared" si="0"/>
        <v>&lt;p name="userLabel"&gt;SBTS Abis VLAN 1030&lt;/p&gt;</v>
      </c>
      <c r="E6" t="s">
        <v>267</v>
      </c>
    </row>
    <row r="7" spans="1:5" x14ac:dyDescent="0.2">
      <c r="C7" s="92" t="str">
        <f t="shared" si="0"/>
        <v>&lt;list name="ipAddrList"&gt;</v>
      </c>
      <c r="E7" t="s">
        <v>12</v>
      </c>
    </row>
    <row r="8" spans="1:5" x14ac:dyDescent="0.2">
      <c r="C8" s="92" t="str">
        <f t="shared" si="0"/>
        <v>&lt;item&gt;</v>
      </c>
      <c r="E8" t="s">
        <v>13</v>
      </c>
    </row>
    <row r="9" spans="1:5" x14ac:dyDescent="0.2">
      <c r="C9" s="92" t="str">
        <f t="shared" si="0"/>
        <v>&lt;p name="ipAddrIdentifier"&gt;1&lt;/p&gt;</v>
      </c>
      <c r="E9" t="s">
        <v>261</v>
      </c>
    </row>
    <row r="10" spans="1:5" x14ac:dyDescent="0.2">
      <c r="A10" t="str">
        <f>A6</f>
        <v>2gRAN</v>
      </c>
      <c r="B10" t="str">
        <f>VLOOKUP(A10, Ulazni!$A$1:$Q$9, 16, FALSE)</f>
        <v>10.206.84.54</v>
      </c>
      <c r="C10" s="92" t="str">
        <f t="shared" si="0"/>
        <v>&lt;p name="localIpAddr"&gt;10.206.84.54&lt;/p&gt;</v>
      </c>
      <c r="E10" t="s">
        <v>268</v>
      </c>
    </row>
    <row r="11" spans="1:5" x14ac:dyDescent="0.2">
      <c r="A11" t="str">
        <f>A6</f>
        <v>2gRAN</v>
      </c>
      <c r="B11" t="str">
        <f>VLOOKUP(A11, Ulazni!$A$1:$Q$9, 17, FALSE)</f>
        <v>30</v>
      </c>
      <c r="C11" s="92" t="str">
        <f t="shared" si="0"/>
        <v>&lt;p name="localIpPrefixLength"&gt;30&lt;/p&gt;</v>
      </c>
      <c r="E11" t="s">
        <v>269</v>
      </c>
    </row>
    <row r="12" spans="1:5" x14ac:dyDescent="0.2">
      <c r="C12" s="92" t="str">
        <f t="shared" si="0"/>
        <v>&lt;/item&gt;</v>
      </c>
      <c r="E12" t="s">
        <v>14</v>
      </c>
    </row>
    <row r="13" spans="1:5" x14ac:dyDescent="0.2">
      <c r="C13" s="92" t="str">
        <f t="shared" si="0"/>
        <v>&lt;/list&gt;</v>
      </c>
      <c r="E13" t="s">
        <v>15</v>
      </c>
    </row>
    <row r="14" spans="1:5" x14ac:dyDescent="0.2">
      <c r="C14" s="92" t="str">
        <f t="shared" si="0"/>
        <v>&lt;/managedObject&gt;</v>
      </c>
      <c r="E14" t="s">
        <v>6</v>
      </c>
    </row>
    <row r="15" spans="1:5" x14ac:dyDescent="0.2">
      <c r="C15" s="92" t="str">
        <f t="shared" si="0"/>
        <v/>
      </c>
    </row>
    <row r="16" spans="1:5" x14ac:dyDescent="0.2">
      <c r="A16" t="s">
        <v>92</v>
      </c>
      <c r="B16">
        <f>Ulazni!$C$27</f>
        <v>1917</v>
      </c>
      <c r="C16" s="92" t="str">
        <f t="shared" si="0"/>
        <v>&lt;managedObject class="IPIF" distName="SBTS-1917/TNL-1/IPNO-1/IPIF-3" operation="create" version="SBTS16.10"&gt;</v>
      </c>
      <c r="E16" t="s">
        <v>273</v>
      </c>
    </row>
    <row r="17" spans="1:5" x14ac:dyDescent="0.2">
      <c r="C17" s="92" t="str">
        <f t="shared" si="0"/>
        <v>&lt;p name="interfacePtr"&gt;ETHIF-1/VLANIF-3&lt;/p&gt;</v>
      </c>
      <c r="E17" t="s">
        <v>11</v>
      </c>
    </row>
    <row r="18" spans="1:5" x14ac:dyDescent="0.2">
      <c r="C18" s="92" t="str">
        <f t="shared" si="0"/>
        <v>&lt;p name="ipMtu"&gt;1500&lt;/p&gt;</v>
      </c>
      <c r="E18" t="s">
        <v>260</v>
      </c>
    </row>
    <row r="19" spans="1:5" x14ac:dyDescent="0.2">
      <c r="A19" s="5" t="s">
        <v>205</v>
      </c>
      <c r="B19">
        <f>VLOOKUP(A19, Ulazni!$A$1:$Q$9, 11, FALSE)</f>
        <v>1031</v>
      </c>
      <c r="C19" s="92" t="str">
        <f t="shared" si="0"/>
        <v>&lt;p name="userLabel"&gt;SBTS S1 VLAN 1031&lt;/p&gt;</v>
      </c>
      <c r="E19" t="s">
        <v>274</v>
      </c>
    </row>
    <row r="20" spans="1:5" x14ac:dyDescent="0.2">
      <c r="C20" s="92" t="str">
        <f t="shared" si="0"/>
        <v>&lt;list name="ipAddrList"&gt;</v>
      </c>
      <c r="E20" t="s">
        <v>12</v>
      </c>
    </row>
    <row r="21" spans="1:5" x14ac:dyDescent="0.2">
      <c r="C21" s="92" t="str">
        <f t="shared" si="0"/>
        <v>&lt;item&gt;</v>
      </c>
      <c r="E21" t="s">
        <v>13</v>
      </c>
    </row>
    <row r="22" spans="1:5" x14ac:dyDescent="0.2">
      <c r="C22" s="92" t="str">
        <f t="shared" si="0"/>
        <v>&lt;p name="ipAddrIdentifier"&gt;3&lt;/p&gt;</v>
      </c>
      <c r="E22" t="s">
        <v>262</v>
      </c>
    </row>
    <row r="23" spans="1:5" x14ac:dyDescent="0.2">
      <c r="A23" t="str">
        <f>A19</f>
        <v>LTEs1</v>
      </c>
      <c r="B23" t="str">
        <f>VLOOKUP(A23, Ulazni!$A$1:$Q$9, 16, FALSE)</f>
        <v>10.245.30.70</v>
      </c>
      <c r="C23" s="92" t="str">
        <f t="shared" si="0"/>
        <v>&lt;p name="localIpAddr"&gt;10.245.30.70&lt;/p&gt;</v>
      </c>
      <c r="E23" t="s">
        <v>268</v>
      </c>
    </row>
    <row r="24" spans="1:5" x14ac:dyDescent="0.2">
      <c r="A24" t="str">
        <f>A19</f>
        <v>LTEs1</v>
      </c>
      <c r="B24" t="str">
        <f>VLOOKUP(A24, Ulazni!$A$1:$Q$9, 17, FALSE)</f>
        <v>30</v>
      </c>
      <c r="C24" s="92" t="str">
        <f t="shared" si="0"/>
        <v>&lt;p name="localIpPrefixLength"&gt;30&lt;/p&gt;</v>
      </c>
      <c r="E24" t="s">
        <v>269</v>
      </c>
    </row>
    <row r="25" spans="1:5" x14ac:dyDescent="0.2">
      <c r="C25" s="92" t="str">
        <f t="shared" si="0"/>
        <v>&lt;/item&gt;</v>
      </c>
      <c r="E25" t="s">
        <v>14</v>
      </c>
    </row>
    <row r="26" spans="1:5" x14ac:dyDescent="0.2">
      <c r="C26" s="92" t="str">
        <f t="shared" si="0"/>
        <v>&lt;/list&gt;</v>
      </c>
      <c r="E26" t="s">
        <v>15</v>
      </c>
    </row>
    <row r="27" spans="1:5" x14ac:dyDescent="0.2">
      <c r="C27" s="92" t="str">
        <f t="shared" si="0"/>
        <v>&lt;/managedObject&gt;</v>
      </c>
      <c r="E27" t="s">
        <v>6</v>
      </c>
    </row>
    <row r="28" spans="1:5" x14ac:dyDescent="0.2">
      <c r="C28" s="92" t="str">
        <f t="shared" si="0"/>
        <v/>
      </c>
    </row>
    <row r="29" spans="1:5" x14ac:dyDescent="0.2">
      <c r="A29" t="s">
        <v>92</v>
      </c>
      <c r="B29">
        <f>Ulazni!$C$27</f>
        <v>1917</v>
      </c>
      <c r="C29" s="92" t="str">
        <f t="shared" si="0"/>
        <v>&lt;managedObject class="IPIF" distName="SBTS-1917/TNL-1/IPNO-1/IPIF-4" operation="create" version="SBTS16.10"&gt;</v>
      </c>
      <c r="E29" t="s">
        <v>275</v>
      </c>
    </row>
    <row r="30" spans="1:5" x14ac:dyDescent="0.2">
      <c r="C30" s="92" t="str">
        <f t="shared" si="0"/>
        <v>&lt;p name="interfacePtr"&gt;ETHIF-1/VLANIF-4&lt;/p&gt;</v>
      </c>
      <c r="E30" t="s">
        <v>73</v>
      </c>
    </row>
    <row r="31" spans="1:5" x14ac:dyDescent="0.2">
      <c r="C31" s="92" t="str">
        <f t="shared" si="0"/>
        <v>&lt;p name="ipMtu"&gt;1500&lt;/p&gt;</v>
      </c>
      <c r="E31" t="s">
        <v>260</v>
      </c>
    </row>
    <row r="32" spans="1:5" x14ac:dyDescent="0.2">
      <c r="A32" s="5" t="s">
        <v>206</v>
      </c>
      <c r="B32">
        <f>VLOOKUP(A32, Ulazni!$A$1:$Q$9, 11, FALSE)</f>
        <v>1032</v>
      </c>
      <c r="C32" s="92" t="str">
        <f t="shared" si="0"/>
        <v>&lt;p name="userLabel"&gt;SBTS OSS VLAN 1032&lt;/p&gt;</v>
      </c>
      <c r="E32" t="s">
        <v>276</v>
      </c>
    </row>
    <row r="33" spans="1:5" x14ac:dyDescent="0.2">
      <c r="C33" s="92" t="str">
        <f t="shared" si="0"/>
        <v>&lt;list name="ipAddrList"&gt;</v>
      </c>
      <c r="E33" t="s">
        <v>12</v>
      </c>
    </row>
    <row r="34" spans="1:5" x14ac:dyDescent="0.2">
      <c r="C34" s="92" t="str">
        <f t="shared" si="0"/>
        <v>&lt;item&gt;</v>
      </c>
      <c r="E34" t="s">
        <v>13</v>
      </c>
    </row>
    <row r="35" spans="1:5" x14ac:dyDescent="0.2">
      <c r="C35" s="92" t="str">
        <f t="shared" si="0"/>
        <v>&lt;p name="ipAddrIdentifier"&gt;4&lt;/p&gt;</v>
      </c>
      <c r="E35" t="s">
        <v>263</v>
      </c>
    </row>
    <row r="36" spans="1:5" x14ac:dyDescent="0.2">
      <c r="A36" t="str">
        <f>A32</f>
        <v>SBTSoam</v>
      </c>
      <c r="B36" t="str">
        <f>VLOOKUP(A36, Ulazni!$A$1:$Q$9, 16, FALSE)</f>
        <v>10.244.30.70</v>
      </c>
      <c r="C36" s="92" t="str">
        <f t="shared" si="0"/>
        <v>&lt;p name="localIpAddr"&gt;10.244.30.70&lt;/p&gt;</v>
      </c>
      <c r="E36" t="s">
        <v>268</v>
      </c>
    </row>
    <row r="37" spans="1:5" x14ac:dyDescent="0.2">
      <c r="A37" t="str">
        <f>A32</f>
        <v>SBTSoam</v>
      </c>
      <c r="B37" t="str">
        <f>VLOOKUP(A37, Ulazni!$A$1:$Q$9, 17, FALSE)</f>
        <v>30</v>
      </c>
      <c r="C37" s="92" t="str">
        <f t="shared" si="0"/>
        <v>&lt;p name="localIpPrefixLength"&gt;30&lt;/p&gt;</v>
      </c>
      <c r="E37" t="s">
        <v>269</v>
      </c>
    </row>
    <row r="38" spans="1:5" x14ac:dyDescent="0.2">
      <c r="C38" s="92" t="str">
        <f t="shared" si="0"/>
        <v>&lt;/item&gt;</v>
      </c>
      <c r="E38" t="s">
        <v>14</v>
      </c>
    </row>
    <row r="39" spans="1:5" x14ac:dyDescent="0.2">
      <c r="C39" s="92" t="str">
        <f t="shared" si="0"/>
        <v>&lt;/list&gt;</v>
      </c>
      <c r="E39" t="s">
        <v>15</v>
      </c>
    </row>
    <row r="40" spans="1:5" x14ac:dyDescent="0.2">
      <c r="C40" s="92" t="str">
        <f t="shared" si="0"/>
        <v>&lt;/managedObject&gt;</v>
      </c>
      <c r="E40" t="s">
        <v>6</v>
      </c>
    </row>
    <row r="41" spans="1:5" x14ac:dyDescent="0.2">
      <c r="C41" s="92" t="str">
        <f t="shared" si="0"/>
        <v/>
      </c>
    </row>
    <row r="42" spans="1:5" x14ac:dyDescent="0.2">
      <c r="A42" t="s">
        <v>92</v>
      </c>
      <c r="B42">
        <f>Ulazni!$C$27</f>
        <v>1917</v>
      </c>
      <c r="C42" s="92" t="str">
        <f t="shared" si="0"/>
        <v>&lt;managedObject class="IPIF" distName="SBTS-1917/TNL-1/IPNO-1/IPIF-5" operation="create" version="SBTS16.10"&gt;</v>
      </c>
      <c r="E42" t="s">
        <v>277</v>
      </c>
    </row>
    <row r="43" spans="1:5" x14ac:dyDescent="0.2">
      <c r="C43" s="92" t="str">
        <f t="shared" si="0"/>
        <v>&lt;p name="interfacePtr"&gt;ETHIF-1/VLANIF-5&lt;/p&gt;</v>
      </c>
      <c r="E43" t="s">
        <v>238</v>
      </c>
    </row>
    <row r="44" spans="1:5" x14ac:dyDescent="0.2">
      <c r="C44" s="92" t="str">
        <f t="shared" si="0"/>
        <v>&lt;p name="ipMtu"&gt;1500&lt;/p&gt;</v>
      </c>
      <c r="E44" t="s">
        <v>260</v>
      </c>
    </row>
    <row r="45" spans="1:5" x14ac:dyDescent="0.2">
      <c r="A45" s="5" t="s">
        <v>207</v>
      </c>
      <c r="B45">
        <f>VLOOKUP(A45, Ulazni!$A$1:$Q$9, 11, FALSE)</f>
        <v>1033</v>
      </c>
      <c r="C45" s="92" t="str">
        <f t="shared" si="0"/>
        <v>&lt;p name="userLabel"&gt;SBTS SYNC VLAN 1033&lt;/p&gt;</v>
      </c>
      <c r="E45" t="s">
        <v>278</v>
      </c>
    </row>
    <row r="46" spans="1:5" x14ac:dyDescent="0.2">
      <c r="C46" s="92" t="str">
        <f t="shared" si="0"/>
        <v>&lt;list name="ipAddrList"&gt;</v>
      </c>
      <c r="E46" t="s">
        <v>12</v>
      </c>
    </row>
    <row r="47" spans="1:5" x14ac:dyDescent="0.2">
      <c r="C47" s="92" t="str">
        <f t="shared" si="0"/>
        <v>&lt;item&gt;</v>
      </c>
      <c r="E47" t="s">
        <v>13</v>
      </c>
    </row>
    <row r="48" spans="1:5" x14ac:dyDescent="0.2">
      <c r="C48" s="92" t="str">
        <f t="shared" si="0"/>
        <v>&lt;p name="ipAddrIdentifier"&gt;5&lt;/p&gt;</v>
      </c>
      <c r="E48" t="s">
        <v>264</v>
      </c>
    </row>
    <row r="49" spans="1:5" x14ac:dyDescent="0.2">
      <c r="A49" t="str">
        <f>A45</f>
        <v>LTEsync</v>
      </c>
      <c r="B49" t="str">
        <f>VLOOKUP(A49, Ulazni!$A$1:$Q$9, 16, FALSE)</f>
        <v>10.243.15.42</v>
      </c>
      <c r="C49" s="92" t="str">
        <f t="shared" si="0"/>
        <v>&lt;p name="localIpAddr"&gt;10.243.15.42&lt;/p&gt;</v>
      </c>
      <c r="E49" t="s">
        <v>268</v>
      </c>
    </row>
    <row r="50" spans="1:5" x14ac:dyDescent="0.2">
      <c r="A50" t="str">
        <f>A45</f>
        <v>LTEsync</v>
      </c>
      <c r="B50" t="str">
        <f>VLOOKUP(A50, Ulazni!$A$1:$Q$9, 17, FALSE)</f>
        <v>30</v>
      </c>
      <c r="C50" s="92" t="str">
        <f t="shared" si="0"/>
        <v>&lt;p name="localIpPrefixLength"&gt;30&lt;/p&gt;</v>
      </c>
      <c r="E50" t="s">
        <v>269</v>
      </c>
    </row>
    <row r="51" spans="1:5" x14ac:dyDescent="0.2">
      <c r="C51" s="92" t="str">
        <f t="shared" si="0"/>
        <v>&lt;/item&gt;</v>
      </c>
      <c r="E51" t="s">
        <v>14</v>
      </c>
    </row>
    <row r="52" spans="1:5" x14ac:dyDescent="0.2">
      <c r="C52" s="92" t="str">
        <f t="shared" si="0"/>
        <v>&lt;/list&gt;</v>
      </c>
      <c r="E52" t="s">
        <v>15</v>
      </c>
    </row>
    <row r="53" spans="1:5" x14ac:dyDescent="0.2">
      <c r="C53" s="92" t="str">
        <f t="shared" si="0"/>
        <v>&lt;/managedObject&gt;</v>
      </c>
      <c r="E53" t="s">
        <v>6</v>
      </c>
    </row>
    <row r="54" spans="1:5" ht="13.5" thickBot="1" x14ac:dyDescent="0.25">
      <c r="C54" s="93"/>
    </row>
    <row r="55" spans="1:5" x14ac:dyDescent="0.2">
      <c r="C55" t="str">
        <f t="shared" si="0"/>
        <v/>
      </c>
    </row>
    <row r="56" spans="1:5" ht="13.5" thickBot="1" x14ac:dyDescent="0.25"/>
    <row r="57" spans="1:5" x14ac:dyDescent="0.2">
      <c r="B57" t="str">
        <f>Ulazni!$E$25</f>
        <v>SAO100_Debrc</v>
      </c>
      <c r="C57" s="91" t="str">
        <f t="shared" si="0"/>
        <v>&lt;!-- VLANIF SAO100_Debrc --&gt;</v>
      </c>
      <c r="E57" t="s">
        <v>344</v>
      </c>
    </row>
    <row r="58" spans="1:5" x14ac:dyDescent="0.2">
      <c r="A58" t="s">
        <v>92</v>
      </c>
      <c r="B58">
        <f>Ulazni!$C$27</f>
        <v>1917</v>
      </c>
      <c r="C58" s="92" t="str">
        <f t="shared" si="0"/>
        <v>&lt;managedObject class="VLANIF" distName="SBTS-1917/TNL-1/ETHSVC-1/ETHIF-1/VLANIF-1" operation="create" version="SBTS16.10"&gt;</v>
      </c>
      <c r="E58" t="s">
        <v>279</v>
      </c>
    </row>
    <row r="59" spans="1:5" x14ac:dyDescent="0.2">
      <c r="A59" s="5" t="s">
        <v>204</v>
      </c>
      <c r="B59">
        <f>VLOOKUP(A59, Ulazni!$A$1:$Q$9, 11, FALSE)</f>
        <v>1030</v>
      </c>
      <c r="C59" s="92" t="str">
        <f t="shared" si="0"/>
        <v>&lt;p name="vlanId"&gt;1030&lt;/p&gt;</v>
      </c>
      <c r="E59" t="s">
        <v>280</v>
      </c>
    </row>
    <row r="60" spans="1:5" x14ac:dyDescent="0.2">
      <c r="A60" t="str">
        <f>A59</f>
        <v>2gRAN</v>
      </c>
      <c r="B60">
        <f>VLOOKUP(A60, Ulazni!$A$1:$Q$9, 11, FALSE)</f>
        <v>1030</v>
      </c>
      <c r="C60" s="92" t="str">
        <f t="shared" si="0"/>
        <v>&lt;p name="userLabel"&gt;SBTS Abis VLAN 1030&lt;/p&gt;</v>
      </c>
      <c r="E60" t="s">
        <v>267</v>
      </c>
    </row>
    <row r="61" spans="1:5" x14ac:dyDescent="0.2">
      <c r="C61" s="92" t="str">
        <f t="shared" si="0"/>
        <v>&lt;/managedObject&gt;</v>
      </c>
      <c r="E61" t="s">
        <v>6</v>
      </c>
    </row>
    <row r="62" spans="1:5" x14ac:dyDescent="0.2">
      <c r="C62" s="92" t="str">
        <f t="shared" si="0"/>
        <v/>
      </c>
    </row>
    <row r="63" spans="1:5" x14ac:dyDescent="0.2">
      <c r="A63" t="s">
        <v>92</v>
      </c>
      <c r="B63">
        <f>Ulazni!$C$27</f>
        <v>1917</v>
      </c>
      <c r="C63" s="92" t="str">
        <f t="shared" si="0"/>
        <v>&lt;managedObject class="VLANIF" distName="SBTS-1917/TNL-1/ETHSVC-1/ETHIF-1/VLANIF-3" operation="create" version="SBTS16.10"&gt;</v>
      </c>
      <c r="E63" t="s">
        <v>281</v>
      </c>
    </row>
    <row r="64" spans="1:5" x14ac:dyDescent="0.2">
      <c r="A64" s="5" t="s">
        <v>205</v>
      </c>
      <c r="B64">
        <f>VLOOKUP(A64, Ulazni!$A$1:$Q$9, 11, FALSE)</f>
        <v>1031</v>
      </c>
      <c r="C64" s="92" t="str">
        <f t="shared" si="0"/>
        <v>&lt;p name="vlanId"&gt;1031&lt;/p&gt;</v>
      </c>
      <c r="E64" t="s">
        <v>280</v>
      </c>
    </row>
    <row r="65" spans="1:5" x14ac:dyDescent="0.2">
      <c r="A65" t="str">
        <f>A64</f>
        <v>LTEs1</v>
      </c>
      <c r="B65">
        <f>VLOOKUP(A65, Ulazni!$A$1:$Q$9, 11, FALSE)</f>
        <v>1031</v>
      </c>
      <c r="C65" s="92" t="str">
        <f t="shared" si="0"/>
        <v>&lt;p name="userLabel"&gt;SBTS S1 VLAN 1031&lt;/p&gt;</v>
      </c>
      <c r="E65" t="s">
        <v>274</v>
      </c>
    </row>
    <row r="66" spans="1:5" x14ac:dyDescent="0.2">
      <c r="C66" s="92" t="str">
        <f t="shared" si="0"/>
        <v>&lt;/managedObject&gt;</v>
      </c>
      <c r="E66" t="s">
        <v>6</v>
      </c>
    </row>
    <row r="67" spans="1:5" x14ac:dyDescent="0.2">
      <c r="C67" s="92" t="str">
        <f t="shared" si="0"/>
        <v/>
      </c>
    </row>
    <row r="68" spans="1:5" x14ac:dyDescent="0.2">
      <c r="A68" t="s">
        <v>92</v>
      </c>
      <c r="B68">
        <f>Ulazni!$C$27</f>
        <v>1917</v>
      </c>
      <c r="C68" s="92" t="str">
        <f t="shared" si="0"/>
        <v>&lt;managedObject class="VLANIF" distName="SBTS-1917/TNL-1/ETHSVC-1/ETHIF-1/VLANIF-4" operation="create" version="SBTS16.10"&gt;</v>
      </c>
      <c r="E68" t="s">
        <v>282</v>
      </c>
    </row>
    <row r="69" spans="1:5" x14ac:dyDescent="0.2">
      <c r="A69" s="5" t="s">
        <v>206</v>
      </c>
      <c r="B69">
        <f>VLOOKUP(A69, Ulazni!$A$1:$Q$9, 11, FALSE)</f>
        <v>1032</v>
      </c>
      <c r="C69" s="92" t="str">
        <f t="shared" si="0"/>
        <v>&lt;p name="vlanId"&gt;1032&lt;/p&gt;</v>
      </c>
      <c r="E69" t="s">
        <v>280</v>
      </c>
    </row>
    <row r="70" spans="1:5" x14ac:dyDescent="0.2">
      <c r="A70" t="str">
        <f>A69</f>
        <v>SBTSoam</v>
      </c>
      <c r="B70">
        <f>VLOOKUP(A70, Ulazni!$A$1:$Q$9, 11, FALSE)</f>
        <v>1032</v>
      </c>
      <c r="C70" s="92" t="str">
        <f t="shared" ref="C70:C133" si="1">SUBSTITUTE(E70, "xx", B70)</f>
        <v>&lt;p name="userLabel"&gt;SBTS OSS VLAN 1032&lt;/p&gt;</v>
      </c>
      <c r="E70" t="s">
        <v>276</v>
      </c>
    </row>
    <row r="71" spans="1:5" x14ac:dyDescent="0.2">
      <c r="C71" s="92" t="str">
        <f t="shared" si="1"/>
        <v>&lt;/managedObject&gt;</v>
      </c>
      <c r="E71" t="s">
        <v>6</v>
      </c>
    </row>
    <row r="72" spans="1:5" x14ac:dyDescent="0.2">
      <c r="C72" s="92" t="str">
        <f t="shared" si="1"/>
        <v/>
      </c>
    </row>
    <row r="73" spans="1:5" x14ac:dyDescent="0.2">
      <c r="A73" t="s">
        <v>92</v>
      </c>
      <c r="B73">
        <f>Ulazni!$C$27</f>
        <v>1917</v>
      </c>
      <c r="C73" s="92" t="str">
        <f t="shared" si="1"/>
        <v>&lt;managedObject class="VLANIF" distName="SBTS-1917/TNL-1/ETHSVC-1/ETHIF-1/VLANIF-5" operation="create" version="SBTS16.10"&gt;</v>
      </c>
      <c r="E73" t="s">
        <v>283</v>
      </c>
    </row>
    <row r="74" spans="1:5" x14ac:dyDescent="0.2">
      <c r="A74" s="5" t="s">
        <v>207</v>
      </c>
      <c r="B74">
        <f>VLOOKUP(A74, Ulazni!$A$1:$Q$9, 11, FALSE)</f>
        <v>1033</v>
      </c>
      <c r="C74" s="92" t="str">
        <f t="shared" si="1"/>
        <v>&lt;p name="vlanId"&gt;1033&lt;/p&gt;</v>
      </c>
      <c r="E74" t="s">
        <v>280</v>
      </c>
    </row>
    <row r="75" spans="1:5" x14ac:dyDescent="0.2">
      <c r="A75" t="str">
        <f>A74</f>
        <v>LTEsync</v>
      </c>
      <c r="B75">
        <f>VLOOKUP(A75, Ulazni!$A$1:$Q$9, 11, FALSE)</f>
        <v>1033</v>
      </c>
      <c r="C75" s="92" t="str">
        <f t="shared" si="1"/>
        <v>&lt;p name="userLabel"&gt;SBTS SYNC VLAN 1033&lt;/p&gt;</v>
      </c>
      <c r="E75" t="s">
        <v>278</v>
      </c>
    </row>
    <row r="76" spans="1:5" x14ac:dyDescent="0.2">
      <c r="C76" s="92" t="str">
        <f t="shared" si="1"/>
        <v>&lt;/managedObject&gt;</v>
      </c>
      <c r="E76" t="s">
        <v>6</v>
      </c>
    </row>
    <row r="77" spans="1:5" ht="13.5" thickBot="1" x14ac:dyDescent="0.25">
      <c r="C77" s="93" t="str">
        <f t="shared" si="1"/>
        <v/>
      </c>
    </row>
    <row r="78" spans="1:5" x14ac:dyDescent="0.2">
      <c r="C78" t="str">
        <f t="shared" si="1"/>
        <v/>
      </c>
    </row>
    <row r="79" spans="1:5" x14ac:dyDescent="0.2">
      <c r="C79" t="str">
        <f t="shared" si="1"/>
        <v/>
      </c>
    </row>
    <row r="80" spans="1:5" x14ac:dyDescent="0.2">
      <c r="C80" t="str">
        <f t="shared" si="1"/>
        <v/>
      </c>
    </row>
    <row r="81" spans="3:3" x14ac:dyDescent="0.2">
      <c r="C81" t="str">
        <f t="shared" si="1"/>
        <v/>
      </c>
    </row>
    <row r="82" spans="3:3" x14ac:dyDescent="0.2">
      <c r="C82" t="str">
        <f t="shared" si="1"/>
        <v/>
      </c>
    </row>
    <row r="83" spans="3:3" x14ac:dyDescent="0.2">
      <c r="C83" t="str">
        <f t="shared" si="1"/>
        <v/>
      </c>
    </row>
    <row r="84" spans="3:3" x14ac:dyDescent="0.2">
      <c r="C84" t="str">
        <f t="shared" si="1"/>
        <v/>
      </c>
    </row>
    <row r="85" spans="3:3" x14ac:dyDescent="0.2">
      <c r="C85" t="str">
        <f t="shared" si="1"/>
        <v/>
      </c>
    </row>
    <row r="86" spans="3:3" x14ac:dyDescent="0.2">
      <c r="C86" t="str">
        <f t="shared" si="1"/>
        <v/>
      </c>
    </row>
    <row r="87" spans="3:3" x14ac:dyDescent="0.2">
      <c r="C87" t="str">
        <f t="shared" si="1"/>
        <v/>
      </c>
    </row>
    <row r="88" spans="3:3" x14ac:dyDescent="0.2">
      <c r="C88" t="str">
        <f t="shared" si="1"/>
        <v/>
      </c>
    </row>
    <row r="89" spans="3:3" x14ac:dyDescent="0.2">
      <c r="C89" t="str">
        <f t="shared" si="1"/>
        <v/>
      </c>
    </row>
    <row r="90" spans="3:3" x14ac:dyDescent="0.2">
      <c r="C90" t="str">
        <f t="shared" si="1"/>
        <v/>
      </c>
    </row>
    <row r="91" spans="3:3" x14ac:dyDescent="0.2">
      <c r="C91" t="str">
        <f t="shared" si="1"/>
        <v/>
      </c>
    </row>
    <row r="92" spans="3:3" x14ac:dyDescent="0.2">
      <c r="C92" t="str">
        <f t="shared" si="1"/>
        <v/>
      </c>
    </row>
    <row r="93" spans="3:3" x14ac:dyDescent="0.2">
      <c r="C93" t="str">
        <f t="shared" si="1"/>
        <v/>
      </c>
    </row>
    <row r="94" spans="3:3" x14ac:dyDescent="0.2">
      <c r="C94" t="str">
        <f t="shared" si="1"/>
        <v/>
      </c>
    </row>
    <row r="95" spans="3:3" x14ac:dyDescent="0.2">
      <c r="C95" t="str">
        <f t="shared" si="1"/>
        <v/>
      </c>
    </row>
    <row r="96" spans="3:3" x14ac:dyDescent="0.2">
      <c r="C96" t="str">
        <f t="shared" si="1"/>
        <v/>
      </c>
    </row>
    <row r="97" spans="3:3" x14ac:dyDescent="0.2">
      <c r="C97" t="str">
        <f t="shared" si="1"/>
        <v/>
      </c>
    </row>
    <row r="98" spans="3:3" x14ac:dyDescent="0.2">
      <c r="C98" t="str">
        <f t="shared" si="1"/>
        <v/>
      </c>
    </row>
    <row r="99" spans="3:3" x14ac:dyDescent="0.2">
      <c r="C99" t="str">
        <f t="shared" si="1"/>
        <v/>
      </c>
    </row>
    <row r="100" spans="3:3" x14ac:dyDescent="0.2">
      <c r="C100" t="str">
        <f t="shared" si="1"/>
        <v/>
      </c>
    </row>
    <row r="101" spans="3:3" x14ac:dyDescent="0.2">
      <c r="C101" t="str">
        <f t="shared" si="1"/>
        <v/>
      </c>
    </row>
    <row r="102" spans="3:3" x14ac:dyDescent="0.2">
      <c r="C102" t="str">
        <f t="shared" si="1"/>
        <v/>
      </c>
    </row>
    <row r="103" spans="3:3" x14ac:dyDescent="0.2">
      <c r="C103" t="str">
        <f t="shared" si="1"/>
        <v/>
      </c>
    </row>
    <row r="104" spans="3:3" x14ac:dyDescent="0.2">
      <c r="C104" t="str">
        <f t="shared" si="1"/>
        <v/>
      </c>
    </row>
    <row r="105" spans="3:3" x14ac:dyDescent="0.2">
      <c r="C105" t="str">
        <f t="shared" si="1"/>
        <v/>
      </c>
    </row>
    <row r="106" spans="3:3" x14ac:dyDescent="0.2">
      <c r="C106" t="str">
        <f t="shared" si="1"/>
        <v/>
      </c>
    </row>
    <row r="107" spans="3:3" x14ac:dyDescent="0.2">
      <c r="C107" t="str">
        <f t="shared" si="1"/>
        <v/>
      </c>
    </row>
    <row r="108" spans="3:3" x14ac:dyDescent="0.2">
      <c r="C108" t="str">
        <f t="shared" si="1"/>
        <v/>
      </c>
    </row>
    <row r="109" spans="3:3" x14ac:dyDescent="0.2">
      <c r="C109" t="str">
        <f t="shared" si="1"/>
        <v/>
      </c>
    </row>
    <row r="110" spans="3:3" x14ac:dyDescent="0.2">
      <c r="C110" t="str">
        <f t="shared" si="1"/>
        <v/>
      </c>
    </row>
    <row r="111" spans="3:3" x14ac:dyDescent="0.2">
      <c r="C111" t="str">
        <f t="shared" si="1"/>
        <v/>
      </c>
    </row>
    <row r="112" spans="3:3" x14ac:dyDescent="0.2">
      <c r="C112" t="str">
        <f t="shared" si="1"/>
        <v/>
      </c>
    </row>
    <row r="113" spans="3:3" x14ac:dyDescent="0.2">
      <c r="C113" t="str">
        <f t="shared" si="1"/>
        <v/>
      </c>
    </row>
    <row r="114" spans="3:3" x14ac:dyDescent="0.2">
      <c r="C114" t="str">
        <f t="shared" si="1"/>
        <v/>
      </c>
    </row>
    <row r="115" spans="3:3" x14ac:dyDescent="0.2">
      <c r="C115" t="str">
        <f t="shared" si="1"/>
        <v/>
      </c>
    </row>
    <row r="116" spans="3:3" x14ac:dyDescent="0.2">
      <c r="C116" t="str">
        <f t="shared" si="1"/>
        <v/>
      </c>
    </row>
    <row r="117" spans="3:3" x14ac:dyDescent="0.2">
      <c r="C117" t="str">
        <f t="shared" si="1"/>
        <v/>
      </c>
    </row>
    <row r="118" spans="3:3" x14ac:dyDescent="0.2">
      <c r="C118" t="str">
        <f t="shared" si="1"/>
        <v/>
      </c>
    </row>
    <row r="119" spans="3:3" x14ac:dyDescent="0.2">
      <c r="C119" t="str">
        <f t="shared" si="1"/>
        <v/>
      </c>
    </row>
    <row r="120" spans="3:3" x14ac:dyDescent="0.2">
      <c r="C120" t="str">
        <f t="shared" si="1"/>
        <v/>
      </c>
    </row>
    <row r="121" spans="3:3" x14ac:dyDescent="0.2">
      <c r="C121" t="str">
        <f t="shared" si="1"/>
        <v/>
      </c>
    </row>
    <row r="122" spans="3:3" x14ac:dyDescent="0.2">
      <c r="C122" t="str">
        <f t="shared" si="1"/>
        <v/>
      </c>
    </row>
    <row r="123" spans="3:3" x14ac:dyDescent="0.2">
      <c r="C123" t="str">
        <f t="shared" si="1"/>
        <v/>
      </c>
    </row>
    <row r="124" spans="3:3" x14ac:dyDescent="0.2">
      <c r="C124" t="str">
        <f t="shared" si="1"/>
        <v/>
      </c>
    </row>
    <row r="125" spans="3:3" x14ac:dyDescent="0.2">
      <c r="C125" t="str">
        <f t="shared" si="1"/>
        <v/>
      </c>
    </row>
    <row r="126" spans="3:3" x14ac:dyDescent="0.2">
      <c r="C126" t="str">
        <f t="shared" si="1"/>
        <v/>
      </c>
    </row>
    <row r="127" spans="3:3" x14ac:dyDescent="0.2">
      <c r="C127" t="str">
        <f t="shared" si="1"/>
        <v/>
      </c>
    </row>
    <row r="128" spans="3:3" x14ac:dyDescent="0.2">
      <c r="C128" t="str">
        <f t="shared" si="1"/>
        <v/>
      </c>
    </row>
    <row r="129" spans="3:3" x14ac:dyDescent="0.2">
      <c r="C129" t="str">
        <f t="shared" si="1"/>
        <v/>
      </c>
    </row>
    <row r="130" spans="3:3" x14ac:dyDescent="0.2">
      <c r="C130" t="str">
        <f t="shared" si="1"/>
        <v/>
      </c>
    </row>
    <row r="131" spans="3:3" x14ac:dyDescent="0.2">
      <c r="C131" t="str">
        <f t="shared" si="1"/>
        <v/>
      </c>
    </row>
    <row r="132" spans="3:3" x14ac:dyDescent="0.2">
      <c r="C132" t="str">
        <f t="shared" si="1"/>
        <v/>
      </c>
    </row>
    <row r="133" spans="3:3" x14ac:dyDescent="0.2">
      <c r="C133" t="str">
        <f t="shared" si="1"/>
        <v/>
      </c>
    </row>
    <row r="134" spans="3:3" x14ac:dyDescent="0.2">
      <c r="C134" t="str">
        <f t="shared" ref="C134:C197" si="2">SUBSTITUTE(E134, "xx", B134)</f>
        <v/>
      </c>
    </row>
    <row r="135" spans="3:3" x14ac:dyDescent="0.2">
      <c r="C135" t="str">
        <f t="shared" si="2"/>
        <v/>
      </c>
    </row>
    <row r="136" spans="3:3" x14ac:dyDescent="0.2">
      <c r="C136" t="str">
        <f t="shared" si="2"/>
        <v/>
      </c>
    </row>
    <row r="137" spans="3:3" x14ac:dyDescent="0.2">
      <c r="C137" t="str">
        <f t="shared" si="2"/>
        <v/>
      </c>
    </row>
    <row r="138" spans="3:3" x14ac:dyDescent="0.2">
      <c r="C138" t="str">
        <f t="shared" si="2"/>
        <v/>
      </c>
    </row>
    <row r="139" spans="3:3" x14ac:dyDescent="0.2">
      <c r="C139" t="str">
        <f t="shared" si="2"/>
        <v/>
      </c>
    </row>
    <row r="140" spans="3:3" x14ac:dyDescent="0.2">
      <c r="C140" t="str">
        <f t="shared" si="2"/>
        <v/>
      </c>
    </row>
    <row r="141" spans="3:3" x14ac:dyDescent="0.2">
      <c r="C141" t="str">
        <f t="shared" si="2"/>
        <v/>
      </c>
    </row>
    <row r="142" spans="3:3" x14ac:dyDescent="0.2">
      <c r="C142" t="str">
        <f t="shared" si="2"/>
        <v/>
      </c>
    </row>
    <row r="143" spans="3:3" x14ac:dyDescent="0.2">
      <c r="C143" t="str">
        <f t="shared" si="2"/>
        <v/>
      </c>
    </row>
    <row r="144" spans="3:3" x14ac:dyDescent="0.2">
      <c r="C144" t="str">
        <f t="shared" si="2"/>
        <v/>
      </c>
    </row>
    <row r="145" spans="3:3" x14ac:dyDescent="0.2">
      <c r="C145" t="str">
        <f t="shared" si="2"/>
        <v/>
      </c>
    </row>
    <row r="146" spans="3:3" x14ac:dyDescent="0.2">
      <c r="C146" t="str">
        <f t="shared" si="2"/>
        <v/>
      </c>
    </row>
    <row r="147" spans="3:3" x14ac:dyDescent="0.2">
      <c r="C147" t="str">
        <f t="shared" si="2"/>
        <v/>
      </c>
    </row>
    <row r="148" spans="3:3" x14ac:dyDescent="0.2">
      <c r="C148" t="str">
        <f t="shared" si="2"/>
        <v/>
      </c>
    </row>
    <row r="149" spans="3:3" x14ac:dyDescent="0.2">
      <c r="C149" t="str">
        <f t="shared" si="2"/>
        <v/>
      </c>
    </row>
    <row r="150" spans="3:3" x14ac:dyDescent="0.2">
      <c r="C150" t="str">
        <f t="shared" si="2"/>
        <v/>
      </c>
    </row>
    <row r="151" spans="3:3" x14ac:dyDescent="0.2">
      <c r="C151" t="str">
        <f t="shared" si="2"/>
        <v/>
      </c>
    </row>
    <row r="152" spans="3:3" x14ac:dyDescent="0.2">
      <c r="C152" t="str">
        <f t="shared" si="2"/>
        <v/>
      </c>
    </row>
    <row r="153" spans="3:3" x14ac:dyDescent="0.2">
      <c r="C153" t="str">
        <f t="shared" si="2"/>
        <v/>
      </c>
    </row>
    <row r="154" spans="3:3" x14ac:dyDescent="0.2">
      <c r="C154" t="str">
        <f t="shared" si="2"/>
        <v/>
      </c>
    </row>
    <row r="155" spans="3:3" x14ac:dyDescent="0.2">
      <c r="C155" t="str">
        <f t="shared" si="2"/>
        <v/>
      </c>
    </row>
    <row r="156" spans="3:3" x14ac:dyDescent="0.2">
      <c r="C156" t="str">
        <f t="shared" si="2"/>
        <v/>
      </c>
    </row>
    <row r="157" spans="3:3" x14ac:dyDescent="0.2">
      <c r="C157" t="str">
        <f t="shared" si="2"/>
        <v/>
      </c>
    </row>
    <row r="158" spans="3:3" x14ac:dyDescent="0.2">
      <c r="C158" t="str">
        <f t="shared" si="2"/>
        <v/>
      </c>
    </row>
    <row r="159" spans="3:3" x14ac:dyDescent="0.2">
      <c r="C159" t="str">
        <f t="shared" si="2"/>
        <v/>
      </c>
    </row>
    <row r="160" spans="3:3" x14ac:dyDescent="0.2">
      <c r="C160" t="str">
        <f t="shared" si="2"/>
        <v/>
      </c>
    </row>
    <row r="161" spans="3:3" x14ac:dyDescent="0.2">
      <c r="C161" t="str">
        <f t="shared" si="2"/>
        <v/>
      </c>
    </row>
    <row r="162" spans="3:3" x14ac:dyDescent="0.2">
      <c r="C162" t="str">
        <f t="shared" si="2"/>
        <v/>
      </c>
    </row>
    <row r="163" spans="3:3" x14ac:dyDescent="0.2">
      <c r="C163" t="str">
        <f t="shared" si="2"/>
        <v/>
      </c>
    </row>
    <row r="164" spans="3:3" x14ac:dyDescent="0.2">
      <c r="C164" t="str">
        <f t="shared" si="2"/>
        <v/>
      </c>
    </row>
    <row r="165" spans="3:3" x14ac:dyDescent="0.2">
      <c r="C165" t="str">
        <f t="shared" si="2"/>
        <v/>
      </c>
    </row>
    <row r="166" spans="3:3" x14ac:dyDescent="0.2">
      <c r="C166" t="str">
        <f t="shared" si="2"/>
        <v/>
      </c>
    </row>
    <row r="167" spans="3:3" x14ac:dyDescent="0.2">
      <c r="C167" t="str">
        <f t="shared" si="2"/>
        <v/>
      </c>
    </row>
    <row r="168" spans="3:3" x14ac:dyDescent="0.2">
      <c r="C168" t="str">
        <f t="shared" si="2"/>
        <v/>
      </c>
    </row>
    <row r="169" spans="3:3" x14ac:dyDescent="0.2">
      <c r="C169" t="str">
        <f t="shared" si="2"/>
        <v/>
      </c>
    </row>
    <row r="170" spans="3:3" x14ac:dyDescent="0.2">
      <c r="C170" t="str">
        <f t="shared" si="2"/>
        <v/>
      </c>
    </row>
    <row r="171" spans="3:3" x14ac:dyDescent="0.2">
      <c r="C171" t="str">
        <f t="shared" si="2"/>
        <v/>
      </c>
    </row>
    <row r="172" spans="3:3" x14ac:dyDescent="0.2">
      <c r="C172" t="str">
        <f t="shared" si="2"/>
        <v/>
      </c>
    </row>
    <row r="173" spans="3:3" x14ac:dyDescent="0.2">
      <c r="C173" t="str">
        <f t="shared" si="2"/>
        <v/>
      </c>
    </row>
    <row r="174" spans="3:3" x14ac:dyDescent="0.2">
      <c r="C174" t="str">
        <f t="shared" si="2"/>
        <v/>
      </c>
    </row>
    <row r="175" spans="3:3" x14ac:dyDescent="0.2">
      <c r="C175" t="str">
        <f t="shared" si="2"/>
        <v/>
      </c>
    </row>
    <row r="176" spans="3:3" x14ac:dyDescent="0.2">
      <c r="C176" t="str">
        <f t="shared" si="2"/>
        <v/>
      </c>
    </row>
    <row r="177" spans="3:3" x14ac:dyDescent="0.2">
      <c r="C177" t="str">
        <f t="shared" si="2"/>
        <v/>
      </c>
    </row>
    <row r="178" spans="3:3" x14ac:dyDescent="0.2">
      <c r="C178" t="str">
        <f t="shared" si="2"/>
        <v/>
      </c>
    </row>
    <row r="179" spans="3:3" x14ac:dyDescent="0.2">
      <c r="C179" t="str">
        <f t="shared" si="2"/>
        <v/>
      </c>
    </row>
    <row r="180" spans="3:3" x14ac:dyDescent="0.2">
      <c r="C180" t="str">
        <f t="shared" si="2"/>
        <v/>
      </c>
    </row>
    <row r="181" spans="3:3" x14ac:dyDescent="0.2">
      <c r="C181" t="str">
        <f t="shared" si="2"/>
        <v/>
      </c>
    </row>
    <row r="182" spans="3:3" x14ac:dyDescent="0.2">
      <c r="C182" t="str">
        <f t="shared" si="2"/>
        <v/>
      </c>
    </row>
    <row r="183" spans="3:3" x14ac:dyDescent="0.2">
      <c r="C183" t="str">
        <f t="shared" si="2"/>
        <v/>
      </c>
    </row>
    <row r="184" spans="3:3" x14ac:dyDescent="0.2">
      <c r="C184" t="str">
        <f t="shared" si="2"/>
        <v/>
      </c>
    </row>
    <row r="185" spans="3:3" x14ac:dyDescent="0.2">
      <c r="C185" t="str">
        <f t="shared" si="2"/>
        <v/>
      </c>
    </row>
    <row r="186" spans="3:3" x14ac:dyDescent="0.2">
      <c r="C186" t="str">
        <f t="shared" si="2"/>
        <v/>
      </c>
    </row>
    <row r="187" spans="3:3" x14ac:dyDescent="0.2">
      <c r="C187" t="str">
        <f t="shared" si="2"/>
        <v/>
      </c>
    </row>
    <row r="188" spans="3:3" x14ac:dyDescent="0.2">
      <c r="C188" t="str">
        <f t="shared" si="2"/>
        <v/>
      </c>
    </row>
    <row r="189" spans="3:3" x14ac:dyDescent="0.2">
      <c r="C189" t="str">
        <f t="shared" si="2"/>
        <v/>
      </c>
    </row>
    <row r="190" spans="3:3" x14ac:dyDescent="0.2">
      <c r="C190" t="str">
        <f t="shared" si="2"/>
        <v/>
      </c>
    </row>
    <row r="191" spans="3:3" x14ac:dyDescent="0.2">
      <c r="C191" t="str">
        <f t="shared" si="2"/>
        <v/>
      </c>
    </row>
    <row r="192" spans="3:3" x14ac:dyDescent="0.2">
      <c r="C192" t="str">
        <f t="shared" si="2"/>
        <v/>
      </c>
    </row>
    <row r="193" spans="3:3" x14ac:dyDescent="0.2">
      <c r="C193" t="str">
        <f t="shared" si="2"/>
        <v/>
      </c>
    </row>
    <row r="194" spans="3:3" x14ac:dyDescent="0.2">
      <c r="C194" t="str">
        <f t="shared" si="2"/>
        <v/>
      </c>
    </row>
    <row r="195" spans="3:3" x14ac:dyDescent="0.2">
      <c r="C195" t="str">
        <f t="shared" si="2"/>
        <v/>
      </c>
    </row>
    <row r="196" spans="3:3" x14ac:dyDescent="0.2">
      <c r="C196" t="str">
        <f t="shared" si="2"/>
        <v/>
      </c>
    </row>
    <row r="197" spans="3:3" x14ac:dyDescent="0.2">
      <c r="C197" t="str">
        <f t="shared" si="2"/>
        <v/>
      </c>
    </row>
    <row r="198" spans="3:3" x14ac:dyDescent="0.2">
      <c r="C198" t="str">
        <f t="shared" ref="C198:C261" si="3">SUBSTITUTE(E198, "xx", B198)</f>
        <v/>
      </c>
    </row>
    <row r="199" spans="3:3" x14ac:dyDescent="0.2">
      <c r="C199" t="str">
        <f t="shared" si="3"/>
        <v/>
      </c>
    </row>
    <row r="200" spans="3:3" x14ac:dyDescent="0.2">
      <c r="C200" t="str">
        <f t="shared" si="3"/>
        <v/>
      </c>
    </row>
    <row r="201" spans="3:3" x14ac:dyDescent="0.2">
      <c r="C201" t="str">
        <f t="shared" si="3"/>
        <v/>
      </c>
    </row>
    <row r="202" spans="3:3" x14ac:dyDescent="0.2">
      <c r="C202" t="str">
        <f t="shared" si="3"/>
        <v/>
      </c>
    </row>
    <row r="203" spans="3:3" x14ac:dyDescent="0.2">
      <c r="C203" t="str">
        <f t="shared" si="3"/>
        <v/>
      </c>
    </row>
    <row r="204" spans="3:3" x14ac:dyDescent="0.2">
      <c r="C204" t="str">
        <f t="shared" si="3"/>
        <v/>
      </c>
    </row>
    <row r="205" spans="3:3" x14ac:dyDescent="0.2">
      <c r="C205" t="str">
        <f t="shared" si="3"/>
        <v/>
      </c>
    </row>
    <row r="206" spans="3:3" x14ac:dyDescent="0.2">
      <c r="C206" t="str">
        <f t="shared" si="3"/>
        <v/>
      </c>
    </row>
    <row r="207" spans="3:3" x14ac:dyDescent="0.2">
      <c r="C207" t="str">
        <f t="shared" si="3"/>
        <v/>
      </c>
    </row>
    <row r="208" spans="3:3" x14ac:dyDescent="0.2">
      <c r="C208" t="str">
        <f t="shared" si="3"/>
        <v/>
      </c>
    </row>
    <row r="209" spans="3:3" x14ac:dyDescent="0.2">
      <c r="C209" t="str">
        <f t="shared" si="3"/>
        <v/>
      </c>
    </row>
    <row r="210" spans="3:3" x14ac:dyDescent="0.2">
      <c r="C210" t="str">
        <f t="shared" si="3"/>
        <v/>
      </c>
    </row>
    <row r="211" spans="3:3" x14ac:dyDescent="0.2">
      <c r="C211" t="str">
        <f t="shared" si="3"/>
        <v/>
      </c>
    </row>
    <row r="212" spans="3:3" x14ac:dyDescent="0.2">
      <c r="C212" t="str">
        <f t="shared" si="3"/>
        <v/>
      </c>
    </row>
    <row r="213" spans="3:3" x14ac:dyDescent="0.2">
      <c r="C213" t="str">
        <f t="shared" si="3"/>
        <v/>
      </c>
    </row>
    <row r="214" spans="3:3" x14ac:dyDescent="0.2">
      <c r="C214" t="str">
        <f t="shared" si="3"/>
        <v/>
      </c>
    </row>
    <row r="215" spans="3:3" x14ac:dyDescent="0.2">
      <c r="C215" t="str">
        <f t="shared" si="3"/>
        <v/>
      </c>
    </row>
    <row r="216" spans="3:3" x14ac:dyDescent="0.2">
      <c r="C216" t="str">
        <f t="shared" si="3"/>
        <v/>
      </c>
    </row>
    <row r="217" spans="3:3" x14ac:dyDescent="0.2">
      <c r="C217" t="str">
        <f t="shared" si="3"/>
        <v/>
      </c>
    </row>
    <row r="218" spans="3:3" x14ac:dyDescent="0.2">
      <c r="C218" t="str">
        <f t="shared" si="3"/>
        <v/>
      </c>
    </row>
    <row r="219" spans="3:3" x14ac:dyDescent="0.2">
      <c r="C219" t="str">
        <f t="shared" si="3"/>
        <v/>
      </c>
    </row>
    <row r="220" spans="3:3" x14ac:dyDescent="0.2">
      <c r="C220" t="str">
        <f t="shared" si="3"/>
        <v/>
      </c>
    </row>
    <row r="221" spans="3:3" x14ac:dyDescent="0.2">
      <c r="C221" t="str">
        <f t="shared" si="3"/>
        <v/>
      </c>
    </row>
    <row r="222" spans="3:3" x14ac:dyDescent="0.2">
      <c r="C222" t="str">
        <f t="shared" si="3"/>
        <v/>
      </c>
    </row>
    <row r="223" spans="3:3" x14ac:dyDescent="0.2">
      <c r="C223" t="str">
        <f t="shared" si="3"/>
        <v/>
      </c>
    </row>
    <row r="224" spans="3:3" x14ac:dyDescent="0.2">
      <c r="C224" t="str">
        <f t="shared" si="3"/>
        <v/>
      </c>
    </row>
    <row r="225" spans="3:3" x14ac:dyDescent="0.2">
      <c r="C225" t="str">
        <f t="shared" si="3"/>
        <v/>
      </c>
    </row>
    <row r="226" spans="3:3" x14ac:dyDescent="0.2">
      <c r="C226" t="str">
        <f t="shared" si="3"/>
        <v/>
      </c>
    </row>
    <row r="227" spans="3:3" x14ac:dyDescent="0.2">
      <c r="C227" t="str">
        <f t="shared" si="3"/>
        <v/>
      </c>
    </row>
    <row r="228" spans="3:3" x14ac:dyDescent="0.2">
      <c r="C228" t="str">
        <f t="shared" si="3"/>
        <v/>
      </c>
    </row>
    <row r="229" spans="3:3" x14ac:dyDescent="0.2">
      <c r="C229" t="str">
        <f t="shared" si="3"/>
        <v/>
      </c>
    </row>
    <row r="230" spans="3:3" x14ac:dyDescent="0.2">
      <c r="C230" t="str">
        <f t="shared" si="3"/>
        <v/>
      </c>
    </row>
    <row r="231" spans="3:3" x14ac:dyDescent="0.2">
      <c r="C231" t="str">
        <f t="shared" si="3"/>
        <v/>
      </c>
    </row>
    <row r="232" spans="3:3" x14ac:dyDescent="0.2">
      <c r="C232" t="str">
        <f t="shared" si="3"/>
        <v/>
      </c>
    </row>
    <row r="233" spans="3:3" x14ac:dyDescent="0.2">
      <c r="C233" t="str">
        <f t="shared" si="3"/>
        <v/>
      </c>
    </row>
    <row r="234" spans="3:3" x14ac:dyDescent="0.2">
      <c r="C234" t="str">
        <f t="shared" si="3"/>
        <v/>
      </c>
    </row>
    <row r="235" spans="3:3" x14ac:dyDescent="0.2">
      <c r="C235" t="str">
        <f t="shared" si="3"/>
        <v/>
      </c>
    </row>
    <row r="236" spans="3:3" x14ac:dyDescent="0.2">
      <c r="C236" t="str">
        <f t="shared" si="3"/>
        <v/>
      </c>
    </row>
    <row r="237" spans="3:3" x14ac:dyDescent="0.2">
      <c r="C237" t="str">
        <f t="shared" si="3"/>
        <v/>
      </c>
    </row>
    <row r="238" spans="3:3" x14ac:dyDescent="0.2">
      <c r="C238" t="str">
        <f t="shared" si="3"/>
        <v/>
      </c>
    </row>
    <row r="239" spans="3:3" x14ac:dyDescent="0.2">
      <c r="C239" t="str">
        <f t="shared" si="3"/>
        <v/>
      </c>
    </row>
    <row r="240" spans="3:3" x14ac:dyDescent="0.2">
      <c r="C240" t="str">
        <f t="shared" si="3"/>
        <v/>
      </c>
    </row>
    <row r="241" spans="3:3" x14ac:dyDescent="0.2">
      <c r="C241" t="str">
        <f t="shared" si="3"/>
        <v/>
      </c>
    </row>
    <row r="242" spans="3:3" x14ac:dyDescent="0.2">
      <c r="C242" t="str">
        <f t="shared" si="3"/>
        <v/>
      </c>
    </row>
    <row r="243" spans="3:3" x14ac:dyDescent="0.2">
      <c r="C243" t="str">
        <f t="shared" si="3"/>
        <v/>
      </c>
    </row>
    <row r="244" spans="3:3" x14ac:dyDescent="0.2">
      <c r="C244" t="str">
        <f t="shared" si="3"/>
        <v/>
      </c>
    </row>
    <row r="245" spans="3:3" x14ac:dyDescent="0.2">
      <c r="C245" t="str">
        <f t="shared" si="3"/>
        <v/>
      </c>
    </row>
    <row r="246" spans="3:3" x14ac:dyDescent="0.2">
      <c r="C246" t="str">
        <f t="shared" si="3"/>
        <v/>
      </c>
    </row>
    <row r="247" spans="3:3" x14ac:dyDescent="0.2">
      <c r="C247" t="str">
        <f t="shared" si="3"/>
        <v/>
      </c>
    </row>
    <row r="248" spans="3:3" x14ac:dyDescent="0.2">
      <c r="C248" t="str">
        <f t="shared" si="3"/>
        <v/>
      </c>
    </row>
    <row r="249" spans="3:3" x14ac:dyDescent="0.2">
      <c r="C249" t="str">
        <f t="shared" si="3"/>
        <v/>
      </c>
    </row>
    <row r="250" spans="3:3" x14ac:dyDescent="0.2">
      <c r="C250" t="str">
        <f t="shared" si="3"/>
        <v/>
      </c>
    </row>
    <row r="251" spans="3:3" x14ac:dyDescent="0.2">
      <c r="C251" t="str">
        <f t="shared" si="3"/>
        <v/>
      </c>
    </row>
    <row r="252" spans="3:3" x14ac:dyDescent="0.2">
      <c r="C252" t="str">
        <f t="shared" si="3"/>
        <v/>
      </c>
    </row>
    <row r="253" spans="3:3" x14ac:dyDescent="0.2">
      <c r="C253" t="str">
        <f t="shared" si="3"/>
        <v/>
      </c>
    </row>
    <row r="254" spans="3:3" x14ac:dyDescent="0.2">
      <c r="C254" t="str">
        <f t="shared" si="3"/>
        <v/>
      </c>
    </row>
    <row r="255" spans="3:3" x14ac:dyDescent="0.2">
      <c r="C255" t="str">
        <f t="shared" si="3"/>
        <v/>
      </c>
    </row>
    <row r="256" spans="3:3" x14ac:dyDescent="0.2">
      <c r="C256" t="str">
        <f t="shared" si="3"/>
        <v/>
      </c>
    </row>
    <row r="257" spans="3:3" x14ac:dyDescent="0.2">
      <c r="C257" t="str">
        <f t="shared" si="3"/>
        <v/>
      </c>
    </row>
    <row r="258" spans="3:3" x14ac:dyDescent="0.2">
      <c r="C258" t="str">
        <f t="shared" si="3"/>
        <v/>
      </c>
    </row>
    <row r="259" spans="3:3" x14ac:dyDescent="0.2">
      <c r="C259" t="str">
        <f t="shared" si="3"/>
        <v/>
      </c>
    </row>
    <row r="260" spans="3:3" x14ac:dyDescent="0.2">
      <c r="C260" t="str">
        <f t="shared" si="3"/>
        <v/>
      </c>
    </row>
    <row r="261" spans="3:3" x14ac:dyDescent="0.2">
      <c r="C261" t="str">
        <f t="shared" si="3"/>
        <v/>
      </c>
    </row>
    <row r="262" spans="3:3" x14ac:dyDescent="0.2">
      <c r="C262" t="str">
        <f t="shared" ref="C262:C325" si="4">SUBSTITUTE(E262, "xx", B262)</f>
        <v/>
      </c>
    </row>
    <row r="263" spans="3:3" x14ac:dyDescent="0.2">
      <c r="C263" t="str">
        <f t="shared" si="4"/>
        <v/>
      </c>
    </row>
    <row r="264" spans="3:3" x14ac:dyDescent="0.2">
      <c r="C264" t="str">
        <f t="shared" si="4"/>
        <v/>
      </c>
    </row>
    <row r="265" spans="3:3" x14ac:dyDescent="0.2">
      <c r="C265" t="str">
        <f t="shared" si="4"/>
        <v/>
      </c>
    </row>
    <row r="266" spans="3:3" x14ac:dyDescent="0.2">
      <c r="C266" t="str">
        <f t="shared" si="4"/>
        <v/>
      </c>
    </row>
    <row r="267" spans="3:3" x14ac:dyDescent="0.2">
      <c r="C267" t="str">
        <f t="shared" si="4"/>
        <v/>
      </c>
    </row>
    <row r="268" spans="3:3" x14ac:dyDescent="0.2">
      <c r="C268" t="str">
        <f t="shared" si="4"/>
        <v/>
      </c>
    </row>
    <row r="269" spans="3:3" x14ac:dyDescent="0.2">
      <c r="C269" t="str">
        <f t="shared" si="4"/>
        <v/>
      </c>
    </row>
    <row r="270" spans="3:3" x14ac:dyDescent="0.2">
      <c r="C270" t="str">
        <f t="shared" si="4"/>
        <v/>
      </c>
    </row>
    <row r="271" spans="3:3" x14ac:dyDescent="0.2">
      <c r="C271" t="str">
        <f t="shared" si="4"/>
        <v/>
      </c>
    </row>
    <row r="272" spans="3:3" x14ac:dyDescent="0.2">
      <c r="C272" t="str">
        <f t="shared" si="4"/>
        <v/>
      </c>
    </row>
    <row r="273" spans="3:3" x14ac:dyDescent="0.2">
      <c r="C273" t="str">
        <f t="shared" si="4"/>
        <v/>
      </c>
    </row>
    <row r="274" spans="3:3" x14ac:dyDescent="0.2">
      <c r="C274" t="str">
        <f t="shared" si="4"/>
        <v/>
      </c>
    </row>
    <row r="275" spans="3:3" x14ac:dyDescent="0.2">
      <c r="C275" t="str">
        <f t="shared" si="4"/>
        <v/>
      </c>
    </row>
    <row r="276" spans="3:3" x14ac:dyDescent="0.2">
      <c r="C276" t="str">
        <f t="shared" si="4"/>
        <v/>
      </c>
    </row>
    <row r="277" spans="3:3" x14ac:dyDescent="0.2">
      <c r="C277" t="str">
        <f t="shared" si="4"/>
        <v/>
      </c>
    </row>
    <row r="278" spans="3:3" x14ac:dyDescent="0.2">
      <c r="C278" t="str">
        <f t="shared" si="4"/>
        <v/>
      </c>
    </row>
    <row r="279" spans="3:3" x14ac:dyDescent="0.2">
      <c r="C279" t="str">
        <f t="shared" si="4"/>
        <v/>
      </c>
    </row>
    <row r="280" spans="3:3" x14ac:dyDescent="0.2">
      <c r="C280" t="str">
        <f t="shared" si="4"/>
        <v/>
      </c>
    </row>
    <row r="281" spans="3:3" x14ac:dyDescent="0.2">
      <c r="C281" t="str">
        <f t="shared" si="4"/>
        <v/>
      </c>
    </row>
    <row r="282" spans="3:3" x14ac:dyDescent="0.2">
      <c r="C282" t="str">
        <f t="shared" si="4"/>
        <v/>
      </c>
    </row>
    <row r="283" spans="3:3" x14ac:dyDescent="0.2">
      <c r="C283" t="str">
        <f t="shared" si="4"/>
        <v/>
      </c>
    </row>
    <row r="284" spans="3:3" x14ac:dyDescent="0.2">
      <c r="C284" t="str">
        <f t="shared" si="4"/>
        <v/>
      </c>
    </row>
    <row r="285" spans="3:3" x14ac:dyDescent="0.2">
      <c r="C285" t="str">
        <f t="shared" si="4"/>
        <v/>
      </c>
    </row>
    <row r="286" spans="3:3" x14ac:dyDescent="0.2">
      <c r="C286" t="str">
        <f t="shared" si="4"/>
        <v/>
      </c>
    </row>
    <row r="287" spans="3:3" x14ac:dyDescent="0.2">
      <c r="C287" t="str">
        <f t="shared" si="4"/>
        <v/>
      </c>
    </row>
    <row r="288" spans="3:3" x14ac:dyDescent="0.2">
      <c r="C288" t="str">
        <f t="shared" si="4"/>
        <v/>
      </c>
    </row>
    <row r="289" spans="3:3" x14ac:dyDescent="0.2">
      <c r="C289" t="str">
        <f t="shared" si="4"/>
        <v/>
      </c>
    </row>
    <row r="290" spans="3:3" x14ac:dyDescent="0.2">
      <c r="C290" t="str">
        <f t="shared" si="4"/>
        <v/>
      </c>
    </row>
    <row r="291" spans="3:3" x14ac:dyDescent="0.2">
      <c r="C291" t="str">
        <f t="shared" si="4"/>
        <v/>
      </c>
    </row>
    <row r="292" spans="3:3" x14ac:dyDescent="0.2">
      <c r="C292" t="str">
        <f t="shared" si="4"/>
        <v/>
      </c>
    </row>
    <row r="293" spans="3:3" x14ac:dyDescent="0.2">
      <c r="C293" t="str">
        <f t="shared" si="4"/>
        <v/>
      </c>
    </row>
    <row r="294" spans="3:3" x14ac:dyDescent="0.2">
      <c r="C294" t="str">
        <f t="shared" si="4"/>
        <v/>
      </c>
    </row>
    <row r="295" spans="3:3" x14ac:dyDescent="0.2">
      <c r="C295" t="str">
        <f t="shared" si="4"/>
        <v/>
      </c>
    </row>
    <row r="296" spans="3:3" x14ac:dyDescent="0.2">
      <c r="C296" t="str">
        <f t="shared" si="4"/>
        <v/>
      </c>
    </row>
    <row r="297" spans="3:3" x14ac:dyDescent="0.2">
      <c r="C297" t="str">
        <f t="shared" si="4"/>
        <v/>
      </c>
    </row>
    <row r="298" spans="3:3" x14ac:dyDescent="0.2">
      <c r="C298" t="str">
        <f t="shared" si="4"/>
        <v/>
      </c>
    </row>
    <row r="299" spans="3:3" x14ac:dyDescent="0.2">
      <c r="C299" t="str">
        <f t="shared" si="4"/>
        <v/>
      </c>
    </row>
    <row r="300" spans="3:3" x14ac:dyDescent="0.2">
      <c r="C300" t="str">
        <f t="shared" si="4"/>
        <v/>
      </c>
    </row>
    <row r="301" spans="3:3" x14ac:dyDescent="0.2">
      <c r="C301" t="str">
        <f t="shared" si="4"/>
        <v/>
      </c>
    </row>
    <row r="302" spans="3:3" x14ac:dyDescent="0.2">
      <c r="C302" t="str">
        <f t="shared" si="4"/>
        <v/>
      </c>
    </row>
    <row r="303" spans="3:3" x14ac:dyDescent="0.2">
      <c r="C303" t="str">
        <f t="shared" si="4"/>
        <v/>
      </c>
    </row>
    <row r="304" spans="3:3" x14ac:dyDescent="0.2">
      <c r="C304" t="str">
        <f t="shared" si="4"/>
        <v/>
      </c>
    </row>
    <row r="305" spans="3:3" x14ac:dyDescent="0.2">
      <c r="C305" t="str">
        <f t="shared" si="4"/>
        <v/>
      </c>
    </row>
    <row r="306" spans="3:3" x14ac:dyDescent="0.2">
      <c r="C306" t="str">
        <f t="shared" si="4"/>
        <v/>
      </c>
    </row>
    <row r="307" spans="3:3" x14ac:dyDescent="0.2">
      <c r="C307" t="str">
        <f t="shared" si="4"/>
        <v/>
      </c>
    </row>
    <row r="308" spans="3:3" x14ac:dyDescent="0.2">
      <c r="C308" t="str">
        <f t="shared" si="4"/>
        <v/>
      </c>
    </row>
    <row r="309" spans="3:3" x14ac:dyDescent="0.2">
      <c r="C309" t="str">
        <f t="shared" si="4"/>
        <v/>
      </c>
    </row>
    <row r="310" spans="3:3" x14ac:dyDescent="0.2">
      <c r="C310" t="str">
        <f t="shared" si="4"/>
        <v/>
      </c>
    </row>
    <row r="311" spans="3:3" x14ac:dyDescent="0.2">
      <c r="C311" t="str">
        <f t="shared" si="4"/>
        <v/>
      </c>
    </row>
    <row r="312" spans="3:3" x14ac:dyDescent="0.2">
      <c r="C312" t="str">
        <f t="shared" si="4"/>
        <v/>
      </c>
    </row>
    <row r="313" spans="3:3" x14ac:dyDescent="0.2">
      <c r="C313" t="str">
        <f t="shared" si="4"/>
        <v/>
      </c>
    </row>
    <row r="314" spans="3:3" x14ac:dyDescent="0.2">
      <c r="C314" t="str">
        <f t="shared" si="4"/>
        <v/>
      </c>
    </row>
    <row r="315" spans="3:3" x14ac:dyDescent="0.2">
      <c r="C315" t="str">
        <f t="shared" si="4"/>
        <v/>
      </c>
    </row>
    <row r="316" spans="3:3" x14ac:dyDescent="0.2">
      <c r="C316" t="str">
        <f t="shared" si="4"/>
        <v/>
      </c>
    </row>
    <row r="317" spans="3:3" x14ac:dyDescent="0.2">
      <c r="C317" t="str">
        <f t="shared" si="4"/>
        <v/>
      </c>
    </row>
    <row r="318" spans="3:3" x14ac:dyDescent="0.2">
      <c r="C318" t="str">
        <f t="shared" si="4"/>
        <v/>
      </c>
    </row>
    <row r="319" spans="3:3" x14ac:dyDescent="0.2">
      <c r="C319" t="str">
        <f t="shared" si="4"/>
        <v/>
      </c>
    </row>
    <row r="320" spans="3:3" x14ac:dyDescent="0.2">
      <c r="C320" t="str">
        <f t="shared" si="4"/>
        <v/>
      </c>
    </row>
    <row r="321" spans="3:3" x14ac:dyDescent="0.2">
      <c r="C321" t="str">
        <f t="shared" si="4"/>
        <v/>
      </c>
    </row>
    <row r="322" spans="3:3" x14ac:dyDescent="0.2">
      <c r="C322" t="str">
        <f t="shared" si="4"/>
        <v/>
      </c>
    </row>
    <row r="323" spans="3:3" x14ac:dyDescent="0.2">
      <c r="C323" t="str">
        <f t="shared" si="4"/>
        <v/>
      </c>
    </row>
    <row r="324" spans="3:3" x14ac:dyDescent="0.2">
      <c r="C324" t="str">
        <f t="shared" si="4"/>
        <v/>
      </c>
    </row>
    <row r="325" spans="3:3" x14ac:dyDescent="0.2">
      <c r="C325" t="str">
        <f t="shared" si="4"/>
        <v/>
      </c>
    </row>
    <row r="326" spans="3:3" x14ac:dyDescent="0.2">
      <c r="C326" t="str">
        <f t="shared" ref="C326:C389" si="5">SUBSTITUTE(E326, "xx", B326)</f>
        <v/>
      </c>
    </row>
    <row r="327" spans="3:3" x14ac:dyDescent="0.2">
      <c r="C327" t="str">
        <f t="shared" si="5"/>
        <v/>
      </c>
    </row>
    <row r="328" spans="3:3" x14ac:dyDescent="0.2">
      <c r="C328" t="str">
        <f t="shared" si="5"/>
        <v/>
      </c>
    </row>
    <row r="329" spans="3:3" x14ac:dyDescent="0.2">
      <c r="C329" t="str">
        <f t="shared" si="5"/>
        <v/>
      </c>
    </row>
    <row r="330" spans="3:3" x14ac:dyDescent="0.2">
      <c r="C330" t="str">
        <f t="shared" si="5"/>
        <v/>
      </c>
    </row>
    <row r="331" spans="3:3" x14ac:dyDescent="0.2">
      <c r="C331" t="str">
        <f t="shared" si="5"/>
        <v/>
      </c>
    </row>
    <row r="332" spans="3:3" x14ac:dyDescent="0.2">
      <c r="C332" t="str">
        <f t="shared" si="5"/>
        <v/>
      </c>
    </row>
    <row r="333" spans="3:3" x14ac:dyDescent="0.2">
      <c r="C333" t="str">
        <f t="shared" si="5"/>
        <v/>
      </c>
    </row>
    <row r="334" spans="3:3" x14ac:dyDescent="0.2">
      <c r="C334" t="str">
        <f t="shared" si="5"/>
        <v/>
      </c>
    </row>
    <row r="335" spans="3:3" x14ac:dyDescent="0.2">
      <c r="C335" t="str">
        <f t="shared" si="5"/>
        <v/>
      </c>
    </row>
    <row r="336" spans="3:3" x14ac:dyDescent="0.2">
      <c r="C336" t="str">
        <f t="shared" si="5"/>
        <v/>
      </c>
    </row>
    <row r="337" spans="3:3" x14ac:dyDescent="0.2">
      <c r="C337" t="str">
        <f t="shared" si="5"/>
        <v/>
      </c>
    </row>
    <row r="338" spans="3:3" x14ac:dyDescent="0.2">
      <c r="C338" t="str">
        <f t="shared" si="5"/>
        <v/>
      </c>
    </row>
    <row r="339" spans="3:3" x14ac:dyDescent="0.2">
      <c r="C339" t="str">
        <f t="shared" si="5"/>
        <v/>
      </c>
    </row>
    <row r="340" spans="3:3" x14ac:dyDescent="0.2">
      <c r="C340" t="str">
        <f t="shared" si="5"/>
        <v/>
      </c>
    </row>
    <row r="341" spans="3:3" x14ac:dyDescent="0.2">
      <c r="C341" t="str">
        <f t="shared" si="5"/>
        <v/>
      </c>
    </row>
    <row r="342" spans="3:3" x14ac:dyDescent="0.2">
      <c r="C342" t="str">
        <f t="shared" si="5"/>
        <v/>
      </c>
    </row>
    <row r="343" spans="3:3" x14ac:dyDescent="0.2">
      <c r="C343" t="str">
        <f t="shared" si="5"/>
        <v/>
      </c>
    </row>
    <row r="344" spans="3:3" x14ac:dyDescent="0.2">
      <c r="C344" t="str">
        <f t="shared" si="5"/>
        <v/>
      </c>
    </row>
    <row r="345" spans="3:3" x14ac:dyDescent="0.2">
      <c r="C345" t="str">
        <f t="shared" si="5"/>
        <v/>
      </c>
    </row>
    <row r="346" spans="3:3" x14ac:dyDescent="0.2">
      <c r="C346" t="str">
        <f t="shared" si="5"/>
        <v/>
      </c>
    </row>
    <row r="347" spans="3:3" x14ac:dyDescent="0.2">
      <c r="C347" t="str">
        <f t="shared" si="5"/>
        <v/>
      </c>
    </row>
    <row r="348" spans="3:3" x14ac:dyDescent="0.2">
      <c r="C348" t="str">
        <f t="shared" si="5"/>
        <v/>
      </c>
    </row>
    <row r="349" spans="3:3" x14ac:dyDescent="0.2">
      <c r="C349" t="str">
        <f t="shared" si="5"/>
        <v/>
      </c>
    </row>
    <row r="350" spans="3:3" x14ac:dyDescent="0.2">
      <c r="C350" t="str">
        <f t="shared" si="5"/>
        <v/>
      </c>
    </row>
    <row r="351" spans="3:3" x14ac:dyDescent="0.2">
      <c r="C351" t="str">
        <f t="shared" si="5"/>
        <v/>
      </c>
    </row>
    <row r="352" spans="3:3" x14ac:dyDescent="0.2">
      <c r="C352" t="str">
        <f t="shared" si="5"/>
        <v/>
      </c>
    </row>
    <row r="353" spans="3:3" x14ac:dyDescent="0.2">
      <c r="C353" t="str">
        <f t="shared" si="5"/>
        <v/>
      </c>
    </row>
    <row r="354" spans="3:3" x14ac:dyDescent="0.2">
      <c r="C354" t="str">
        <f t="shared" si="5"/>
        <v/>
      </c>
    </row>
    <row r="355" spans="3:3" x14ac:dyDescent="0.2">
      <c r="C355" t="str">
        <f t="shared" si="5"/>
        <v/>
      </c>
    </row>
    <row r="356" spans="3:3" x14ac:dyDescent="0.2">
      <c r="C356" t="str">
        <f t="shared" si="5"/>
        <v/>
      </c>
    </row>
    <row r="357" spans="3:3" x14ac:dyDescent="0.2">
      <c r="C357" t="str">
        <f t="shared" si="5"/>
        <v/>
      </c>
    </row>
    <row r="358" spans="3:3" x14ac:dyDescent="0.2">
      <c r="C358" t="str">
        <f t="shared" si="5"/>
        <v/>
      </c>
    </row>
    <row r="359" spans="3:3" x14ac:dyDescent="0.2">
      <c r="C359" t="str">
        <f t="shared" si="5"/>
        <v/>
      </c>
    </row>
    <row r="360" spans="3:3" x14ac:dyDescent="0.2">
      <c r="C360" t="str">
        <f t="shared" si="5"/>
        <v/>
      </c>
    </row>
    <row r="361" spans="3:3" x14ac:dyDescent="0.2">
      <c r="C361" t="str">
        <f t="shared" si="5"/>
        <v/>
      </c>
    </row>
    <row r="362" spans="3:3" x14ac:dyDescent="0.2">
      <c r="C362" t="str">
        <f t="shared" si="5"/>
        <v/>
      </c>
    </row>
    <row r="363" spans="3:3" x14ac:dyDescent="0.2">
      <c r="C363" t="str">
        <f t="shared" si="5"/>
        <v/>
      </c>
    </row>
    <row r="364" spans="3:3" x14ac:dyDescent="0.2">
      <c r="C364" t="str">
        <f t="shared" si="5"/>
        <v/>
      </c>
    </row>
    <row r="365" spans="3:3" x14ac:dyDescent="0.2">
      <c r="C365" t="str">
        <f t="shared" si="5"/>
        <v/>
      </c>
    </row>
    <row r="366" spans="3:3" x14ac:dyDescent="0.2">
      <c r="C366" t="str">
        <f t="shared" si="5"/>
        <v/>
      </c>
    </row>
    <row r="367" spans="3:3" x14ac:dyDescent="0.2">
      <c r="C367" t="str">
        <f t="shared" si="5"/>
        <v/>
      </c>
    </row>
    <row r="368" spans="3:3" x14ac:dyDescent="0.2">
      <c r="C368" t="str">
        <f t="shared" si="5"/>
        <v/>
      </c>
    </row>
    <row r="369" spans="3:3" x14ac:dyDescent="0.2">
      <c r="C369" t="str">
        <f t="shared" si="5"/>
        <v/>
      </c>
    </row>
    <row r="370" spans="3:3" x14ac:dyDescent="0.2">
      <c r="C370" t="str">
        <f t="shared" si="5"/>
        <v/>
      </c>
    </row>
    <row r="371" spans="3:3" x14ac:dyDescent="0.2">
      <c r="C371" t="str">
        <f t="shared" si="5"/>
        <v/>
      </c>
    </row>
    <row r="372" spans="3:3" x14ac:dyDescent="0.2">
      <c r="C372" t="str">
        <f t="shared" si="5"/>
        <v/>
      </c>
    </row>
    <row r="373" spans="3:3" x14ac:dyDescent="0.2">
      <c r="C373" t="str">
        <f t="shared" si="5"/>
        <v/>
      </c>
    </row>
    <row r="374" spans="3:3" x14ac:dyDescent="0.2">
      <c r="C374" t="str">
        <f t="shared" si="5"/>
        <v/>
      </c>
    </row>
    <row r="375" spans="3:3" x14ac:dyDescent="0.2">
      <c r="C375" t="str">
        <f t="shared" si="5"/>
        <v/>
      </c>
    </row>
    <row r="376" spans="3:3" x14ac:dyDescent="0.2">
      <c r="C376" t="str">
        <f t="shared" si="5"/>
        <v/>
      </c>
    </row>
    <row r="377" spans="3:3" x14ac:dyDescent="0.2">
      <c r="C377" t="str">
        <f t="shared" si="5"/>
        <v/>
      </c>
    </row>
    <row r="378" spans="3:3" x14ac:dyDescent="0.2">
      <c r="C378" t="str">
        <f t="shared" si="5"/>
        <v/>
      </c>
    </row>
    <row r="379" spans="3:3" x14ac:dyDescent="0.2">
      <c r="C379" t="str">
        <f t="shared" si="5"/>
        <v/>
      </c>
    </row>
    <row r="380" spans="3:3" x14ac:dyDescent="0.2">
      <c r="C380" t="str">
        <f t="shared" si="5"/>
        <v/>
      </c>
    </row>
    <row r="381" spans="3:3" x14ac:dyDescent="0.2">
      <c r="C381" t="str">
        <f t="shared" si="5"/>
        <v/>
      </c>
    </row>
    <row r="382" spans="3:3" x14ac:dyDescent="0.2">
      <c r="C382" t="str">
        <f t="shared" si="5"/>
        <v/>
      </c>
    </row>
    <row r="383" spans="3:3" x14ac:dyDescent="0.2">
      <c r="C383" t="str">
        <f t="shared" si="5"/>
        <v/>
      </c>
    </row>
    <row r="384" spans="3:3" x14ac:dyDescent="0.2">
      <c r="C384" t="str">
        <f t="shared" si="5"/>
        <v/>
      </c>
    </row>
    <row r="385" spans="3:3" x14ac:dyDescent="0.2">
      <c r="C385" t="str">
        <f t="shared" si="5"/>
        <v/>
      </c>
    </row>
    <row r="386" spans="3:3" x14ac:dyDescent="0.2">
      <c r="C386" t="str">
        <f t="shared" si="5"/>
        <v/>
      </c>
    </row>
    <row r="387" spans="3:3" x14ac:dyDescent="0.2">
      <c r="C387" t="str">
        <f t="shared" si="5"/>
        <v/>
      </c>
    </row>
    <row r="388" spans="3:3" x14ac:dyDescent="0.2">
      <c r="C388" t="str">
        <f t="shared" si="5"/>
        <v/>
      </c>
    </row>
    <row r="389" spans="3:3" x14ac:dyDescent="0.2">
      <c r="C389" t="str">
        <f t="shared" si="5"/>
        <v/>
      </c>
    </row>
    <row r="390" spans="3:3" x14ac:dyDescent="0.2">
      <c r="C390" t="str">
        <f t="shared" ref="C390:C421" si="6">SUBSTITUTE(E390, "xx", B390)</f>
        <v/>
      </c>
    </row>
    <row r="391" spans="3:3" x14ac:dyDescent="0.2">
      <c r="C391" t="str">
        <f t="shared" si="6"/>
        <v/>
      </c>
    </row>
    <row r="392" spans="3:3" x14ac:dyDescent="0.2">
      <c r="C392" t="str">
        <f t="shared" si="6"/>
        <v/>
      </c>
    </row>
    <row r="393" spans="3:3" x14ac:dyDescent="0.2">
      <c r="C393" t="str">
        <f t="shared" si="6"/>
        <v/>
      </c>
    </row>
    <row r="394" spans="3:3" x14ac:dyDescent="0.2">
      <c r="C394" t="str">
        <f t="shared" si="6"/>
        <v/>
      </c>
    </row>
    <row r="395" spans="3:3" x14ac:dyDescent="0.2">
      <c r="C395" t="str">
        <f t="shared" si="6"/>
        <v/>
      </c>
    </row>
    <row r="396" spans="3:3" x14ac:dyDescent="0.2">
      <c r="C396" t="str">
        <f t="shared" si="6"/>
        <v/>
      </c>
    </row>
    <row r="397" spans="3:3" x14ac:dyDescent="0.2">
      <c r="C397" t="str">
        <f t="shared" si="6"/>
        <v/>
      </c>
    </row>
    <row r="398" spans="3:3" x14ac:dyDescent="0.2">
      <c r="C398" t="str">
        <f t="shared" si="6"/>
        <v/>
      </c>
    </row>
    <row r="399" spans="3:3" x14ac:dyDescent="0.2">
      <c r="C399" t="str">
        <f t="shared" si="6"/>
        <v/>
      </c>
    </row>
    <row r="400" spans="3:3" x14ac:dyDescent="0.2">
      <c r="C400" t="str">
        <f t="shared" si="6"/>
        <v/>
      </c>
    </row>
    <row r="401" spans="3:3" x14ac:dyDescent="0.2">
      <c r="C401" t="str">
        <f t="shared" si="6"/>
        <v/>
      </c>
    </row>
    <row r="402" spans="3:3" x14ac:dyDescent="0.2">
      <c r="C402" t="str">
        <f t="shared" si="6"/>
        <v/>
      </c>
    </row>
    <row r="403" spans="3:3" x14ac:dyDescent="0.2">
      <c r="C403" t="str">
        <f t="shared" si="6"/>
        <v/>
      </c>
    </row>
    <row r="404" spans="3:3" x14ac:dyDescent="0.2">
      <c r="C404" t="str">
        <f t="shared" si="6"/>
        <v/>
      </c>
    </row>
    <row r="405" spans="3:3" x14ac:dyDescent="0.2">
      <c r="C405" t="str">
        <f t="shared" si="6"/>
        <v/>
      </c>
    </row>
    <row r="406" spans="3:3" x14ac:dyDescent="0.2">
      <c r="C406" t="str">
        <f t="shared" si="6"/>
        <v/>
      </c>
    </row>
    <row r="407" spans="3:3" x14ac:dyDescent="0.2">
      <c r="C407" t="str">
        <f t="shared" si="6"/>
        <v/>
      </c>
    </row>
    <row r="408" spans="3:3" x14ac:dyDescent="0.2">
      <c r="C408" t="str">
        <f t="shared" si="6"/>
        <v/>
      </c>
    </row>
    <row r="409" spans="3:3" x14ac:dyDescent="0.2">
      <c r="C409" t="str">
        <f t="shared" si="6"/>
        <v/>
      </c>
    </row>
    <row r="410" spans="3:3" x14ac:dyDescent="0.2">
      <c r="C410" t="str">
        <f t="shared" si="6"/>
        <v/>
      </c>
    </row>
    <row r="411" spans="3:3" x14ac:dyDescent="0.2">
      <c r="C411" t="str">
        <f t="shared" si="6"/>
        <v/>
      </c>
    </row>
    <row r="412" spans="3:3" x14ac:dyDescent="0.2">
      <c r="C412" t="str">
        <f t="shared" si="6"/>
        <v/>
      </c>
    </row>
    <row r="413" spans="3:3" x14ac:dyDescent="0.2">
      <c r="C413" t="str">
        <f t="shared" si="6"/>
        <v/>
      </c>
    </row>
    <row r="414" spans="3:3" x14ac:dyDescent="0.2">
      <c r="C414" t="str">
        <f t="shared" si="6"/>
        <v/>
      </c>
    </row>
    <row r="415" spans="3:3" x14ac:dyDescent="0.2">
      <c r="C415" t="str">
        <f t="shared" si="6"/>
        <v/>
      </c>
    </row>
    <row r="416" spans="3:3" x14ac:dyDescent="0.2">
      <c r="C416" t="str">
        <f t="shared" si="6"/>
        <v/>
      </c>
    </row>
    <row r="417" spans="3:3" x14ac:dyDescent="0.2">
      <c r="C417" t="str">
        <f t="shared" si="6"/>
        <v/>
      </c>
    </row>
    <row r="418" spans="3:3" x14ac:dyDescent="0.2">
      <c r="C418" t="str">
        <f t="shared" si="6"/>
        <v/>
      </c>
    </row>
    <row r="419" spans="3:3" x14ac:dyDescent="0.2">
      <c r="C419" t="str">
        <f t="shared" si="6"/>
        <v/>
      </c>
    </row>
    <row r="420" spans="3:3" x14ac:dyDescent="0.2">
      <c r="C420" t="str">
        <f t="shared" si="6"/>
        <v/>
      </c>
    </row>
    <row r="421" spans="3:3" x14ac:dyDescent="0.2">
      <c r="C421" t="str">
        <f t="shared" si="6"/>
        <v/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CC9D622-9B58-4724-9D73-4EB8CAC9FC29}">
          <x14:formula1>
            <xm:f>Ulazni!$A$13:$A$17</xm:f>
          </x14:formula1>
          <xm:sqref>A6 A19 A32 A45 A59:A60 A64:A65 A69:A70 A74:A75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06"/>
  <sheetViews>
    <sheetView tabSelected="1" topLeftCell="I1" workbookViewId="0">
      <selection activeCell="O15" sqref="O15"/>
    </sheetView>
  </sheetViews>
  <sheetFormatPr defaultRowHeight="12.75" x14ac:dyDescent="0.2"/>
  <cols>
    <col min="1" max="1" width="4.5703125" hidden="1" customWidth="1"/>
    <col min="2" max="2" width="8.5703125" hidden="1" customWidth="1"/>
    <col min="3" max="7" width="0" hidden="1" customWidth="1"/>
    <col min="8" max="8" width="11.42578125" hidden="1" customWidth="1"/>
    <col min="9" max="9" width="20.42578125" style="6" customWidth="1"/>
    <col min="10" max="10" width="8.140625" customWidth="1"/>
    <col min="11" max="11" width="9.85546875" customWidth="1"/>
  </cols>
  <sheetData>
    <row r="3" spans="2:11" x14ac:dyDescent="0.2">
      <c r="B3" t="s">
        <v>28</v>
      </c>
      <c r="C3" t="s">
        <v>29</v>
      </c>
      <c r="J3" t="s">
        <v>28</v>
      </c>
      <c r="K3" t="s">
        <v>29</v>
      </c>
    </row>
    <row r="5" spans="2:11" s="86" customFormat="1" ht="15" x14ac:dyDescent="0.25">
      <c r="B5" s="86" t="s">
        <v>101</v>
      </c>
      <c r="I5" s="88"/>
      <c r="J5" s="86" t="s">
        <v>101</v>
      </c>
    </row>
    <row r="6" spans="2:11" x14ac:dyDescent="0.2">
      <c r="B6" t="s">
        <v>30</v>
      </c>
      <c r="J6" t="s">
        <v>30</v>
      </c>
    </row>
    <row r="7" spans="2:11" x14ac:dyDescent="0.2">
      <c r="I7" s="6">
        <f>Ulazni!C27</f>
        <v>1917</v>
      </c>
      <c r="K7" t="str">
        <f>_xlfn.CONCAT("SBTS-", I7)</f>
        <v>SBTS-1917</v>
      </c>
    </row>
    <row r="8" spans="2:11" x14ac:dyDescent="0.2">
      <c r="C8" t="s">
        <v>33</v>
      </c>
      <c r="I8" s="8" t="str">
        <f>Ulazni!C28</f>
        <v>LG4_2</v>
      </c>
      <c r="K8" t="str">
        <f>_xlfn.CONCAT("&lt;p name=""btsProfile""&gt;", I8, "&lt;/p&gt;")</f>
        <v>&lt;p name="btsProfile"&gt;LG4_2&lt;/p&gt;</v>
      </c>
    </row>
    <row r="9" spans="2:11" x14ac:dyDescent="0.2">
      <c r="C9" t="s">
        <v>31</v>
      </c>
      <c r="I9" s="8" t="str">
        <f>Ulazni!E25</f>
        <v>SAO100_Debrc</v>
      </c>
      <c r="K9" t="str">
        <f>_xlfn.CONCAT("&lt;p name=""sbtsName""&gt;", I9, "&lt;/p&gt;")</f>
        <v>&lt;p name="sbtsName"&gt;SAO100_Debrc&lt;/p&gt;</v>
      </c>
    </row>
    <row r="10" spans="2:11" x14ac:dyDescent="0.2">
      <c r="C10" t="s">
        <v>32</v>
      </c>
      <c r="K10" t="str">
        <f>_xlfn.CONCAT("&lt;p name=""sbtsDescription""&gt;",I9, "&lt;/p&gt;")</f>
        <v>&lt;p name="sbtsDescription"&gt;SAO100_Debrc&lt;/p&gt;</v>
      </c>
    </row>
    <row r="11" spans="2:11" x14ac:dyDescent="0.2">
      <c r="C11" t="s">
        <v>13</v>
      </c>
      <c r="K11" t="s">
        <v>13</v>
      </c>
    </row>
    <row r="12" spans="2:11" x14ac:dyDescent="0.2">
      <c r="C12" t="s">
        <v>34</v>
      </c>
      <c r="I12" s="8" t="str">
        <f>Ulazni!C26</f>
        <v>Debrc</v>
      </c>
      <c r="K12" t="str">
        <f>_xlfn.CONCAT("&lt;p name=""location""&gt;",I12, "&lt;/p&gt;")</f>
        <v>&lt;p name="location"&gt;Debrc&lt;/p&gt;</v>
      </c>
    </row>
    <row r="13" spans="2:11" x14ac:dyDescent="0.2">
      <c r="C13" t="s">
        <v>14</v>
      </c>
      <c r="K13" t="s">
        <v>14</v>
      </c>
    </row>
    <row r="15" spans="2:11" x14ac:dyDescent="0.2">
      <c r="B15" t="s">
        <v>35</v>
      </c>
      <c r="J15" t="s">
        <v>35</v>
      </c>
    </row>
    <row r="16" spans="2:11" x14ac:dyDescent="0.2">
      <c r="C16" t="s">
        <v>36</v>
      </c>
      <c r="I16" s="8" t="str">
        <f>VLOOKUP("SBTSoam", Ulazni!A1:Q9, 16, FALSE)</f>
        <v>10.244.30.70</v>
      </c>
      <c r="K16" t="str">
        <f>_xlfn.CONCAT("&lt;p name=""mPlaneIpAddress""&gt;", I16, "&lt;/p&gt;")</f>
        <v>&lt;p name="mPlaneIpAddress"&gt;10.244.30.70&lt;/p&gt;</v>
      </c>
    </row>
    <row r="18" spans="2:13" s="89" customFormat="1" ht="15" x14ac:dyDescent="0.25">
      <c r="B18" s="86" t="s">
        <v>284</v>
      </c>
      <c r="C18" s="86"/>
      <c r="D18" s="86"/>
      <c r="E18" s="86"/>
      <c r="F18" s="86"/>
      <c r="G18" s="86"/>
      <c r="H18" s="86"/>
      <c r="I18" s="88"/>
      <c r="J18" s="86" t="s">
        <v>284</v>
      </c>
      <c r="K18" s="86"/>
      <c r="L18" s="86"/>
      <c r="M18" s="86"/>
    </row>
    <row r="19" spans="2:13" x14ac:dyDescent="0.2">
      <c r="B19" t="s">
        <v>37</v>
      </c>
      <c r="J19" t="s">
        <v>37</v>
      </c>
    </row>
    <row r="20" spans="2:13" x14ac:dyDescent="0.2">
      <c r="C20" t="s">
        <v>38</v>
      </c>
      <c r="K20" t="s">
        <v>38</v>
      </c>
    </row>
    <row r="21" spans="2:13" x14ac:dyDescent="0.2">
      <c r="D21" t="s">
        <v>13</v>
      </c>
      <c r="L21" t="s">
        <v>13</v>
      </c>
    </row>
    <row r="22" spans="2:13" x14ac:dyDescent="0.2">
      <c r="D22" t="s">
        <v>39</v>
      </c>
      <c r="I22" s="8" t="e">
        <f>VLOOKUP("3gRAN", Ulazni!A1:Q9, 16, FALSE)</f>
        <v>#VALUE!</v>
      </c>
      <c r="L22" t="e">
        <f>_xlfn.CONCAT("&lt;p name=""ipV4Address""&gt;",I22, "&lt;/p&gt;")</f>
        <v>#VALUE!</v>
      </c>
    </row>
    <row r="23" spans="2:13" x14ac:dyDescent="0.2">
      <c r="D23" t="s">
        <v>40</v>
      </c>
      <c r="I23" s="8">
        <f>Ulazni!C32</f>
        <v>0</v>
      </c>
      <c r="L23" t="str">
        <f>_xlfn.CONCAT("&lt;p name=""sctpPortMin""&gt;",I23, "&lt;/p&gt;")</f>
        <v>&lt;p name="sctpPortMin"&gt;0&lt;/p&gt;</v>
      </c>
    </row>
    <row r="24" spans="2:13" x14ac:dyDescent="0.2">
      <c r="I24" s="8"/>
    </row>
    <row r="25" spans="2:13" x14ac:dyDescent="0.2">
      <c r="C25" t="s">
        <v>41</v>
      </c>
      <c r="K25" t="s">
        <v>41</v>
      </c>
    </row>
    <row r="26" spans="2:13" x14ac:dyDescent="0.2">
      <c r="D26" t="s">
        <v>13</v>
      </c>
      <c r="L26" t="s">
        <v>13</v>
      </c>
    </row>
    <row r="27" spans="2:13" x14ac:dyDescent="0.2">
      <c r="D27" t="s">
        <v>42</v>
      </c>
      <c r="I27" s="8" t="e">
        <f>Ulazni!E30</f>
        <v>#N/A</v>
      </c>
      <c r="L27" t="e">
        <f>_xlfn.CONCAT("&lt;p name=""identifier""&gt;", I27, "&lt;/p&gt;")</f>
        <v>#N/A</v>
      </c>
    </row>
    <row r="28" spans="2:13" x14ac:dyDescent="0.2">
      <c r="D28" t="s">
        <v>43</v>
      </c>
      <c r="I28" s="6" t="e">
        <f>Ulazni!G30</f>
        <v>#N/A</v>
      </c>
      <c r="L28" t="e">
        <f>_xlfn.CONCAT("&lt;p name=""sctpFarEndSubnetIpAddress""&gt;",I28, "&lt;/p&gt;")</f>
        <v>#N/A</v>
      </c>
    </row>
    <row r="29" spans="2:13" x14ac:dyDescent="0.2">
      <c r="D29" t="s">
        <v>104</v>
      </c>
      <c r="I29" s="6" t="e">
        <f>Ulazni!I30</f>
        <v>#N/A</v>
      </c>
      <c r="L29" t="e">
        <f>_xlfn.CONCAT("&lt;p name=""sctpFarEndSubnetPrefixLength""&gt;", I29, "&lt;/p&gt;")</f>
        <v>#N/A</v>
      </c>
    </row>
    <row r="31" spans="2:13" x14ac:dyDescent="0.2">
      <c r="C31" t="s">
        <v>44</v>
      </c>
      <c r="K31" t="s">
        <v>44</v>
      </c>
    </row>
    <row r="32" spans="2:13" x14ac:dyDescent="0.2">
      <c r="D32" t="s">
        <v>13</v>
      </c>
      <c r="L32" t="s">
        <v>13</v>
      </c>
    </row>
    <row r="33" spans="2:12" x14ac:dyDescent="0.2">
      <c r="D33" t="s">
        <v>39</v>
      </c>
      <c r="I33" s="6" t="e">
        <f>VLOOKUP("3gran", Ulazni!A1:Q9, 16, FALSE)</f>
        <v>#VALUE!</v>
      </c>
      <c r="L33" t="e">
        <f>_xlfn.CONCAT("&lt;p name=""ipV4Address""&gt;", I33, "&lt;/p&gt;")</f>
        <v>#VALUE!</v>
      </c>
    </row>
    <row r="35" spans="2:12" x14ac:dyDescent="0.2">
      <c r="B35" t="s">
        <v>45</v>
      </c>
      <c r="J35" t="s">
        <v>45</v>
      </c>
    </row>
    <row r="36" spans="2:12" x14ac:dyDescent="0.2">
      <c r="C36" t="s">
        <v>46</v>
      </c>
      <c r="I36" s="8"/>
      <c r="K36" t="str">
        <f>_xlfn.CONCAT(K7,"/LCELW-", Ulazni!C34)</f>
        <v>SBTS-1917/LCELW-</v>
      </c>
    </row>
    <row r="37" spans="2:12" x14ac:dyDescent="0.2">
      <c r="C37" t="s">
        <v>108</v>
      </c>
      <c r="I37" s="8"/>
      <c r="K37" t="s">
        <v>108</v>
      </c>
    </row>
    <row r="40" spans="2:12" x14ac:dyDescent="0.2">
      <c r="B40" t="s">
        <v>47</v>
      </c>
      <c r="J40" t="s">
        <v>47</v>
      </c>
    </row>
    <row r="41" spans="2:12" x14ac:dyDescent="0.2">
      <c r="C41" t="s">
        <v>48</v>
      </c>
      <c r="K41" t="s">
        <v>48</v>
      </c>
    </row>
    <row r="42" spans="2:12" x14ac:dyDescent="0.2">
      <c r="C42" t="s">
        <v>49</v>
      </c>
      <c r="I42" s="8">
        <f>Ulazni!C34</f>
        <v>0</v>
      </c>
      <c r="K42" t="str">
        <f>_xlfn.CONCAT("&lt;p&gt;", I42, "&lt;/p&gt;")</f>
        <v>&lt;p&gt;0&lt;/p&gt;</v>
      </c>
    </row>
    <row r="43" spans="2:12" x14ac:dyDescent="0.2">
      <c r="C43" t="s">
        <v>50</v>
      </c>
      <c r="I43" s="8">
        <f>Ulazni!C35</f>
        <v>0</v>
      </c>
      <c r="K43" t="str">
        <f t="shared" ref="K43:K47" si="0">_xlfn.CONCAT("&lt;p&gt;", I43, "&lt;/p&gt;")</f>
        <v>&lt;p&gt;0&lt;/p&gt;</v>
      </c>
    </row>
    <row r="44" spans="2:12" x14ac:dyDescent="0.2">
      <c r="C44" t="s">
        <v>51</v>
      </c>
      <c r="I44" s="8">
        <f>Ulazni!C36</f>
        <v>0</v>
      </c>
      <c r="K44" t="str">
        <f t="shared" si="0"/>
        <v>&lt;p&gt;0&lt;/p&gt;</v>
      </c>
    </row>
    <row r="45" spans="2:12" x14ac:dyDescent="0.2">
      <c r="C45" t="s">
        <v>52</v>
      </c>
      <c r="I45" s="8">
        <f>Ulazni!C37</f>
        <v>0</v>
      </c>
      <c r="K45" t="str">
        <f t="shared" si="0"/>
        <v>&lt;p&gt;0&lt;/p&gt;</v>
      </c>
    </row>
    <row r="46" spans="2:12" x14ac:dyDescent="0.2">
      <c r="C46" t="s">
        <v>15</v>
      </c>
      <c r="I46" s="8">
        <f>Ulazni!C38</f>
        <v>0</v>
      </c>
      <c r="K46" t="str">
        <f t="shared" si="0"/>
        <v>&lt;p&gt;0&lt;/p&gt;</v>
      </c>
    </row>
    <row r="47" spans="2:12" x14ac:dyDescent="0.2">
      <c r="I47" s="8">
        <f>Ulazni!C39</f>
        <v>0</v>
      </c>
      <c r="K47" t="str">
        <f t="shared" si="0"/>
        <v>&lt;p&gt;0&lt;/p&gt;</v>
      </c>
    </row>
    <row r="48" spans="2:12" x14ac:dyDescent="0.2">
      <c r="I48" s="8"/>
    </row>
    <row r="49" spans="2:11" s="86" customFormat="1" ht="15" x14ac:dyDescent="0.25">
      <c r="B49" s="86" t="s">
        <v>285</v>
      </c>
      <c r="I49" s="87"/>
      <c r="J49" s="86" t="s">
        <v>285</v>
      </c>
    </row>
    <row r="50" spans="2:11" x14ac:dyDescent="0.2">
      <c r="B50" t="s">
        <v>53</v>
      </c>
      <c r="J50" t="s">
        <v>53</v>
      </c>
    </row>
    <row r="51" spans="2:11" x14ac:dyDescent="0.2">
      <c r="C51" t="s">
        <v>54</v>
      </c>
      <c r="I51" s="6">
        <f>Ulazni!C42</f>
        <v>3810</v>
      </c>
      <c r="K51" t="str">
        <f>_xlfn.CONCAT("&lt;p name=""bcfId""&gt;", I51, "&lt;/p&gt;")</f>
        <v>&lt;p name="bcfId"&gt;3810&lt;/p&gt;</v>
      </c>
    </row>
    <row r="52" spans="2:11" x14ac:dyDescent="0.2">
      <c r="C52" t="s">
        <v>55</v>
      </c>
      <c r="I52" s="6">
        <f>Ulazni!E41</f>
        <v>406097</v>
      </c>
      <c r="K52" t="str">
        <f>_xlfn.CONCAT("&lt;p name=""bscId""&gt;",I52, "&lt;/p&gt;")</f>
        <v>&lt;p name="bscId"&gt;406097&lt;/p&gt;</v>
      </c>
    </row>
    <row r="53" spans="2:11" x14ac:dyDescent="0.2">
      <c r="C53" t="s">
        <v>56</v>
      </c>
      <c r="I53" s="6" t="str">
        <f>VLOOKUP("SBTSoam", Ulazni!A1:Q9, 16, FALSE)</f>
        <v>10.244.30.70</v>
      </c>
      <c r="K53" t="str">
        <f>_xlfn.CONCAT("&lt;p name=""mPlaneLocalIpAddressOmuSig""&gt;",I53, "&lt;/p&gt;")</f>
        <v>&lt;p name="mPlaneLocalIpAddressOmuSig"&gt;10.244.30.70&lt;/p&gt;</v>
      </c>
    </row>
    <row r="54" spans="2:11" x14ac:dyDescent="0.2">
      <c r="C54" t="s">
        <v>1</v>
      </c>
      <c r="I54" s="6" t="str">
        <f>Ulazni!C44</f>
        <v>172.21.6.20</v>
      </c>
      <c r="K54" t="str">
        <f>_xlfn.CONCAT("&lt;p name=""mPlaneRemoteIpAddressOmuSig""&gt;",I54, "&lt;/p&gt;")</f>
        <v>&lt;p name="mPlaneRemoteIpAddressOmuSig"&gt;172.21.6.20&lt;/p&gt;</v>
      </c>
    </row>
    <row r="56" spans="2:11" x14ac:dyDescent="0.2">
      <c r="B56" t="s">
        <v>57</v>
      </c>
      <c r="J56" t="s">
        <v>57</v>
      </c>
    </row>
    <row r="57" spans="2:11" x14ac:dyDescent="0.2">
      <c r="C57" t="s">
        <v>58</v>
      </c>
      <c r="K57" t="s">
        <v>58</v>
      </c>
    </row>
    <row r="58" spans="2:11" x14ac:dyDescent="0.2">
      <c r="I58" s="6">
        <f>Ulazni!C46</f>
        <v>430</v>
      </c>
      <c r="K58" t="str">
        <f>_xlfn.CONCAT("&lt;p name=""perTrxPower""&gt;",I58, "&lt;/p&gt;")</f>
        <v>&lt;p name="perTrxPower"&gt;430&lt;/p&gt;</v>
      </c>
    </row>
    <row r="60" spans="2:11" s="86" customFormat="1" ht="15" x14ac:dyDescent="0.25">
      <c r="B60" s="86" t="s">
        <v>286</v>
      </c>
      <c r="I60" s="88"/>
      <c r="J60" s="86" t="s">
        <v>286</v>
      </c>
    </row>
    <row r="61" spans="2:11" x14ac:dyDescent="0.2">
      <c r="J61" t="s">
        <v>165</v>
      </c>
    </row>
    <row r="62" spans="2:11" x14ac:dyDescent="0.2">
      <c r="I62" s="6" t="str">
        <f>Ulazni!C51</f>
        <v>10.254.22.4</v>
      </c>
      <c r="K62" t="str">
        <f>_xlfn.CONCAT("&lt;p name=""ipAddrPrim""&gt;",I62, "&lt;/p&gt;")</f>
        <v>&lt;p name="ipAddrPrim"&gt;10.254.22.4&lt;/p&gt;</v>
      </c>
    </row>
    <row r="63" spans="2:11" x14ac:dyDescent="0.2">
      <c r="I63" s="6" t="str">
        <f>Ulazni!C52</f>
        <v>10.254.2.4</v>
      </c>
      <c r="K63" t="str">
        <f>_xlfn.CONCAT("&lt;p name=""ipAddrPrim""&gt;",I63, "&lt;/p&gt;")</f>
        <v>&lt;p name="ipAddrPrim"&gt;10.254.2.4&lt;/p&gt;</v>
      </c>
    </row>
    <row r="65" spans="2:18" s="86" customFormat="1" ht="15" x14ac:dyDescent="0.25">
      <c r="I65" s="88"/>
    </row>
    <row r="66" spans="2:18" x14ac:dyDescent="0.2">
      <c r="B66" t="s">
        <v>113</v>
      </c>
      <c r="J66" t="s">
        <v>113</v>
      </c>
    </row>
    <row r="67" spans="2:18" x14ac:dyDescent="0.2">
      <c r="C67" t="s">
        <v>116</v>
      </c>
      <c r="I67" s="6">
        <f>Ulazni!C27</f>
        <v>1917</v>
      </c>
      <c r="K67" t="str">
        <f>_xlfn.CONCAT("distName=""", K7, "/LNBTS-", , I67)</f>
        <v>distName="SBTS-1917/LNBTS-1917</v>
      </c>
    </row>
    <row r="68" spans="2:18" x14ac:dyDescent="0.2">
      <c r="C68" t="s">
        <v>114</v>
      </c>
      <c r="I68" s="6" t="str">
        <f>Ulazni!F25</f>
        <v>SAO100-Debrc</v>
      </c>
      <c r="K68" t="str">
        <f>_xlfn.CONCAT("&lt;p name=""enbName""&gt;",I68, "&lt;/p&gt;")</f>
        <v>&lt;p name="enbName"&gt;SAO100-Debrc&lt;/p&gt;</v>
      </c>
    </row>
    <row r="70" spans="2:18" x14ac:dyDescent="0.2">
      <c r="K70" s="90" t="s">
        <v>328</v>
      </c>
      <c r="L70" s="90"/>
    </row>
    <row r="71" spans="2:18" x14ac:dyDescent="0.2">
      <c r="B71" t="s">
        <v>115</v>
      </c>
      <c r="J71" t="s">
        <v>115</v>
      </c>
      <c r="K71" s="90" t="s">
        <v>289</v>
      </c>
      <c r="L71" s="90"/>
      <c r="M71" s="90"/>
      <c r="N71" s="90"/>
      <c r="O71" s="90"/>
      <c r="P71" s="90"/>
      <c r="Q71" s="90"/>
      <c r="R71" s="90"/>
    </row>
    <row r="72" spans="2:18" x14ac:dyDescent="0.2">
      <c r="C72" t="s">
        <v>118</v>
      </c>
      <c r="K72" t="s">
        <v>118</v>
      </c>
    </row>
    <row r="73" spans="2:18" x14ac:dyDescent="0.2">
      <c r="C73" t="s">
        <v>117</v>
      </c>
      <c r="I73" s="6">
        <f>Ulazni!E55</f>
        <v>19175</v>
      </c>
      <c r="K73" t="str">
        <f>_xlfn.CONCAT(K$67, "/LNCEL-", I73)</f>
        <v>distName="SBTS-1917/LNBTS-1917/LNCEL-19175</v>
      </c>
    </row>
    <row r="74" spans="2:18" x14ac:dyDescent="0.2">
      <c r="I74" s="6" t="str">
        <f>Ulazni!E56</f>
        <v>SAO100A</v>
      </c>
      <c r="K74" t="str">
        <f>_xlfn.CONCAT("&lt;p name=""cellName""&gt;",I74, "&lt;/p&gt;")</f>
        <v>&lt;p name="cellName"&gt;SAO100A&lt;/p&gt;</v>
      </c>
    </row>
    <row r="75" spans="2:18" x14ac:dyDescent="0.2">
      <c r="I75" s="6">
        <f>Ulazni!E57</f>
        <v>240</v>
      </c>
      <c r="K75" t="str">
        <f>_xlfn.CONCAT("&lt;p name=""phyCellId""&gt;", I75, "&lt;/p&gt;")</f>
        <v>&lt;p name="phyCellId"&gt;240&lt;/p&gt;</v>
      </c>
    </row>
    <row r="76" spans="2:18" x14ac:dyDescent="0.2">
      <c r="I76" s="6">
        <f>Ulazni!E58</f>
        <v>12003</v>
      </c>
      <c r="K76" t="str">
        <f>_xlfn.CONCAT("&lt;p name=""tac""&gt;",I76, "&lt;/p&gt;")</f>
        <v>&lt;p name="tac"&gt;12003&lt;/p&gt;</v>
      </c>
    </row>
    <row r="77" spans="2:18" x14ac:dyDescent="0.2">
      <c r="I77" s="6">
        <f>Ulazni!E60</f>
        <v>720</v>
      </c>
      <c r="K77" t="str">
        <f>_xlfn.CONCAT("&lt;p name=""rootSeqIndex""&gt;", I77, "&lt;/p&gt;")</f>
        <v>&lt;p name="rootSeqIndex"&gt;720&lt;/p&gt;</v>
      </c>
    </row>
    <row r="78" spans="2:18" x14ac:dyDescent="0.2">
      <c r="I78" s="6">
        <f>Ulazni!E61</f>
        <v>490757</v>
      </c>
      <c r="K78" t="str">
        <f>_xlfn.CONCAT("&lt;p name=""eutraCelId""&gt;", I78, "&lt;/p&gt;")</f>
        <v>&lt;p name="eutraCelId"&gt;490757&lt;/p&gt;</v>
      </c>
    </row>
    <row r="80" spans="2:18" x14ac:dyDescent="0.2">
      <c r="I80" s="6">
        <f>Ulazni!F55</f>
        <v>19176</v>
      </c>
      <c r="K80" t="str">
        <f>_xlfn.CONCAT(K$67, "/LNCEL-", I80)</f>
        <v>distName="SBTS-1917/LNBTS-1917/LNCEL-19176</v>
      </c>
    </row>
    <row r="81" spans="9:11" x14ac:dyDescent="0.2">
      <c r="I81" s="6" t="str">
        <f>Ulazni!F56</f>
        <v>SAO100B</v>
      </c>
      <c r="K81" t="str">
        <f>_xlfn.CONCAT("&lt;p name=""cellName""&gt;",I81, "&lt;/p&gt;")</f>
        <v>&lt;p name="cellName"&gt;SAO100B&lt;/p&gt;</v>
      </c>
    </row>
    <row r="82" spans="9:11" x14ac:dyDescent="0.2">
      <c r="I82" s="6">
        <f>Ulazni!F57</f>
        <v>241</v>
      </c>
      <c r="K82" t="str">
        <f>_xlfn.CONCAT("&lt;p name=""phyCellId""&gt;", I82, "&lt;/p&gt;")</f>
        <v>&lt;p name="phyCellId"&gt;241&lt;/p&gt;</v>
      </c>
    </row>
    <row r="83" spans="9:11" x14ac:dyDescent="0.2">
      <c r="I83" s="6">
        <f>Ulazni!F58</f>
        <v>12003</v>
      </c>
      <c r="K83" t="str">
        <f>_xlfn.CONCAT("&lt;p name=""tac""&gt;",I83, "&lt;/p&gt;")</f>
        <v>&lt;p name="tac"&gt;12003&lt;/p&gt;</v>
      </c>
    </row>
    <row r="84" spans="9:11" x14ac:dyDescent="0.2">
      <c r="I84" s="6">
        <f>Ulazni!F60</f>
        <v>730</v>
      </c>
      <c r="K84" t="str">
        <f>_xlfn.CONCAT("&lt;p name=""rootSeqIndex""&gt;", I84, "&lt;/p&gt;")</f>
        <v>&lt;p name="rootSeqIndex"&gt;730&lt;/p&gt;</v>
      </c>
    </row>
    <row r="85" spans="9:11" x14ac:dyDescent="0.2">
      <c r="I85" s="6">
        <f>Ulazni!F61</f>
        <v>490758</v>
      </c>
      <c r="K85" t="str">
        <f>_xlfn.CONCAT("&lt;p name=""eutraCelId""&gt;", I85, "&lt;/p&gt;")</f>
        <v>&lt;p name="eutraCelId"&gt;490758&lt;/p&gt;</v>
      </c>
    </row>
    <row r="87" spans="9:11" x14ac:dyDescent="0.2">
      <c r="I87" s="6">
        <f>Ulazni!G55</f>
        <v>19177</v>
      </c>
      <c r="K87" t="str">
        <f>_xlfn.CONCAT(K$67, "/LNCEL-", I87)</f>
        <v>distName="SBTS-1917/LNBTS-1917/LNCEL-19177</v>
      </c>
    </row>
    <row r="88" spans="9:11" x14ac:dyDescent="0.2">
      <c r="I88" s="6" t="str">
        <f>Ulazni!G56</f>
        <v>SAO100C</v>
      </c>
      <c r="K88" t="str">
        <f>_xlfn.CONCAT("&lt;p name=""cellName""&gt;",I88, "&lt;/p&gt;")</f>
        <v>&lt;p name="cellName"&gt;SAO100C&lt;/p&gt;</v>
      </c>
    </row>
    <row r="89" spans="9:11" x14ac:dyDescent="0.2">
      <c r="I89" s="6">
        <f>Ulazni!G57</f>
        <v>242</v>
      </c>
      <c r="K89" t="str">
        <f>_xlfn.CONCAT("&lt;p name=""phyCellId""&gt;", I89, "&lt;/p&gt;")</f>
        <v>&lt;p name="phyCellId"&gt;242&lt;/p&gt;</v>
      </c>
    </row>
    <row r="90" spans="9:11" x14ac:dyDescent="0.2">
      <c r="I90" s="6">
        <f>Ulazni!G58</f>
        <v>12003</v>
      </c>
      <c r="K90" t="str">
        <f>_xlfn.CONCAT("&lt;p name=""tac""&gt;",I90, "&lt;/p&gt;")</f>
        <v>&lt;p name="tac"&gt;12003&lt;/p&gt;</v>
      </c>
    </row>
    <row r="91" spans="9:11" x14ac:dyDescent="0.2">
      <c r="I91" s="6">
        <f>Ulazni!G60</f>
        <v>740</v>
      </c>
      <c r="K91" t="str">
        <f>_xlfn.CONCAT("&lt;p name=""rootSeqIndex""&gt;", I91, "&lt;/p&gt;")</f>
        <v>&lt;p name="rootSeqIndex"&gt;740&lt;/p&gt;</v>
      </c>
    </row>
    <row r="92" spans="9:11" x14ac:dyDescent="0.2">
      <c r="I92" s="6">
        <f>Ulazni!G61</f>
        <v>490759</v>
      </c>
      <c r="K92" t="str">
        <f>_xlfn.CONCAT("&lt;p name=""eutraCelId""&gt;", I92, "&lt;/p&gt;")</f>
        <v>&lt;p name="eutraCelId"&gt;490759&lt;/p&gt;</v>
      </c>
    </row>
    <row r="94" spans="9:11" x14ac:dyDescent="0.2">
      <c r="I94" s="6">
        <f>Ulazni!H55</f>
        <v>0</v>
      </c>
      <c r="K94" t="str">
        <f>_xlfn.CONCAT(K$67, "/LNCEL-", I94)</f>
        <v>distName="SBTS-1917/LNBTS-1917/LNCEL-0</v>
      </c>
    </row>
    <row r="95" spans="9:11" x14ac:dyDescent="0.2">
      <c r="I95" s="6">
        <f>Ulazni!H56</f>
        <v>0</v>
      </c>
      <c r="K95" t="str">
        <f>_xlfn.CONCAT("&lt;p name=""cellName""&gt;",I95, "&lt;/p&gt;")</f>
        <v>&lt;p name="cellName"&gt;0&lt;/p&gt;</v>
      </c>
    </row>
    <row r="96" spans="9:11" x14ac:dyDescent="0.2">
      <c r="I96" s="6">
        <f>Ulazni!H57</f>
        <v>0</v>
      </c>
      <c r="K96" t="str">
        <f>_xlfn.CONCAT("&lt;p name=""phyCellId""&gt;", I96, "&lt;/p&gt;")</f>
        <v>&lt;p name="phyCellId"&gt;0&lt;/p&gt;</v>
      </c>
    </row>
    <row r="97" spans="2:11" x14ac:dyDescent="0.2">
      <c r="I97" s="6">
        <f>Ulazni!H58</f>
        <v>12003</v>
      </c>
      <c r="K97" t="str">
        <f>_xlfn.CONCAT("&lt;p name=""tac""&gt;",I97, "&lt;/p&gt;")</f>
        <v>&lt;p name="tac"&gt;12003&lt;/p&gt;</v>
      </c>
    </row>
    <row r="98" spans="2:11" x14ac:dyDescent="0.2">
      <c r="I98" s="6">
        <f>Ulazni!H60</f>
        <v>0</v>
      </c>
      <c r="K98" t="str">
        <f>_xlfn.CONCAT("&lt;p name=""rootSeqIndex""&gt;", I98, "&lt;/p&gt;")</f>
        <v>&lt;p name="rootSeqIndex"&gt;0&lt;/p&gt;</v>
      </c>
    </row>
    <row r="99" spans="2:11" x14ac:dyDescent="0.2">
      <c r="I99" s="6">
        <f>Ulazni!H61</f>
        <v>0</v>
      </c>
      <c r="K99" t="str">
        <f>_xlfn.CONCAT("&lt;p name=""eutraCelId""&gt;", I99, "&lt;/p&gt;")</f>
        <v>&lt;p name="eutraCelId"&gt;0&lt;/p&gt;</v>
      </c>
    </row>
    <row r="101" spans="2:11" x14ac:dyDescent="0.2">
      <c r="J101" t="s">
        <v>252</v>
      </c>
    </row>
    <row r="102" spans="2:11" x14ac:dyDescent="0.2">
      <c r="K102" t="str">
        <f>_xlfn.CONCAT(K73,"/LNHOIF-1")</f>
        <v>distName="SBTS-1917/LNBTS-1917/LNCEL-19175/LNHOIF-1</v>
      </c>
    </row>
    <row r="103" spans="2:11" x14ac:dyDescent="0.2">
      <c r="I103" s="6">
        <f>Ulazni!F63</f>
        <v>1500</v>
      </c>
      <c r="K103" t="s">
        <v>253</v>
      </c>
    </row>
    <row r="104" spans="2:11" x14ac:dyDescent="0.2">
      <c r="I104" s="6" t="str">
        <f>Ulazni!F64</f>
        <v>mbw100</v>
      </c>
      <c r="K104" t="s">
        <v>254</v>
      </c>
    </row>
    <row r="105" spans="2:11" x14ac:dyDescent="0.2">
      <c r="K105" t="s">
        <v>255</v>
      </c>
    </row>
    <row r="109" spans="2:11" x14ac:dyDescent="0.2">
      <c r="B109" t="s">
        <v>240</v>
      </c>
      <c r="J109" t="s">
        <v>240</v>
      </c>
    </row>
    <row r="110" spans="2:11" x14ac:dyDescent="0.2">
      <c r="C110" t="s">
        <v>38</v>
      </c>
      <c r="K110" t="s">
        <v>38</v>
      </c>
    </row>
    <row r="111" spans="2:11" x14ac:dyDescent="0.2">
      <c r="C111" t="s">
        <v>241</v>
      </c>
      <c r="I111" s="6" t="str">
        <f>VLOOKUP("LTEs1", Ulazni!A1:Q9, 16, FALSE)</f>
        <v>10.245.30.70</v>
      </c>
      <c r="K111" t="str">
        <f>_xlfn.CONCAT("&lt;p name=""ipV4Address1""&gt;", I111, "&lt;/p&gt;")</f>
        <v>&lt;p name="ipV4Address1"&gt;10.245.30.70&lt;/p&gt;</v>
      </c>
    </row>
    <row r="112" spans="2:11" x14ac:dyDescent="0.2">
      <c r="C112" t="s">
        <v>44</v>
      </c>
      <c r="K112" t="s">
        <v>44</v>
      </c>
    </row>
    <row r="113" spans="2:11" x14ac:dyDescent="0.2">
      <c r="C113" t="s">
        <v>241</v>
      </c>
      <c r="I113" s="6" t="str">
        <f>VLOOKUP("LTEs1", Ulazni!A1:Q9, 16, FALSE)</f>
        <v>10.245.30.70</v>
      </c>
      <c r="K113" t="str">
        <f>_xlfn.CONCAT("&lt;p name=""ipV4Address1""&gt;", I113, "&lt;/p&gt;")</f>
        <v>&lt;p name="ipV4Address1"&gt;10.245.30.70&lt;/p&gt;</v>
      </c>
    </row>
    <row r="116" spans="2:11" ht="15" x14ac:dyDescent="0.25">
      <c r="J116" s="86" t="s">
        <v>101</v>
      </c>
    </row>
    <row r="117" spans="2:11" x14ac:dyDescent="0.2">
      <c r="B117" t="s">
        <v>59</v>
      </c>
      <c r="J117" t="s">
        <v>59</v>
      </c>
    </row>
    <row r="118" spans="2:11" x14ac:dyDescent="0.2">
      <c r="C118" t="s">
        <v>99</v>
      </c>
      <c r="K118" t="s">
        <v>99</v>
      </c>
    </row>
    <row r="119" spans="2:11" x14ac:dyDescent="0.2">
      <c r="C119" t="s">
        <v>60</v>
      </c>
      <c r="K119" t="s">
        <v>60</v>
      </c>
    </row>
    <row r="120" spans="2:11" x14ac:dyDescent="0.2">
      <c r="C120" t="s">
        <v>13</v>
      </c>
      <c r="K120" t="s">
        <v>13</v>
      </c>
    </row>
    <row r="121" spans="2:11" x14ac:dyDescent="0.2">
      <c r="C121" t="s">
        <v>61</v>
      </c>
      <c r="I121" s="6" t="str">
        <f>Ulazni!E73</f>
        <v>10.15.205.107</v>
      </c>
      <c r="K121" t="str">
        <f>_xlfn.CONCAT("&lt;p name=""ntpServerIp""&gt;",I121, "&lt;/p&gt;")</f>
        <v>&lt;p name="ntpServerIp"&gt;10.15.205.107&lt;/p&gt;</v>
      </c>
    </row>
    <row r="123" spans="2:11" x14ac:dyDescent="0.2">
      <c r="B123" t="s">
        <v>62</v>
      </c>
      <c r="J123" t="s">
        <v>62</v>
      </c>
    </row>
    <row r="124" spans="2:11" x14ac:dyDescent="0.2">
      <c r="C124" t="s">
        <v>2</v>
      </c>
      <c r="I124" s="6" t="str">
        <f>VLOOKUP("LTEsync", Ulazni!A1:Q9, 16, FALSE)</f>
        <v>10.243.15.42</v>
      </c>
      <c r="K124" t="str">
        <f>_xlfn.CONCAT("&lt;p name=""sPlaneIpAddress""&gt;",I124, "&lt;/p&gt;")</f>
        <v>&lt;p name="sPlaneIpAddress"&gt;10.243.15.42&lt;/p&gt;</v>
      </c>
    </row>
    <row r="127" spans="2:11" x14ac:dyDescent="0.2">
      <c r="B127" t="s">
        <v>63</v>
      </c>
      <c r="J127" t="s">
        <v>63</v>
      </c>
    </row>
    <row r="128" spans="2:11" x14ac:dyDescent="0.2">
      <c r="C128" t="s">
        <v>64</v>
      </c>
      <c r="K128" t="s">
        <v>64</v>
      </c>
    </row>
    <row r="129" spans="2:11" x14ac:dyDescent="0.2">
      <c r="D129" t="s">
        <v>13</v>
      </c>
      <c r="K129" t="s">
        <v>13</v>
      </c>
    </row>
    <row r="130" spans="2:11" x14ac:dyDescent="0.2">
      <c r="D130" t="s">
        <v>65</v>
      </c>
      <c r="I130" s="6" t="str">
        <f>Ulazni!O5</f>
        <v>10.253.0.42</v>
      </c>
      <c r="K130" t="str">
        <f>_xlfn.CONCAT("&lt;p name=""masterIpAddr""&gt;", I130, "&lt;/p&gt;")</f>
        <v>&lt;p name="masterIpAddr"&gt;10.253.0.42&lt;/p&gt;</v>
      </c>
    </row>
    <row r="131" spans="2:11" x14ac:dyDescent="0.2">
      <c r="D131" t="s">
        <v>13</v>
      </c>
      <c r="K131" t="s">
        <v>13</v>
      </c>
    </row>
    <row r="132" spans="2:11" x14ac:dyDescent="0.2">
      <c r="D132" t="s">
        <v>66</v>
      </c>
      <c r="I132" s="6">
        <f>Ulazni!O6</f>
        <v>0</v>
      </c>
      <c r="K132" t="str">
        <f>_xlfn.CONCAT("&lt;p name=""masterIpAddr""&gt;",I132, "&lt;/p&gt;")</f>
        <v>&lt;p name="masterIpAddr"&gt;0&lt;/p&gt;</v>
      </c>
    </row>
    <row r="134" spans="2:11" hidden="1" x14ac:dyDescent="0.2">
      <c r="B134" t="s">
        <v>68</v>
      </c>
      <c r="J134" t="s">
        <v>68</v>
      </c>
    </row>
    <row r="135" spans="2:11" hidden="1" x14ac:dyDescent="0.2">
      <c r="C135" t="s">
        <v>67</v>
      </c>
      <c r="K135" t="s">
        <v>67</v>
      </c>
    </row>
    <row r="136" spans="2:11" hidden="1" x14ac:dyDescent="0.2">
      <c r="C136" t="s">
        <v>5</v>
      </c>
      <c r="I136" s="6">
        <f>Ulazni!K2</f>
        <v>1030</v>
      </c>
      <c r="K136" t="str">
        <f>_xlfn.CONCAT("&lt;p name=""userLabel""&gt;SBTS Abis VLAN ", I136, "&lt;/p&gt;")</f>
        <v>&lt;p name="userLabel"&gt;SBTS Abis VLAN 1030&lt;/p&gt;</v>
      </c>
    </row>
    <row r="137" spans="2:11" hidden="1" x14ac:dyDescent="0.2">
      <c r="C137" t="s">
        <v>12</v>
      </c>
      <c r="K137" t="s">
        <v>12</v>
      </c>
    </row>
    <row r="138" spans="2:11" hidden="1" x14ac:dyDescent="0.2">
      <c r="D138" t="s">
        <v>69</v>
      </c>
      <c r="I138" s="6" t="str">
        <f>Ulazni!P2</f>
        <v>10.206.84.54</v>
      </c>
      <c r="K138" t="str">
        <f>_xlfn.CONCAT("&lt;p name=""localIpAddr""&gt;", I138, "&lt;/p&gt;")</f>
        <v>&lt;p name="localIpAddr"&gt;10.206.84.54&lt;/p&gt;</v>
      </c>
    </row>
    <row r="139" spans="2:11" hidden="1" x14ac:dyDescent="0.2">
      <c r="I139" s="6" t="str">
        <f>Ulazni!Q2</f>
        <v>30</v>
      </c>
      <c r="K139" t="str">
        <f>_xlfn.CONCAT("&lt;p name=""localIpPrefixLength""&gt;",I139, "&lt;/p&gt;")</f>
        <v>&lt;p name="localIpPrefixLength"&gt;30&lt;/p&gt;</v>
      </c>
    </row>
    <row r="140" spans="2:11" hidden="1" x14ac:dyDescent="0.2"/>
    <row r="141" spans="2:11" hidden="1" x14ac:dyDescent="0.2">
      <c r="B141" t="s">
        <v>70</v>
      </c>
      <c r="J141" t="s">
        <v>70</v>
      </c>
    </row>
    <row r="142" spans="2:11" hidden="1" x14ac:dyDescent="0.2">
      <c r="C142" t="s">
        <v>11</v>
      </c>
      <c r="K142" t="s">
        <v>11</v>
      </c>
    </row>
    <row r="143" spans="2:11" hidden="1" x14ac:dyDescent="0.2">
      <c r="C143" t="s">
        <v>7</v>
      </c>
      <c r="I143" s="6">
        <f>Ulazni!K5</f>
        <v>1031</v>
      </c>
      <c r="K143" t="str">
        <f>_xlfn.CONCAT("&lt;p name=""userLabel""&gt;SBTS S1 VLAN ", I143, "&lt;/p&gt;")</f>
        <v>&lt;p name="userLabel"&gt;SBTS S1 VLAN 1031&lt;/p&gt;</v>
      </c>
    </row>
    <row r="144" spans="2:11" hidden="1" x14ac:dyDescent="0.2">
      <c r="C144" t="s">
        <v>12</v>
      </c>
      <c r="K144" t="s">
        <v>12</v>
      </c>
    </row>
    <row r="145" spans="2:11" hidden="1" x14ac:dyDescent="0.2">
      <c r="D145" t="s">
        <v>71</v>
      </c>
      <c r="I145" s="6" t="str">
        <f>Ulazni!P5</f>
        <v>10.245.30.70</v>
      </c>
      <c r="K145" t="str">
        <f>_xlfn.CONCAT("&lt;p name=""localIpAddr""&gt;",I145, "&lt;/p&gt;")</f>
        <v>&lt;p name="localIpAddr"&gt;10.245.30.70&lt;/p&gt;</v>
      </c>
    </row>
    <row r="146" spans="2:11" hidden="1" x14ac:dyDescent="0.2">
      <c r="I146" s="6" t="str">
        <f>Ulazni!Q5</f>
        <v>30</v>
      </c>
      <c r="K146" t="str">
        <f>_xlfn.CONCAT("&lt;p name=""localIpPrefixLength""&gt;",I146, "&lt;/p&gt;")</f>
        <v>&lt;p name="localIpPrefixLength"&gt;30&lt;/p&gt;</v>
      </c>
    </row>
    <row r="147" spans="2:11" hidden="1" x14ac:dyDescent="0.2"/>
    <row r="148" spans="2:11" hidden="1" x14ac:dyDescent="0.2">
      <c r="B148" t="s">
        <v>72</v>
      </c>
      <c r="J148" t="s">
        <v>72</v>
      </c>
    </row>
    <row r="149" spans="2:11" hidden="1" x14ac:dyDescent="0.2">
      <c r="C149" t="s">
        <v>73</v>
      </c>
      <c r="K149" t="s">
        <v>73</v>
      </c>
    </row>
    <row r="150" spans="2:11" hidden="1" x14ac:dyDescent="0.2">
      <c r="C150" t="s">
        <v>10</v>
      </c>
      <c r="I150" s="6">
        <f>Ulazni!K6</f>
        <v>1032</v>
      </c>
      <c r="K150" t="str">
        <f>_xlfn.CONCAT("&lt;p name=""userLabel""&gt;SBTS OSS VLAN ", I150, "&lt;/p&gt;")</f>
        <v>&lt;p name="userLabel"&gt;SBTS OSS VLAN 1032&lt;/p&gt;</v>
      </c>
    </row>
    <row r="151" spans="2:11" hidden="1" x14ac:dyDescent="0.2">
      <c r="C151" t="s">
        <v>12</v>
      </c>
      <c r="K151" t="s">
        <v>12</v>
      </c>
    </row>
    <row r="152" spans="2:11" hidden="1" x14ac:dyDescent="0.2">
      <c r="D152" t="s">
        <v>74</v>
      </c>
      <c r="I152" s="6" t="str">
        <f>Ulazni!P6</f>
        <v>10.244.30.70</v>
      </c>
      <c r="K152" t="str">
        <f>_xlfn.CONCAT("&lt;p name=""localIpAddr""&gt;", I152, "&lt;/p&gt;")</f>
        <v>&lt;p name="localIpAddr"&gt;10.244.30.70&lt;/p&gt;</v>
      </c>
    </row>
    <row r="153" spans="2:11" hidden="1" x14ac:dyDescent="0.2">
      <c r="I153" s="6" t="str">
        <f>Ulazni!Q6</f>
        <v>30</v>
      </c>
      <c r="K153" t="str">
        <f>_xlfn.CONCAT("&lt;p name=""localIpPrefixLength""&gt;",I153, "&lt;/p&gt;")</f>
        <v>&lt;p name="localIpPrefixLength"&gt;30&lt;/p&gt;</v>
      </c>
    </row>
    <row r="154" spans="2:11" hidden="1" x14ac:dyDescent="0.2"/>
    <row r="155" spans="2:11" hidden="1" x14ac:dyDescent="0.2">
      <c r="B155" t="s">
        <v>237</v>
      </c>
      <c r="J155" t="s">
        <v>237</v>
      </c>
    </row>
    <row r="156" spans="2:11" hidden="1" x14ac:dyDescent="0.2">
      <c r="C156" t="s">
        <v>73</v>
      </c>
      <c r="K156" t="s">
        <v>238</v>
      </c>
    </row>
    <row r="157" spans="2:11" hidden="1" x14ac:dyDescent="0.2">
      <c r="C157" t="s">
        <v>10</v>
      </c>
      <c r="I157" s="6">
        <f>Ulazni!K7</f>
        <v>1033</v>
      </c>
      <c r="K157" t="str">
        <f>_xlfn.CONCAT("&lt;p name=""userLabel""&gt;SBTS SYNC VLAN ", I157, "&lt;/p&gt;")</f>
        <v>&lt;p name="userLabel"&gt;SBTS SYNC VLAN 1033&lt;/p&gt;</v>
      </c>
    </row>
    <row r="158" spans="2:11" hidden="1" x14ac:dyDescent="0.2">
      <c r="C158" t="s">
        <v>12</v>
      </c>
      <c r="K158" t="s">
        <v>12</v>
      </c>
    </row>
    <row r="159" spans="2:11" hidden="1" x14ac:dyDescent="0.2">
      <c r="D159" t="s">
        <v>74</v>
      </c>
      <c r="I159" s="6" t="str">
        <f>Ulazni!P7</f>
        <v>10.243.15.42</v>
      </c>
      <c r="K159" t="str">
        <f>_xlfn.CONCAT("&lt;p name=""localIpAddr""&gt;", I159, "&lt;/p&gt;")</f>
        <v>&lt;p name="localIpAddr"&gt;10.243.15.42&lt;/p&gt;</v>
      </c>
    </row>
    <row r="160" spans="2:11" hidden="1" x14ac:dyDescent="0.2">
      <c r="I160" s="6" t="str">
        <f>Ulazni!Q7</f>
        <v>30</v>
      </c>
      <c r="K160" t="str">
        <f>_xlfn.CONCAT("&lt;p name=""localIpPrefixLength""&gt;",I160, "&lt;/p&gt;")</f>
        <v>&lt;p name="localIpPrefixLength"&gt;30&lt;/p&gt;</v>
      </c>
    </row>
    <row r="163" spans="2:12" x14ac:dyDescent="0.2">
      <c r="B163" t="s">
        <v>75</v>
      </c>
      <c r="J163" t="s">
        <v>75</v>
      </c>
    </row>
    <row r="164" spans="2:12" x14ac:dyDescent="0.2">
      <c r="C164" t="s">
        <v>76</v>
      </c>
      <c r="K164" s="5" t="s">
        <v>291</v>
      </c>
      <c r="L164" s="5"/>
    </row>
    <row r="166" spans="2:12" x14ac:dyDescent="0.2">
      <c r="J166" t="s">
        <v>288</v>
      </c>
    </row>
    <row r="167" spans="2:12" x14ac:dyDescent="0.2">
      <c r="K167" s="5" t="s">
        <v>292</v>
      </c>
      <c r="L167" s="5"/>
    </row>
    <row r="169" spans="2:12" x14ac:dyDescent="0.2">
      <c r="J169" t="s">
        <v>287</v>
      </c>
    </row>
    <row r="170" spans="2:12" x14ac:dyDescent="0.2">
      <c r="K170" s="5" t="s">
        <v>292</v>
      </c>
      <c r="L170" s="5"/>
    </row>
    <row r="171" spans="2:12" x14ac:dyDescent="0.2">
      <c r="K171" s="7"/>
    </row>
    <row r="172" spans="2:12" hidden="1" x14ac:dyDescent="0.2">
      <c r="B172" t="s">
        <v>77</v>
      </c>
      <c r="J172" t="s">
        <v>77</v>
      </c>
    </row>
    <row r="173" spans="2:12" hidden="1" x14ac:dyDescent="0.2">
      <c r="C173" t="s">
        <v>4</v>
      </c>
      <c r="K173" t="str">
        <f>_xlfn.CONCAT("&lt;p name=""vlanId""&gt;",I136, "&lt;/p&gt;")</f>
        <v>&lt;p name="vlanId"&gt;1030&lt;/p&gt;</v>
      </c>
    </row>
    <row r="174" spans="2:12" hidden="1" x14ac:dyDescent="0.2">
      <c r="C174" t="s">
        <v>5</v>
      </c>
      <c r="K174" t="str">
        <f>_xlfn.CONCAT("&lt;p name=""userLabel""&gt;SBTS Abis VLAN ",I136, "&lt;/p&gt;")</f>
        <v>&lt;p name="userLabel"&gt;SBTS Abis VLAN 1030&lt;/p&gt;</v>
      </c>
    </row>
    <row r="175" spans="2:12" hidden="1" x14ac:dyDescent="0.2"/>
    <row r="176" spans="2:12" hidden="1" x14ac:dyDescent="0.2">
      <c r="B176" t="s">
        <v>78</v>
      </c>
      <c r="J176" t="s">
        <v>78</v>
      </c>
    </row>
    <row r="177" spans="2:11" hidden="1" x14ac:dyDescent="0.2">
      <c r="C177" t="s">
        <v>8</v>
      </c>
      <c r="K177" t="str">
        <f>_xlfn.CONCAT("&lt;p name=""vlanId""&gt;", I143, "&lt;/p&gt;")</f>
        <v>&lt;p name="vlanId"&gt;1031&lt;/p&gt;</v>
      </c>
    </row>
    <row r="178" spans="2:11" hidden="1" x14ac:dyDescent="0.2">
      <c r="C178" t="s">
        <v>7</v>
      </c>
      <c r="K178" t="str">
        <f>_xlfn.CONCAT("&lt;p name=""userLabel""&gt;SBTS S1 VLAN ",I143, "&lt;/p&gt;")</f>
        <v>&lt;p name="userLabel"&gt;SBTS S1 VLAN 1031&lt;/p&gt;</v>
      </c>
    </row>
    <row r="179" spans="2:11" hidden="1" x14ac:dyDescent="0.2"/>
    <row r="180" spans="2:11" hidden="1" x14ac:dyDescent="0.2">
      <c r="B180" t="s">
        <v>79</v>
      </c>
      <c r="J180" t="s">
        <v>79</v>
      </c>
    </row>
    <row r="181" spans="2:11" hidden="1" x14ac:dyDescent="0.2">
      <c r="C181" t="s">
        <v>9</v>
      </c>
      <c r="K181" t="str">
        <f>_xlfn.CONCAT("&lt;p name=""vlanId""&gt;",I150, "&lt;/p&gt;")</f>
        <v>&lt;p name="vlanId"&gt;1032&lt;/p&gt;</v>
      </c>
    </row>
    <row r="182" spans="2:11" hidden="1" x14ac:dyDescent="0.2">
      <c r="C182" t="s">
        <v>10</v>
      </c>
      <c r="K182" t="str">
        <f>_xlfn.CONCAT("&lt;p name=""userLabel""&gt;SBTS OSS VLAN ",I150, "&lt;/p&gt;")</f>
        <v>&lt;p name="userLabel"&gt;SBTS OSS VLAN 1032&lt;/p&gt;</v>
      </c>
    </row>
    <row r="183" spans="2:11" hidden="1" x14ac:dyDescent="0.2"/>
    <row r="184" spans="2:11" hidden="1" x14ac:dyDescent="0.2">
      <c r="B184" t="s">
        <v>239</v>
      </c>
      <c r="J184" t="s">
        <v>239</v>
      </c>
    </row>
    <row r="185" spans="2:11" hidden="1" x14ac:dyDescent="0.2">
      <c r="C185" t="s">
        <v>9</v>
      </c>
      <c r="K185" t="str">
        <f>_xlfn.CONCAT("&lt;p name=""vlanId""&gt;",I157, "&lt;/p&gt;")</f>
        <v>&lt;p name="vlanId"&gt;1033&lt;/p&gt;</v>
      </c>
    </row>
    <row r="186" spans="2:11" hidden="1" x14ac:dyDescent="0.2">
      <c r="C186" t="s">
        <v>10</v>
      </c>
      <c r="K186" t="str">
        <f>_xlfn.CONCAT("&lt;p name=""userLabel""&gt;SBTS SYNC VLAN ",I157, "&lt;/p&gt;")</f>
        <v>&lt;p name="userLabel"&gt;SBTS SYNC VLAN 1033&lt;/p&gt;</v>
      </c>
    </row>
    <row r="189" spans="2:11" ht="15" x14ac:dyDescent="0.25">
      <c r="J189" s="86" t="s">
        <v>299</v>
      </c>
    </row>
    <row r="190" spans="2:11" x14ac:dyDescent="0.2">
      <c r="K190" t="s">
        <v>300</v>
      </c>
    </row>
    <row r="191" spans="2:11" x14ac:dyDescent="0.2">
      <c r="K191" t="s">
        <v>301</v>
      </c>
    </row>
    <row r="192" spans="2:11" x14ac:dyDescent="0.2">
      <c r="I192" s="18" t="str">
        <f>Ulazni!$A$16</f>
        <v>SBTSoam</v>
      </c>
      <c r="K192" t="str">
        <f>VLOOKUP(I192, Ulazni!A1:Q9, 16, FALSE)</f>
        <v>10.244.30.70</v>
      </c>
    </row>
    <row r="193" spans="9:11" x14ac:dyDescent="0.2">
      <c r="I193" s="18">
        <f>Ulazni!$C$27</f>
        <v>1917</v>
      </c>
      <c r="K193" t="str">
        <f>_xlfn.CONCAT("PLMN-PLMN/SBTS-", I193)</f>
        <v>PLMN-PLMN/SBTS-1917</v>
      </c>
    </row>
    <row r="194" spans="9:11" x14ac:dyDescent="0.2">
      <c r="I194" s="18"/>
      <c r="K194" t="s">
        <v>302</v>
      </c>
    </row>
    <row r="195" spans="9:11" x14ac:dyDescent="0.2">
      <c r="I195" s="18"/>
    </row>
    <row r="196" spans="9:11" x14ac:dyDescent="0.2">
      <c r="I196" s="18"/>
    </row>
    <row r="197" spans="9:11" ht="15" x14ac:dyDescent="0.25">
      <c r="I197" s="18"/>
      <c r="J197" s="86" t="s">
        <v>303</v>
      </c>
    </row>
    <row r="198" spans="9:11" x14ac:dyDescent="0.2">
      <c r="I198" s="18"/>
      <c r="K198" t="s">
        <v>307</v>
      </c>
    </row>
    <row r="199" spans="9:11" x14ac:dyDescent="0.2">
      <c r="I199" s="18" t="s">
        <v>304</v>
      </c>
      <c r="K199" t="str">
        <f>_xlfn.CONCAT(Ulazni!C25, "_", Ulazni!C27, "_", I199)</f>
        <v>SAO100_1917_GL</v>
      </c>
    </row>
    <row r="200" spans="9:11" x14ac:dyDescent="0.2">
      <c r="I200" s="18"/>
      <c r="K200" t="s">
        <v>305</v>
      </c>
    </row>
    <row r="201" spans="9:11" x14ac:dyDescent="0.2">
      <c r="I201" s="18"/>
      <c r="K201" t="s">
        <v>306</v>
      </c>
    </row>
    <row r="202" spans="9:11" x14ac:dyDescent="0.2">
      <c r="I202" s="18"/>
    </row>
    <row r="203" spans="9:11" x14ac:dyDescent="0.2">
      <c r="I203" s="18"/>
      <c r="K203" t="s">
        <v>355</v>
      </c>
    </row>
    <row r="204" spans="9:11" x14ac:dyDescent="0.2">
      <c r="I204" s="6" t="str">
        <f>Ulazni!C25</f>
        <v>SAO100</v>
      </c>
      <c r="K204" t="str">
        <f>I204</f>
        <v>SAO100</v>
      </c>
    </row>
    <row r="206" spans="9:11" ht="15.75" x14ac:dyDescent="0.25">
      <c r="J206" s="140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Ulazni</vt:lpstr>
      <vt:lpstr>ANTL</vt:lpstr>
      <vt:lpstr>IPRT</vt:lpstr>
      <vt:lpstr>IPIF-VLANIF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Kostic, Zoran (Nokia - RS/Belgrade)</dc:creator>
  <cp:lastModifiedBy>Kostic, Zoran (Nokia - RS/Belgrade)</cp:lastModifiedBy>
  <dcterms:created xsi:type="dcterms:W3CDTF">2018-08-21T13:36:22Z</dcterms:created>
  <dcterms:modified xsi:type="dcterms:W3CDTF">2018-11-08T09:57:57Z</dcterms:modified>
</cp:coreProperties>
</file>